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 sheetId="81" r:id="rId42"/>
    <sheet name="租赁合同明细" sheetId="80" r:id="rId43"/>
    <sheet name="Sheet1" sheetId="82"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7" i="80" l="1"/>
  <c r="Z6" i="1"/>
  <c r="G5" i="80"/>
  <c r="G2" i="80"/>
  <c r="L3" i="80"/>
  <c r="F4" i="80"/>
  <c r="F3" i="80"/>
  <c r="F2" i="80"/>
  <c r="D2" i="80"/>
  <c r="I27" i="80"/>
  <c r="H27" i="80"/>
  <c r="J57" i="80"/>
  <c r="U6" i="1" l="1"/>
  <c r="AD6" i="1"/>
  <c r="N19" i="1"/>
  <c r="G4" i="80" l="1"/>
  <c r="G3" i="80"/>
  <c r="E4" i="80"/>
  <c r="E3" i="80"/>
  <c r="E2" i="80"/>
  <c r="C4" i="80"/>
  <c r="C3" i="80"/>
  <c r="C2" i="80"/>
  <c r="B4" i="80"/>
  <c r="B3" i="80"/>
  <c r="B2" i="80"/>
  <c r="C7" i="81"/>
  <c r="C6" i="81"/>
  <c r="F2" i="81" s="1"/>
  <c r="H184" i="80"/>
  <c r="H186" i="80" s="1"/>
  <c r="D4" i="80" s="1"/>
  <c r="E184" i="80"/>
  <c r="D184" i="80"/>
  <c r="H185"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34" i="80"/>
  <c r="F124" i="80"/>
  <c r="C5" i="80" l="1"/>
  <c r="B14" i="74"/>
  <c r="H75" i="9"/>
  <c r="C75" i="9"/>
  <c r="C66" i="9"/>
  <c r="J49" i="15"/>
  <c r="G44" i="43"/>
  <c r="D33" i="43"/>
  <c r="I13" i="4"/>
  <c r="Y6" i="1"/>
  <c r="N6" i="1"/>
  <c r="B57" i="1"/>
  <c r="B21" i="1"/>
  <c r="F19" i="6"/>
  <c r="J28" i="80"/>
  <c r="J29" i="80"/>
  <c r="J30" i="80"/>
  <c r="J31" i="80"/>
  <c r="J32" i="80"/>
  <c r="J33" i="80"/>
  <c r="J34" i="80"/>
  <c r="J35" i="80"/>
  <c r="J36" i="80"/>
  <c r="J37" i="80"/>
  <c r="J38" i="80"/>
  <c r="J39" i="80"/>
  <c r="J40" i="80"/>
  <c r="J41" i="80"/>
  <c r="J42" i="80"/>
  <c r="J43" i="80"/>
  <c r="J44" i="80"/>
  <c r="J45" i="80"/>
  <c r="J46" i="80"/>
  <c r="J47" i="80"/>
  <c r="J48" i="80"/>
  <c r="J49" i="80"/>
  <c r="J50" i="80"/>
  <c r="J51" i="80"/>
  <c r="J52" i="80"/>
  <c r="J53" i="80"/>
  <c r="J54" i="80"/>
  <c r="J55" i="80"/>
  <c r="I81" i="80"/>
  <c r="J81" i="80" s="1"/>
  <c r="I82" i="80"/>
  <c r="J82" i="80" s="1"/>
  <c r="I83" i="80"/>
  <c r="J83" i="80" s="1"/>
  <c r="I84" i="80"/>
  <c r="J84" i="80" s="1"/>
  <c r="I85" i="80"/>
  <c r="J85" i="80" s="1"/>
  <c r="I86" i="80"/>
  <c r="J86" i="80" s="1"/>
  <c r="I87" i="80"/>
  <c r="J87" i="80" s="1"/>
  <c r="I88" i="80"/>
  <c r="J88" i="80" s="1"/>
  <c r="I89" i="80"/>
  <c r="J89" i="80" s="1"/>
  <c r="I90" i="80"/>
  <c r="J90" i="80" s="1"/>
  <c r="I91" i="80"/>
  <c r="J91" i="80" s="1"/>
  <c r="I92" i="80"/>
  <c r="J92" i="80" s="1"/>
  <c r="I93" i="80"/>
  <c r="J93" i="80" s="1"/>
  <c r="I94" i="80"/>
  <c r="J94" i="80" s="1"/>
  <c r="I95" i="80"/>
  <c r="J95" i="80" s="1"/>
  <c r="I96" i="80"/>
  <c r="J96" i="80" s="1"/>
  <c r="I97" i="80"/>
  <c r="J97" i="80" s="1"/>
  <c r="I98" i="80"/>
  <c r="J98" i="80" s="1"/>
  <c r="I99" i="80"/>
  <c r="J99" i="80" s="1"/>
  <c r="I100" i="80"/>
  <c r="J100" i="80" s="1"/>
  <c r="I101" i="80"/>
  <c r="J101" i="80" s="1"/>
  <c r="I102" i="80"/>
  <c r="J102" i="80" s="1"/>
  <c r="I103" i="80"/>
  <c r="J103" i="80" s="1"/>
  <c r="I104" i="80"/>
  <c r="J104" i="80" s="1"/>
  <c r="I105" i="80"/>
  <c r="J105" i="80" s="1"/>
  <c r="I106" i="80"/>
  <c r="J106" i="80" s="1"/>
  <c r="I107" i="80"/>
  <c r="J107" i="80" s="1"/>
  <c r="I108" i="80"/>
  <c r="J108" i="80" s="1"/>
  <c r="I80" i="80"/>
  <c r="J80" i="80" s="1"/>
  <c r="H119" i="80"/>
  <c r="E119" i="80"/>
  <c r="H13" i="80"/>
  <c r="H14" i="80" s="1"/>
  <c r="G69" i="80"/>
  <c r="G70" i="80" s="1"/>
  <c r="I110" i="80" s="1"/>
  <c r="D3" i="80" s="1"/>
  <c r="H65" i="80"/>
  <c r="E65" i="80"/>
  <c r="F109" i="80"/>
  <c r="E109" i="80"/>
  <c r="H81" i="80"/>
  <c r="H82" i="80"/>
  <c r="H83" i="80"/>
  <c r="H84" i="80"/>
  <c r="H85" i="80"/>
  <c r="H86" i="80"/>
  <c r="H87" i="80"/>
  <c r="H88" i="80"/>
  <c r="H89" i="80"/>
  <c r="H90" i="80"/>
  <c r="H91" i="80"/>
  <c r="H92" i="80"/>
  <c r="H93" i="80"/>
  <c r="H94" i="80"/>
  <c r="H95" i="80"/>
  <c r="H96" i="80"/>
  <c r="H97" i="80"/>
  <c r="H98" i="80"/>
  <c r="H99" i="80"/>
  <c r="H100" i="80"/>
  <c r="H101" i="80"/>
  <c r="H102" i="80"/>
  <c r="H103" i="80"/>
  <c r="H104" i="80"/>
  <c r="H105" i="80"/>
  <c r="H106" i="80"/>
  <c r="H107" i="80"/>
  <c r="H108" i="80"/>
  <c r="H80" i="80"/>
  <c r="F56" i="80"/>
  <c r="E56" i="80"/>
  <c r="H31" i="80"/>
  <c r="I31" i="80" s="1"/>
  <c r="H32" i="80"/>
  <c r="I32" i="80" s="1"/>
  <c r="H33" i="80"/>
  <c r="I33" i="80" s="1"/>
  <c r="H34" i="80"/>
  <c r="I34" i="80" s="1"/>
  <c r="H35" i="80"/>
  <c r="I35" i="80" s="1"/>
  <c r="H36" i="80"/>
  <c r="I36" i="80" s="1"/>
  <c r="H37" i="80"/>
  <c r="I37" i="80" s="1"/>
  <c r="H38" i="80"/>
  <c r="I38" i="80" s="1"/>
  <c r="H39" i="80"/>
  <c r="I39" i="80" s="1"/>
  <c r="H40" i="80"/>
  <c r="I40" i="80" s="1"/>
  <c r="H41" i="80"/>
  <c r="I41" i="80" s="1"/>
  <c r="H42" i="80"/>
  <c r="I42" i="80" s="1"/>
  <c r="H43" i="80"/>
  <c r="I43" i="80" s="1"/>
  <c r="H44" i="80"/>
  <c r="I44" i="80" s="1"/>
  <c r="H45" i="80"/>
  <c r="I45" i="80" s="1"/>
  <c r="H46" i="80"/>
  <c r="I46" i="80" s="1"/>
  <c r="H47" i="80"/>
  <c r="I47" i="80" s="1"/>
  <c r="H48" i="80"/>
  <c r="I48" i="80" s="1"/>
  <c r="H49" i="80"/>
  <c r="I49" i="80" s="1"/>
  <c r="H50" i="80"/>
  <c r="I50" i="80" s="1"/>
  <c r="H51" i="80"/>
  <c r="I51" i="80" s="1"/>
  <c r="H52" i="80"/>
  <c r="I52" i="80" s="1"/>
  <c r="H53" i="80"/>
  <c r="H54" i="80"/>
  <c r="H55" i="80"/>
  <c r="H28" i="80"/>
  <c r="I28" i="80" s="1"/>
  <c r="H29" i="80"/>
  <c r="I29" i="80" s="1"/>
  <c r="H30" i="80"/>
  <c r="I30" i="80" s="1"/>
  <c r="H11" i="80"/>
  <c r="E11" i="80"/>
  <c r="D3" i="4"/>
  <c r="I12" i="79"/>
  <c r="H56" i="80" l="1"/>
  <c r="H10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U50" i="79"/>
  <c r="AI50" i="79" s="1"/>
  <c r="AD51" i="79"/>
  <c r="T33" i="79"/>
  <c r="T35" i="79"/>
  <c r="T34" i="79"/>
  <c r="AA31" i="79"/>
  <c r="AD31" i="79" s="1"/>
  <c r="S48" i="79"/>
  <c r="AG48"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3" i="79"/>
  <c r="AK43" i="79" s="1"/>
  <c r="AH43" i="79"/>
  <c r="W38" i="79"/>
  <c r="AK38" i="79" s="1"/>
  <c r="AH38" i="79"/>
  <c r="W23" i="79"/>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W34" i="79"/>
  <c r="AK34" i="79" s="1"/>
  <c r="AH34" i="79"/>
  <c r="W15" i="79"/>
  <c r="AK15" i="79" s="1"/>
  <c r="AH15" i="79"/>
  <c r="W49" i="79"/>
  <c r="AK49" i="79" s="1"/>
  <c r="AH49"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Q37" i="71"/>
  <c r="P37" i="71"/>
  <c r="O37" i="71"/>
  <c r="Y37" i="71" s="1"/>
  <c r="Z37" i="71" s="1"/>
  <c r="N37" i="71"/>
  <c r="B38" i="71" s="1"/>
  <c r="D37" i="71"/>
  <c r="Q36" i="71"/>
  <c r="P36" i="71"/>
  <c r="O36" i="71"/>
  <c r="N36" i="71"/>
  <c r="X35" i="71" s="1"/>
  <c r="Q35" i="71"/>
  <c r="P35" i="71"/>
  <c r="O35" i="71"/>
  <c r="Y35" i="7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B28" i="71"/>
  <c r="C31" i="71"/>
  <c r="C32" i="71" s="1"/>
  <c r="D30" i="71"/>
  <c r="C43" i="71"/>
  <c r="C44" i="71" s="1"/>
  <c r="T44" i="71" s="1"/>
  <c r="C47" i="71"/>
  <c r="D47" i="71" s="1"/>
  <c r="D50" i="71"/>
  <c r="P28" i="71"/>
  <c r="E28" i="71" s="1"/>
  <c r="E59" i="71"/>
  <c r="E60" i="71" s="1"/>
  <c r="U60" i="71" s="1"/>
  <c r="U64" i="71"/>
  <c r="U68" i="71"/>
  <c r="E67" i="71"/>
  <c r="Q28" i="71"/>
  <c r="D58" i="71"/>
  <c r="C63" i="71"/>
  <c r="C64" i="71" s="1"/>
  <c r="D62" i="71"/>
  <c r="T68" i="71"/>
  <c r="D68" i="71"/>
  <c r="C67" i="71"/>
  <c r="E71" i="71"/>
  <c r="E70" i="71"/>
  <c r="D72" i="71"/>
  <c r="E75" i="71"/>
  <c r="E74" i="71"/>
  <c r="D76" i="71"/>
  <c r="D80" i="71"/>
  <c r="C87" i="71"/>
  <c r="C86" i="71" s="1"/>
  <c r="D86" i="71" s="1"/>
  <c r="F28" i="71"/>
  <c r="F27" i="71"/>
  <c r="F26" i="71" s="1"/>
  <c r="D63" i="71"/>
  <c r="D87" i="71"/>
  <c r="P67" i="71"/>
  <c r="E66" i="71"/>
  <c r="P65" i="71" s="1"/>
  <c r="C52" i="71"/>
  <c r="D43" i="71"/>
  <c r="D31"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18" i="36"/>
  <c r="H25" i="40"/>
  <c r="AB25" i="40" s="1"/>
  <c r="J25" i="40"/>
  <c r="H29" i="39"/>
  <c r="J29" i="39"/>
  <c r="AC29" i="39" s="1"/>
  <c r="J18" i="36"/>
  <c r="AC18" i="36" s="1"/>
  <c r="H18" i="35"/>
  <c r="AB18" i="35" s="1"/>
  <c r="J18" i="35"/>
  <c r="H21" i="37"/>
  <c r="AB21" i="37" s="1"/>
  <c r="F21" i="37"/>
  <c r="F84" i="34"/>
  <c r="H21" i="34"/>
  <c r="AB21" i="34" s="1"/>
  <c r="H21" i="33"/>
  <c r="U21" i="33" s="1"/>
  <c r="F21" i="33"/>
  <c r="E83" i="21"/>
  <c r="F83" i="21" s="1"/>
  <c r="G83" i="21" s="1"/>
  <c r="H1" i="69"/>
  <c r="AC25" i="40"/>
  <c r="W25" i="40"/>
  <c r="U25" i="40"/>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AZ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H47" i="34" s="1"/>
  <c r="U47" i="34" s="1"/>
  <c r="B129" i="34"/>
  <c r="B127" i="34"/>
  <c r="B99" i="34"/>
  <c r="B97" i="34"/>
  <c r="H31" i="34" s="1"/>
  <c r="B95" i="34"/>
  <c r="B93" i="34"/>
  <c r="B75" i="34"/>
  <c r="B73" i="34"/>
  <c r="F13" i="34" s="1"/>
  <c r="B71" i="34"/>
  <c r="J12" i="34" s="1"/>
  <c r="W12" i="34" s="1"/>
  <c r="B130" i="33"/>
  <c r="B128" i="33"/>
  <c r="B126" i="33"/>
  <c r="F44" i="33" s="1"/>
  <c r="S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AA35" i="39" s="1"/>
  <c r="U9" i="39"/>
  <c r="W40" i="39"/>
  <c r="W25" i="37"/>
  <c r="U30" i="37"/>
  <c r="W31" i="37"/>
  <c r="E103" i="37"/>
  <c r="F103" i="37"/>
  <c r="G103" i="37" s="1"/>
  <c r="H103" i="37" s="1"/>
  <c r="I103" i="37" s="1"/>
  <c r="J103" i="37" s="1"/>
  <c r="K103" i="37" s="1"/>
  <c r="L103" i="37" s="1"/>
  <c r="M103" i="37" s="1"/>
  <c r="F29" i="36"/>
  <c r="AA29" i="36" s="1"/>
  <c r="F16" i="36"/>
  <c r="AA16" i="36" s="1"/>
  <c r="W28" i="36"/>
  <c r="J33" i="36"/>
  <c r="AC33" i="36" s="1"/>
  <c r="H22" i="35"/>
  <c r="AB22" i="35" s="1"/>
  <c r="AC27" i="35"/>
  <c r="W28" i="35"/>
  <c r="U31" i="35"/>
  <c r="W22" i="35"/>
  <c r="U34" i="35"/>
  <c r="F36" i="34"/>
  <c r="J35" i="34"/>
  <c r="U34" i="34"/>
  <c r="H39" i="33"/>
  <c r="AB39" i="33"/>
  <c r="U33" i="33"/>
  <c r="W33" i="33"/>
  <c r="W39" i="33"/>
  <c r="H39" i="37"/>
  <c r="AB39" i="37" s="1"/>
  <c r="S27" i="35"/>
  <c r="F11" i="40"/>
  <c r="AA11" i="40"/>
  <c r="H11" i="40"/>
  <c r="AB11" i="40"/>
  <c r="W8" i="40"/>
  <c r="AB3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H30" i="21"/>
  <c r="U30" i="21"/>
  <c r="F30" i="21"/>
  <c r="S30" i="21" s="1"/>
  <c r="AC30" i="21"/>
  <c r="J44" i="21"/>
  <c r="AC44" i="21" s="1"/>
  <c r="H44" i="21"/>
  <c r="U44" i="21" s="1"/>
  <c r="F44" i="21"/>
  <c r="AA44" i="21" s="1"/>
  <c r="H46" i="21"/>
  <c r="U46" i="21"/>
  <c r="J46" i="21"/>
  <c r="F46" i="21"/>
  <c r="AA46"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J37" i="37"/>
  <c r="AC37" i="37" s="1"/>
  <c r="H37" i="37"/>
  <c r="U37" i="37"/>
  <c r="H40" i="37"/>
  <c r="U40" i="37" s="1"/>
  <c r="J40" i="37"/>
  <c r="AC40" i="37"/>
  <c r="F40" i="37"/>
  <c r="AA40" i="37" s="1"/>
  <c r="AC12" i="40"/>
  <c r="H14" i="33"/>
  <c r="U14" i="33" s="1"/>
  <c r="H30" i="33"/>
  <c r="AB30" i="33" s="1"/>
  <c r="F30" i="33"/>
  <c r="J30" i="33"/>
  <c r="H44" i="33"/>
  <c r="J44" i="33"/>
  <c r="AC44" i="33" s="1"/>
  <c r="J46" i="33"/>
  <c r="AC46" i="33"/>
  <c r="F46" i="33"/>
  <c r="AA46" i="33" s="1"/>
  <c r="H46" i="33"/>
  <c r="AB46" i="33"/>
  <c r="H13" i="34"/>
  <c r="U13" i="34" s="1"/>
  <c r="J13" i="34"/>
  <c r="W13" i="34" s="1"/>
  <c r="J29" i="34"/>
  <c r="F29" i="34"/>
  <c r="S29" i="34" s="1"/>
  <c r="H29" i="34"/>
  <c r="AB29" i="34" s="1"/>
  <c r="F31" i="34"/>
  <c r="S31" i="34" s="1"/>
  <c r="H45" i="34"/>
  <c r="U45" i="34" s="1"/>
  <c r="J45" i="34"/>
  <c r="W45" i="34"/>
  <c r="F45" i="34"/>
  <c r="S45" i="34" s="1"/>
  <c r="F47" i="34"/>
  <c r="S47" i="34" s="1"/>
  <c r="J47" i="34"/>
  <c r="AC47" i="34" s="1"/>
  <c r="F13" i="35"/>
  <c r="J13" i="35"/>
  <c r="AC13" i="35"/>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S14" i="37" s="1"/>
  <c r="F27" i="37"/>
  <c r="AA27" i="37"/>
  <c r="F13" i="39"/>
  <c r="J13" i="39"/>
  <c r="W13" i="39" s="1"/>
  <c r="H13" i="39"/>
  <c r="H14" i="40"/>
  <c r="AB14" i="40" s="1"/>
  <c r="J14" i="40"/>
  <c r="W14" i="40" s="1"/>
  <c r="F14" i="40"/>
  <c r="AA14" i="40"/>
  <c r="J14" i="37"/>
  <c r="J27" i="37"/>
  <c r="AC27" i="37"/>
  <c r="AA44" i="33"/>
  <c r="U46" i="33"/>
  <c r="J36" i="37"/>
  <c r="AC36" i="37"/>
  <c r="J10" i="36"/>
  <c r="AC10" i="36" s="1"/>
  <c r="AB30" i="21"/>
  <c r="AA14" i="37"/>
  <c r="S11" i="36"/>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4" i="3"/>
  <c r="BL530" i="3"/>
  <c r="BL526" i="3"/>
  <c r="BL522" i="3"/>
  <c r="BL516" i="3"/>
  <c r="BL512" i="3"/>
  <c r="BL506" i="3"/>
  <c r="AZ506" i="3" s="1"/>
  <c r="BL502" i="3"/>
  <c r="BL498" i="3"/>
  <c r="BL494" i="3"/>
  <c r="BL582" i="3"/>
  <c r="BL578"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78" i="3"/>
  <c r="BA576" i="3"/>
  <c r="AZ576" i="3" s="1"/>
  <c r="BA574" i="3"/>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3" i="3"/>
  <c r="BA579" i="3"/>
  <c r="BA577"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Q579" i="3"/>
  <c r="BL579" i="3"/>
  <c r="BQ577" i="3"/>
  <c r="BL577" i="3" s="1"/>
  <c r="BQ575" i="3"/>
  <c r="BL575" i="3"/>
  <c r="BQ573" i="3"/>
  <c r="BL573" i="3" s="1"/>
  <c r="BQ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C45" i="33"/>
  <c r="W44" i="33"/>
  <c r="U19" i="21"/>
  <c r="W44" i="21"/>
  <c r="AB38" i="21"/>
  <c r="F43" i="33"/>
  <c r="AA43" i="33" s="1"/>
  <c r="W15" i="34"/>
  <c r="AC15" i="34"/>
  <c r="W16" i="35"/>
  <c r="W40"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88" i="40"/>
  <c r="G88" i="40" s="1"/>
  <c r="F19" i="40"/>
  <c r="S19" i="40" s="1"/>
  <c r="S14" i="40"/>
  <c r="AC1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AZ203" i="3" s="1"/>
  <c r="BL204" i="3"/>
  <c r="AZ204" i="3" s="1"/>
  <c r="AZ67" i="3"/>
  <c r="AZ79"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162"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3" i="3"/>
  <c r="AZ241" i="3"/>
  <c r="BA379" i="3"/>
  <c r="AZ379" i="3" s="1"/>
  <c r="BL380" i="3"/>
  <c r="G381" i="3"/>
  <c r="BA383" i="3"/>
  <c r="AZ383" i="3" s="1"/>
  <c r="BL384" i="3"/>
  <c r="G385" i="3"/>
  <c r="BA387" i="3"/>
  <c r="BL388" i="3"/>
  <c r="G389" i="3"/>
  <c r="BA391" i="3"/>
  <c r="AZ391" i="3" s="1"/>
  <c r="BL392" i="3"/>
  <c r="G393" i="3"/>
  <c r="BO5" i="3"/>
  <c r="BM5" i="3"/>
  <c r="BJ5" i="3"/>
  <c r="BH5" i="3"/>
  <c r="BF5" i="3"/>
  <c r="BD5" i="3"/>
  <c r="AZ341" i="3"/>
  <c r="AC5" i="3"/>
  <c r="AZ496" i="3"/>
  <c r="G548" i="3"/>
  <c r="G538" i="3"/>
  <c r="G520" i="3"/>
  <c r="G502" i="3"/>
  <c r="BS5" i="3"/>
  <c r="BP5" i="3"/>
  <c r="BN5" i="3"/>
  <c r="G29" i="6" s="1"/>
  <c r="BK5" i="3"/>
  <c r="BI5" i="3"/>
  <c r="BG5" i="3"/>
  <c r="BE5" i="3"/>
  <c r="BC5" i="3"/>
  <c r="G17" i="3"/>
  <c r="BA17" i="3"/>
  <c r="BT5" i="3"/>
  <c r="AZ350" i="3"/>
  <c r="BA15" i="3"/>
  <c r="BR5" i="3"/>
  <c r="AZ380" i="3"/>
  <c r="AZ392" i="3"/>
  <c r="G509" i="3"/>
  <c r="BL493" i="3"/>
  <c r="AZ493" i="3"/>
  <c r="U36" i="40"/>
  <c r="F83" i="43"/>
  <c r="H85" i="43" s="1"/>
  <c r="F50" i="43"/>
  <c r="H54" i="43" s="1"/>
  <c r="F72" i="43"/>
  <c r="H75" i="43" s="1"/>
  <c r="U17" i="39"/>
  <c r="S14" i="35"/>
  <c r="U43" i="21"/>
  <c r="U35" i="21"/>
  <c r="AC35" i="21"/>
  <c r="W37" i="37"/>
  <c r="W44" i="34"/>
  <c r="AC44" i="34"/>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59" i="3"/>
  <c r="AZ130" i="3"/>
  <c r="AZ77" i="3"/>
  <c r="F23" i="39"/>
  <c r="AA23" i="39" s="1"/>
  <c r="H27" i="36"/>
  <c r="U27" i="36" s="1"/>
  <c r="F27" i="36"/>
  <c r="AA27" i="36" s="1"/>
  <c r="H33" i="34"/>
  <c r="U33" i="34" s="1"/>
  <c r="F32" i="37"/>
  <c r="S32" i="37" s="1"/>
  <c r="AA32" i="37"/>
  <c r="F20" i="36"/>
  <c r="AA20" i="36" s="1"/>
  <c r="J33" i="34"/>
  <c r="AC33" i="34" s="1"/>
  <c r="H23" i="39"/>
  <c r="U23" i="39" s="1"/>
  <c r="K9" i="1"/>
  <c r="M9" i="1" s="1"/>
  <c r="D93" i="9"/>
  <c r="W27" i="34"/>
  <c r="AC27" i="34"/>
  <c r="AB34" i="36"/>
  <c r="U34" i="36"/>
  <c r="AB33" i="36"/>
  <c r="U33" i="36"/>
  <c r="AC12" i="39"/>
  <c r="W12" i="39"/>
  <c r="AC39" i="40"/>
  <c r="W39" i="40"/>
  <c r="AZ433" i="3"/>
  <c r="AZ465" i="3"/>
  <c r="W12" i="33"/>
  <c r="AC12" i="33"/>
  <c r="AA32" i="36"/>
  <c r="S32" i="36"/>
  <c r="AZ437" i="3"/>
  <c r="BL14" i="3"/>
  <c r="AC13" i="34"/>
  <c r="AA47" i="34"/>
  <c r="W28" i="37"/>
  <c r="S19" i="39"/>
  <c r="F12" i="33"/>
  <c r="S12" i="33" s="1"/>
  <c r="H12" i="39"/>
  <c r="F39" i="40"/>
  <c r="BA14" i="3"/>
  <c r="AZ14" i="3" s="1"/>
  <c r="AZ149" i="3"/>
  <c r="AZ173" i="3"/>
  <c r="AZ181" i="3"/>
  <c r="B12" i="1"/>
  <c r="E12" i="1" s="1"/>
  <c r="B10" i="1"/>
  <c r="E10" i="1" s="1"/>
  <c r="K12" i="1"/>
  <c r="M12" i="1" s="1"/>
  <c r="S13" i="1"/>
  <c r="AR13" i="1" s="1"/>
  <c r="R13" i="1"/>
  <c r="J51" i="67"/>
  <c r="C42" i="1"/>
  <c r="C24" i="12" s="1"/>
  <c r="B41" i="1"/>
  <c r="F28" i="67"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U23" i="36"/>
  <c r="AB20" i="36"/>
  <c r="U16"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U39" i="34"/>
  <c r="S43" i="34"/>
  <c r="AB41"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L17" i="3"/>
  <c r="BL13" i="3"/>
  <c r="J56" i="9"/>
  <c r="J57" i="9" s="1"/>
  <c r="J59" i="9" s="1"/>
  <c r="J61" i="9" s="1"/>
  <c r="A24" i="51"/>
  <c r="B18" i="72" s="1"/>
  <c r="U29" i="34"/>
  <c r="E5" i="6"/>
  <c r="E32" i="6"/>
  <c r="G1" i="68"/>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C38" i="21"/>
  <c r="H32" i="21"/>
  <c r="AB32" i="21" s="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2" i="67"/>
  <c r="F60" i="67" s="1"/>
  <c r="F32" i="15"/>
  <c r="F60" i="15" s="1"/>
  <c r="F28" i="15"/>
  <c r="AA39" i="40"/>
  <c r="S39" i="40"/>
  <c r="AA12" i="33"/>
  <c r="D68" i="9"/>
  <c r="F54" i="9"/>
  <c r="J32" i="39"/>
  <c r="H32" i="39"/>
  <c r="AB32" i="39" s="1"/>
  <c r="AA32" i="39"/>
  <c r="S32" i="39"/>
  <c r="AB21" i="39"/>
  <c r="U21" i="39"/>
  <c r="AA21" i="39"/>
  <c r="S21" i="39"/>
  <c r="AC17" i="37"/>
  <c r="S17" i="37"/>
  <c r="J19" i="37"/>
  <c r="W19" i="37" s="1"/>
  <c r="G75" i="37"/>
  <c r="AA23" i="37"/>
  <c r="J23" i="37"/>
  <c r="W23" i="37" s="1"/>
  <c r="G79" i="37"/>
  <c r="J10" i="37"/>
  <c r="W10" i="37" s="1"/>
  <c r="H11" i="37"/>
  <c r="AB11" i="37" s="1"/>
  <c r="G70" i="34"/>
  <c r="H70" i="34" s="1"/>
  <c r="I70" i="34" s="1"/>
  <c r="J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S25" i="33"/>
  <c r="AA25" i="33"/>
  <c r="G87" i="33"/>
  <c r="H87" i="33" s="1"/>
  <c r="I87" i="33" s="1"/>
  <c r="J87" i="33" s="1"/>
  <c r="K87" i="33" s="1"/>
  <c r="L87" i="33" s="1"/>
  <c r="M87" i="33" s="1"/>
  <c r="J25" i="33"/>
  <c r="W25" i="33" s="1"/>
  <c r="AB23" i="33"/>
  <c r="F23" i="33"/>
  <c r="G85" i="33"/>
  <c r="AA19" i="33"/>
  <c r="H19" i="33"/>
  <c r="G81" i="33"/>
  <c r="H17" i="33"/>
  <c r="U17" i="33" s="1"/>
  <c r="F17" i="33"/>
  <c r="S17" i="33" s="1"/>
  <c r="S37" i="21"/>
  <c r="AA23" i="21"/>
  <c r="AB15" i="21"/>
  <c r="J23" i="21"/>
  <c r="F85" i="21"/>
  <c r="G85" i="21" s="1"/>
  <c r="H23" i="21"/>
  <c r="AP7" i="1"/>
  <c r="AB45" i="21"/>
  <c r="AA32" i="21"/>
  <c r="S32" i="21"/>
  <c r="AC9" i="21"/>
  <c r="U32" i="21"/>
  <c r="AC32" i="39"/>
  <c r="W32" i="39"/>
  <c r="J11" i="37"/>
  <c r="AC11" i="37" s="1"/>
  <c r="K70" i="34"/>
  <c r="L70" i="34" s="1"/>
  <c r="M70" i="34" s="1"/>
  <c r="J11" i="34"/>
  <c r="W11" i="34" s="1"/>
  <c r="AB36" i="33"/>
  <c r="AC27" i="33"/>
  <c r="AB19" i="33"/>
  <c r="U19" i="33"/>
  <c r="U23" i="21"/>
  <c r="AB23" i="21"/>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E10" i="76"/>
  <c r="E12" i="76"/>
  <c r="B12" i="76"/>
  <c r="E11" i="76"/>
  <c r="D6" i="73"/>
  <c r="E9" i="76"/>
  <c r="E7" i="76"/>
  <c r="F20" i="31"/>
  <c r="F7" i="73"/>
  <c r="B13" i="76"/>
  <c r="E2" i="68"/>
  <c r="B10" i="76"/>
  <c r="E2" i="69"/>
  <c r="B8" i="76"/>
  <c r="B9" i="76"/>
  <c r="E8" i="76"/>
  <c r="F4" i="73"/>
  <c r="B7" i="76"/>
  <c r="B11" i="76"/>
  <c r="F3" i="73"/>
  <c r="F6" i="73"/>
  <c r="AO13" i="1"/>
  <c r="E13" i="76"/>
  <c r="D56" i="43" l="1"/>
  <c r="D53" i="43"/>
  <c r="D52" i="43"/>
  <c r="C40" i="68"/>
  <c r="E1" i="73"/>
  <c r="G26" i="12"/>
  <c r="G22" i="11"/>
  <c r="G22" i="68"/>
  <c r="G1" i="67"/>
  <c r="G1" i="69"/>
  <c r="K6" i="1"/>
  <c r="AP6" i="1" s="1"/>
  <c r="C36" i="69" s="1"/>
  <c r="G1" i="15"/>
  <c r="B6" i="1"/>
  <c r="E6" i="1" s="1"/>
  <c r="BB5" i="3"/>
  <c r="A15" i="62"/>
  <c r="B61" i="72" s="1"/>
  <c r="C21" i="71"/>
  <c r="D21" i="71" s="1"/>
  <c r="U9" i="21"/>
  <c r="U25" i="33"/>
  <c r="F30" i="69"/>
  <c r="F48" i="69" s="1"/>
  <c r="AA13" i="21"/>
  <c r="S13" i="21"/>
  <c r="AC17" i="21"/>
  <c r="S27" i="40"/>
  <c r="AA27" i="40"/>
  <c r="AZ342" i="3"/>
  <c r="S12" i="39"/>
  <c r="AA12" i="39"/>
  <c r="AZ572" i="3"/>
  <c r="AC25" i="33"/>
  <c r="U32" i="39"/>
  <c r="F48" i="9"/>
  <c r="O52" i="9" s="1"/>
  <c r="F30" i="11"/>
  <c r="C48" i="11" s="1"/>
  <c r="M18" i="67"/>
  <c r="M18" i="15"/>
  <c r="AB12" i="39"/>
  <c r="U12" i="39"/>
  <c r="W11" i="39"/>
  <c r="AC11" i="39"/>
  <c r="D8" i="53"/>
  <c r="D120" i="9"/>
  <c r="AA13" i="34"/>
  <c r="S13" i="34"/>
  <c r="AA17" i="33"/>
  <c r="AC23" i="37"/>
  <c r="AC17" i="33"/>
  <c r="S30" i="40"/>
  <c r="U34" i="33"/>
  <c r="AB34" i="33"/>
  <c r="AZ17" i="3"/>
  <c r="AZ389" i="3"/>
  <c r="W15" i="37"/>
  <c r="AC15" i="37"/>
  <c r="S19" i="37"/>
  <c r="AA19" i="37"/>
  <c r="U27" i="40"/>
  <c r="AB27" i="40"/>
  <c r="AA15" i="37"/>
  <c r="S15" i="37"/>
  <c r="W12" i="37"/>
  <c r="AC12" i="37"/>
  <c r="S36" i="35"/>
  <c r="AA36" i="35"/>
  <c r="AZ573" i="3"/>
  <c r="J12" i="36"/>
  <c r="H12" i="36"/>
  <c r="AC31" i="40"/>
  <c r="W31" i="40"/>
  <c r="AZ345" i="3"/>
  <c r="AZ372" i="3"/>
  <c r="AZ337" i="3"/>
  <c r="AZ376" i="3"/>
  <c r="AZ309" i="3"/>
  <c r="AZ549" i="3"/>
  <c r="W47" i="34"/>
  <c r="U14" i="40"/>
  <c r="AZ515" i="3"/>
  <c r="AZ533" i="3"/>
  <c r="AZ561" i="3"/>
  <c r="AZ569" i="3"/>
  <c r="AZ571" i="3"/>
  <c r="AZ579" i="3"/>
  <c r="AZ524" i="3"/>
  <c r="B97" i="43"/>
  <c r="B75" i="43"/>
  <c r="J24" i="36"/>
  <c r="H24" i="36"/>
  <c r="F24" i="36"/>
  <c r="H44" i="39"/>
  <c r="J44" i="39"/>
  <c r="AA31" i="35"/>
  <c r="S31" i="35"/>
  <c r="BL550" i="3"/>
  <c r="AA35" i="33"/>
  <c r="AC39" i="34"/>
  <c r="S20" i="35"/>
  <c r="U29" i="35"/>
  <c r="AA34" i="33"/>
  <c r="U30" i="33"/>
  <c r="AZ387" i="3"/>
  <c r="AZ362" i="3"/>
  <c r="AZ338" i="3"/>
  <c r="AZ390" i="3"/>
  <c r="AZ371" i="3"/>
  <c r="AZ351" i="3"/>
  <c r="AZ336" i="3"/>
  <c r="AZ305" i="3"/>
  <c r="AZ360" i="3"/>
  <c r="AB33" i="40"/>
  <c r="AC31" i="33"/>
  <c r="AZ539" i="3"/>
  <c r="AZ529" i="3"/>
  <c r="AZ537" i="3"/>
  <c r="AZ518" i="3"/>
  <c r="AZ526" i="3"/>
  <c r="AZ546" i="3"/>
  <c r="AZ564" i="3"/>
  <c r="AB45" i="33"/>
  <c r="J31" i="34"/>
  <c r="F14" i="33"/>
  <c r="S28" i="34"/>
  <c r="U35" i="33"/>
  <c r="J26" i="33"/>
  <c r="F26" i="33"/>
  <c r="H26" i="33"/>
  <c r="H36" i="35"/>
  <c r="J36" i="35"/>
  <c r="AC36" i="35" s="1"/>
  <c r="J39" i="37"/>
  <c r="F39" i="37"/>
  <c r="S39" i="37" s="1"/>
  <c r="AB35" i="34"/>
  <c r="S14" i="36"/>
  <c r="AC34" i="33"/>
  <c r="U12" i="40"/>
  <c r="F29" i="6"/>
  <c r="AZ318" i="3"/>
  <c r="AZ304" i="3"/>
  <c r="AZ306" i="3"/>
  <c r="U11" i="33"/>
  <c r="AA13" i="33"/>
  <c r="AZ535" i="3"/>
  <c r="AZ577" i="3"/>
  <c r="AZ557" i="3"/>
  <c r="AZ513" i="3"/>
  <c r="AZ575" i="3"/>
  <c r="AZ566" i="3"/>
  <c r="AZ574" i="3"/>
  <c r="AZ582" i="3"/>
  <c r="AZ540" i="3"/>
  <c r="AZ502" i="3"/>
  <c r="AC11" i="35"/>
  <c r="F28" i="21"/>
  <c r="F12" i="36"/>
  <c r="S44" i="39"/>
  <c r="AB9" i="40"/>
  <c r="U9" i="40"/>
  <c r="AZ443" i="3"/>
  <c r="G585" i="3"/>
  <c r="BL587" i="3"/>
  <c r="AZ587" i="3" s="1"/>
  <c r="BL586" i="3"/>
  <c r="AZ586" i="3" s="1"/>
  <c r="J9" i="34"/>
  <c r="H12" i="34"/>
  <c r="G574" i="3"/>
  <c r="BA401" i="3"/>
  <c r="BA403" i="3"/>
  <c r="AZ403" i="3" s="1"/>
  <c r="BA404" i="3"/>
  <c r="BA405" i="3"/>
  <c r="AZ405" i="3" s="1"/>
  <c r="BL410" i="3"/>
  <c r="G412" i="3"/>
  <c r="G418" i="3"/>
  <c r="BL431" i="3"/>
  <c r="BL434" i="3"/>
  <c r="G437" i="3"/>
  <c r="BL438" i="3"/>
  <c r="BL439" i="3"/>
  <c r="BA441" i="3"/>
  <c r="AZ441" i="3" s="1"/>
  <c r="BL445" i="3"/>
  <c r="BL446" i="3"/>
  <c r="BA449" i="3"/>
  <c r="F27" i="21"/>
  <c r="AB8" i="39"/>
  <c r="C15" i="39"/>
  <c r="AA9" i="40"/>
  <c r="U31" i="36"/>
  <c r="G587" i="3"/>
  <c r="J12" i="35"/>
  <c r="F25" i="37"/>
  <c r="BA551" i="3"/>
  <c r="AZ551" i="3" s="1"/>
  <c r="BA550" i="3"/>
  <c r="AZ550" i="3" s="1"/>
  <c r="BL548" i="3"/>
  <c r="AZ548" i="3" s="1"/>
  <c r="G423" i="3"/>
  <c r="BL424" i="3"/>
  <c r="G427" i="3"/>
  <c r="BL428" i="3"/>
  <c r="BL429" i="3"/>
  <c r="BL432" i="3"/>
  <c r="BL435" i="3"/>
  <c r="BL436" i="3"/>
  <c r="BA439" i="3"/>
  <c r="BA440" i="3"/>
  <c r="AZ440" i="3" s="1"/>
  <c r="BA442" i="3"/>
  <c r="BA445" i="3"/>
  <c r="BA447" i="3"/>
  <c r="AZ447" i="3" s="1"/>
  <c r="BL453" i="3"/>
  <c r="BL454" i="3"/>
  <c r="BL585" i="3"/>
  <c r="AZ585"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8" i="3"/>
  <c r="BL448" i="3"/>
  <c r="AZ448" i="3" s="1"/>
  <c r="G450" i="3"/>
  <c r="BA451" i="3"/>
  <c r="AZ451" i="3" s="1"/>
  <c r="BL455" i="3"/>
  <c r="G456" i="3"/>
  <c r="BL456" i="3"/>
  <c r="AZ480"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BA426" i="3"/>
  <c r="BA427" i="3"/>
  <c r="AZ427" i="3" s="1"/>
  <c r="AZ435" i="3"/>
  <c r="BL450" i="3"/>
  <c r="G458" i="3"/>
  <c r="BL459" i="3"/>
  <c r="AZ469" i="3"/>
  <c r="AZ217" i="3"/>
  <c r="BA446" i="3"/>
  <c r="BA450" i="3"/>
  <c r="BA453" i="3"/>
  <c r="AZ453" i="3" s="1"/>
  <c r="BA455" i="3"/>
  <c r="AZ455" i="3" s="1"/>
  <c r="BL457" i="3"/>
  <c r="BL460" i="3"/>
  <c r="BL461" i="3"/>
  <c r="BL463" i="3"/>
  <c r="G465" i="3"/>
  <c r="BA471" i="3"/>
  <c r="AZ471" i="3" s="1"/>
  <c r="G488"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A228" i="3"/>
  <c r="AZ228" i="3" s="1"/>
  <c r="BA229" i="3"/>
  <c r="AZ229" i="3" s="1"/>
  <c r="BL229" i="3"/>
  <c r="BL232" i="3"/>
  <c r="BL234" i="3"/>
  <c r="BA236" i="3"/>
  <c r="G241" i="3"/>
  <c r="BA244" i="3"/>
  <c r="AZ244" i="3" s="1"/>
  <c r="BL244" i="3"/>
  <c r="BA248" i="3"/>
  <c r="AZ248" i="3" s="1"/>
  <c r="BA252" i="3"/>
  <c r="AZ252" i="3" s="1"/>
  <c r="BA254" i="3"/>
  <c r="AZ254" i="3" s="1"/>
  <c r="BA258" i="3"/>
  <c r="BL262" i="3"/>
  <c r="G263" i="3"/>
  <c r="BL264" i="3"/>
  <c r="G268" i="3"/>
  <c r="BA271" i="3"/>
  <c r="AZ271" i="3" s="1"/>
  <c r="BL271" i="3"/>
  <c r="G281" i="3"/>
  <c r="BA282" i="3"/>
  <c r="BL282" i="3"/>
  <c r="BA288" i="3"/>
  <c r="BL290" i="3"/>
  <c r="BL291" i="3"/>
  <c r="AZ291" i="3" s="1"/>
  <c r="BL293" i="3"/>
  <c r="BL294" i="3"/>
  <c r="BA297" i="3"/>
  <c r="AZ297" i="3" s="1"/>
  <c r="BL297" i="3"/>
  <c r="BA301"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L224" i="3"/>
  <c r="BA227" i="3"/>
  <c r="AZ227" i="3" s="1"/>
  <c r="BL298" i="3"/>
  <c r="G299" i="3"/>
  <c r="BL300"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39" i="3"/>
  <c r="BL239" i="3"/>
  <c r="BL248" i="3"/>
  <c r="BA269" i="3"/>
  <c r="AZ269" i="3" s="1"/>
  <c r="BA276" i="3"/>
  <c r="BA284" i="3"/>
  <c r="BL286" i="3"/>
  <c r="AZ286" i="3" s="1"/>
  <c r="G302" i="3"/>
  <c r="G462" i="3"/>
  <c r="BL214" i="3"/>
  <c r="AZ214" i="3" s="1"/>
  <c r="BA238" i="3"/>
  <c r="AZ238" i="3" s="1"/>
  <c r="BL242" i="3"/>
  <c r="BL243" i="3"/>
  <c r="AZ243" i="3" s="1"/>
  <c r="BA250" i="3"/>
  <c r="AZ250" i="3" s="1"/>
  <c r="BL261" i="3"/>
  <c r="BA267" i="3"/>
  <c r="AZ267" i="3" s="1"/>
  <c r="BA274" i="3"/>
  <c r="BL274" i="3"/>
  <c r="BA279" i="3"/>
  <c r="AZ302" i="3"/>
  <c r="AZ177" i="3"/>
  <c r="S76" i="71"/>
  <c r="B75" i="71"/>
  <c r="B74" i="71" s="1"/>
  <c r="U80" i="71"/>
  <c r="E79" i="71"/>
  <c r="E78" i="71" s="1"/>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L191" i="3"/>
  <c r="AZ191" i="3" s="1"/>
  <c r="BA193" i="3"/>
  <c r="BA196" i="3"/>
  <c r="AZ196" i="3" s="1"/>
  <c r="G203" i="3"/>
  <c r="BA205" i="3"/>
  <c r="AZ205" i="3" s="1"/>
  <c r="C25" i="40"/>
  <c r="B88" i="43"/>
  <c r="AB39" i="71"/>
  <c r="AB33" i="71"/>
  <c r="AB28" i="71"/>
  <c r="AB34" i="71"/>
  <c r="D54" i="71"/>
  <c r="C55" i="71"/>
  <c r="V68" i="71"/>
  <c r="Q68" i="71"/>
  <c r="F67" i="71"/>
  <c r="BA224" i="3"/>
  <c r="BA226" i="3"/>
  <c r="BA237" i="3"/>
  <c r="AZ237" i="3" s="1"/>
  <c r="BL240" i="3"/>
  <c r="AZ240" i="3" s="1"/>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BL283" i="3"/>
  <c r="AZ283" i="3" s="1"/>
  <c r="BL284" i="3"/>
  <c r="G288" i="3"/>
  <c r="BL292" i="3"/>
  <c r="BA294" i="3"/>
  <c r="AZ294" i="3" s="1"/>
  <c r="BL295" i="3"/>
  <c r="BA298" i="3"/>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206" i="3"/>
  <c r="BA18" i="3"/>
  <c r="BL21" i="3"/>
  <c r="G23" i="3"/>
  <c r="BA43"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90" i="3"/>
  <c r="BL193" i="3"/>
  <c r="G194" i="3"/>
  <c r="BL194" i="3"/>
  <c r="AZ194" i="3" s="1"/>
  <c r="BA198" i="3"/>
  <c r="AZ198" i="3" s="1"/>
  <c r="G204" i="3"/>
  <c r="BL24" i="3"/>
  <c r="G25" i="3"/>
  <c r="BA40" i="3"/>
  <c r="BL29" i="3"/>
  <c r="G33" i="3"/>
  <c r="G34" i="3"/>
  <c r="BA37" i="3"/>
  <c r="G39" i="3"/>
  <c r="BL39" i="3"/>
  <c r="G43" i="3"/>
  <c r="G44" i="3"/>
  <c r="BA45" i="3"/>
  <c r="AZ45" i="3" s="1"/>
  <c r="BA46" i="3"/>
  <c r="BL49" i="3"/>
  <c r="AZ49" i="3" s="1"/>
  <c r="BL50" i="3"/>
  <c r="AZ50" i="3" s="1"/>
  <c r="BL51" i="3"/>
  <c r="AZ51" i="3" s="1"/>
  <c r="G53" i="3"/>
  <c r="BL53" i="3"/>
  <c r="BA56" i="3"/>
  <c r="BA57" i="3"/>
  <c r="BL58" i="3"/>
  <c r="BA60" i="3"/>
  <c r="BA63" i="3"/>
  <c r="AZ63" i="3" s="1"/>
  <c r="BA66" i="3"/>
  <c r="AZ66" i="3" s="1"/>
  <c r="BL81" i="3"/>
  <c r="BA82" i="3"/>
  <c r="BL85" i="3"/>
  <c r="BA86" i="3"/>
  <c r="AZ86" i="3" s="1"/>
  <c r="BA87" i="3"/>
  <c r="BA91" i="3"/>
  <c r="AZ91" i="3" s="1"/>
  <c r="BA100" i="3"/>
  <c r="AZ100" i="3" s="1"/>
  <c r="BA110" i="3"/>
  <c r="AZ110" i="3" s="1"/>
  <c r="AA21" i="33"/>
  <c r="S21" i="33"/>
  <c r="AA21" i="37"/>
  <c r="S21" i="37"/>
  <c r="AA25" i="40"/>
  <c r="S25" i="40"/>
  <c r="T52" i="71"/>
  <c r="D52" i="71"/>
  <c r="D28" i="71"/>
  <c r="U28" i="71" s="1"/>
  <c r="T28" i="71"/>
  <c r="T32" i="71"/>
  <c r="D32" i="71"/>
  <c r="Y30" i="71"/>
  <c r="Z30" i="71" s="1"/>
  <c r="X31" i="71"/>
  <c r="B34" i="71"/>
  <c r="B35" i="71" s="1"/>
  <c r="B36" i="71" s="1"/>
  <c r="S36" i="71" s="1"/>
  <c r="X26" i="71"/>
  <c r="X39" i="71"/>
  <c r="X34" i="71"/>
  <c r="X38" i="71"/>
  <c r="S68" i="71"/>
  <c r="B67" i="71"/>
  <c r="N68" i="71"/>
  <c r="BL20" i="3"/>
  <c r="BA21" i="3"/>
  <c r="AZ21" i="3" s="1"/>
  <c r="BA25" i="3"/>
  <c r="BA26" i="3"/>
  <c r="BL28" i="3"/>
  <c r="BA29" i="3"/>
  <c r="AZ29" i="3" s="1"/>
  <c r="BA36" i="3"/>
  <c r="BL38" i="3"/>
  <c r="BA39" i="3"/>
  <c r="AZ39" i="3" s="1"/>
  <c r="BL47" i="3"/>
  <c r="AZ47" i="3" s="1"/>
  <c r="BA52" i="3"/>
  <c r="AZ52" i="3" s="1"/>
  <c r="BA53" i="3"/>
  <c r="AZ53" i="3" s="1"/>
  <c r="BA54" i="3"/>
  <c r="BL57" i="3"/>
  <c r="BL70" i="3"/>
  <c r="AZ70" i="3" s="1"/>
  <c r="BL71" i="3"/>
  <c r="AZ71" i="3" s="1"/>
  <c r="BL72" i="3"/>
  <c r="AZ72" i="3" s="1"/>
  <c r="BL75" i="3"/>
  <c r="G81" i="3"/>
  <c r="BL92" i="3"/>
  <c r="BL97" i="3"/>
  <c r="AZ97" i="3" s="1"/>
  <c r="BL101" i="3"/>
  <c r="BL102" i="3"/>
  <c r="AZ102" i="3" s="1"/>
  <c r="G105" i="3"/>
  <c r="BL106" i="3"/>
  <c r="BA108" i="3"/>
  <c r="AZ108" i="3" s="1"/>
  <c r="B27" i="71"/>
  <c r="B26" i="71" s="1"/>
  <c r="S28" i="71"/>
  <c r="C26" i="71"/>
  <c r="D26" i="71" s="1"/>
  <c r="D27" i="71"/>
  <c r="AA3" i="71"/>
  <c r="AA28" i="71"/>
  <c r="D34" i="71"/>
  <c r="C35" i="71"/>
  <c r="Y38" i="71"/>
  <c r="Z38" i="71" s="1"/>
  <c r="Y27" i="71"/>
  <c r="Z27" i="71" s="1"/>
  <c r="Y29" i="71"/>
  <c r="Z29" i="71" s="1"/>
  <c r="Y25" i="71"/>
  <c r="Z25" i="71"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BL61" i="3"/>
  <c r="G64" i="3"/>
  <c r="BA64" i="3"/>
  <c r="AZ64" i="3" s="1"/>
  <c r="G67" i="3"/>
  <c r="BL68" i="3"/>
  <c r="BA69" i="3"/>
  <c r="AZ69" i="3" s="1"/>
  <c r="G72" i="3"/>
  <c r="BL73" i="3"/>
  <c r="BA74" i="3"/>
  <c r="AZ74" i="3" s="1"/>
  <c r="BA75" i="3"/>
  <c r="BL82" i="3"/>
  <c r="G83" i="3"/>
  <c r="BA84" i="3"/>
  <c r="BL88" i="3"/>
  <c r="AZ88" i="3" s="1"/>
  <c r="G90" i="3"/>
  <c r="BL90" i="3"/>
  <c r="BL94" i="3"/>
  <c r="AZ94" i="3" s="1"/>
  <c r="BA111" i="3"/>
  <c r="F3" i="35"/>
  <c r="AB29" i="39"/>
  <c r="U29" i="39"/>
  <c r="AA21" i="34"/>
  <c r="S21" i="34"/>
  <c r="P27" i="6"/>
  <c r="D67" i="71"/>
  <c r="C66" i="71"/>
  <c r="O67" i="71"/>
  <c r="Y26" i="71"/>
  <c r="Z26" i="71" s="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X25" i="71"/>
  <c r="V24" i="71"/>
  <c r="E23" i="71"/>
  <c r="E22" i="71" s="1"/>
  <c r="E21" i="71" s="1"/>
  <c r="E20" i="71" s="1"/>
  <c r="AB25" i="71"/>
  <c r="X33" i="71"/>
  <c r="AB37" i="71"/>
  <c r="BA58" i="3"/>
  <c r="AZ58" i="3" s="1"/>
  <c r="BL59" i="3"/>
  <c r="BL60" i="3"/>
  <c r="BA61" i="3"/>
  <c r="AZ61" i="3" s="1"/>
  <c r="BA68" i="3"/>
  <c r="BA73" i="3"/>
  <c r="BA80" i="3"/>
  <c r="G84" i="3"/>
  <c r="BL84" i="3"/>
  <c r="BA89" i="3"/>
  <c r="G99" i="3"/>
  <c r="G103" i="3"/>
  <c r="BA103" i="3"/>
  <c r="AZ103" i="3" s="1"/>
  <c r="BA104" i="3"/>
  <c r="BA106" i="3"/>
  <c r="BL108" i="3"/>
  <c r="G110" i="3"/>
  <c r="BL111" i="3"/>
  <c r="C21" i="68"/>
  <c r="U21" i="37"/>
  <c r="P66" i="71"/>
  <c r="AA27" i="71"/>
  <c r="AB26" i="71"/>
  <c r="C83" i="71"/>
  <c r="C79" i="71"/>
  <c r="C75" i="71"/>
  <c r="C71" i="71"/>
  <c r="C39" i="71"/>
  <c r="Y28" i="71"/>
  <c r="Z28" i="71" s="1"/>
  <c r="X28" i="71"/>
  <c r="X32" i="71"/>
  <c r="F38" i="71"/>
  <c r="F39" i="71" s="1"/>
  <c r="F40" i="71" s="1"/>
  <c r="V40" i="71" s="1"/>
  <c r="AB38" i="71"/>
  <c r="B79" i="71"/>
  <c r="B78" i="71" s="1"/>
  <c r="BA101" i="3"/>
  <c r="AZ101" i="3" s="1"/>
  <c r="G108" i="3"/>
  <c r="BL112" i="3"/>
  <c r="AB21" i="33"/>
  <c r="F35" i="71"/>
  <c r="F36" i="71" s="1"/>
  <c r="V36" i="71" s="1"/>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M6" i="67"/>
  <c r="F37" i="67"/>
  <c r="D5" i="73"/>
  <c r="M24" i="67"/>
  <c r="J15" i="67"/>
  <c r="F42" i="67"/>
  <c r="F7" i="15"/>
  <c r="F43" i="15"/>
  <c r="L47" i="67"/>
  <c r="M9" i="15"/>
  <c r="L47" i="15"/>
  <c r="L48" i="15"/>
  <c r="F43" i="67"/>
  <c r="M24" i="15"/>
  <c r="F7" i="67"/>
  <c r="M22" i="15"/>
  <c r="M26" i="15"/>
  <c r="F16" i="15"/>
  <c r="M6" i="15"/>
  <c r="M28" i="67"/>
  <c r="F36" i="15"/>
  <c r="F26" i="67"/>
  <c r="J15" i="15"/>
  <c r="D7" i="73"/>
  <c r="F6" i="67"/>
  <c r="M29" i="67"/>
  <c r="F8" i="67"/>
  <c r="F6" i="15"/>
  <c r="F26" i="15"/>
  <c r="F42" i="15"/>
  <c r="F38" i="15"/>
  <c r="C76" i="15"/>
  <c r="F40" i="15"/>
  <c r="D4" i="73"/>
  <c r="D3" i="73"/>
  <c r="M28" i="15"/>
  <c r="M26" i="67"/>
  <c r="M29" i="15"/>
  <c r="F9" i="67"/>
  <c r="L48" i="67"/>
  <c r="F9" i="15"/>
  <c r="M23" i="67"/>
  <c r="M8" i="15"/>
  <c r="F13" i="15"/>
  <c r="F13" i="67"/>
  <c r="F36" i="67"/>
  <c r="C76" i="67"/>
  <c r="F40" i="67"/>
  <c r="F8" i="15"/>
  <c r="C36" i="68"/>
  <c r="F38" i="67"/>
  <c r="F16" i="67"/>
  <c r="M8" i="67"/>
  <c r="F37" i="15"/>
  <c r="M9" i="67"/>
  <c r="M23" i="15"/>
  <c r="M22" i="67"/>
  <c r="C48" i="69" l="1"/>
  <c r="C30" i="69"/>
  <c r="Q16" i="1"/>
  <c r="F27" i="69" s="1"/>
  <c r="C47" i="69" s="1"/>
  <c r="D45" i="69" s="1"/>
  <c r="H16" i="1"/>
  <c r="F65" i="15"/>
  <c r="F50" i="15"/>
  <c r="M7" i="15"/>
  <c r="J6" i="15" s="1"/>
  <c r="J18" i="15" s="1"/>
  <c r="C27" i="15"/>
  <c r="C6" i="15"/>
  <c r="C32" i="15" s="1"/>
  <c r="J53" i="15"/>
  <c r="L56" i="15" s="1"/>
  <c r="J57" i="15"/>
  <c r="J55" i="15" s="1"/>
  <c r="J58" i="15" s="1"/>
  <c r="Q50" i="15" s="1"/>
  <c r="I54" i="15"/>
  <c r="Q71" i="15"/>
  <c r="M59" i="15"/>
  <c r="L59" i="15"/>
  <c r="Q61" i="15" s="1"/>
  <c r="N59" i="15"/>
  <c r="L58" i="15"/>
  <c r="Q60" i="15" s="1"/>
  <c r="F71" i="15"/>
  <c r="F66" i="15"/>
  <c r="F51" i="15"/>
  <c r="F51" i="67"/>
  <c r="F71" i="67"/>
  <c r="Q71" i="67"/>
  <c r="C6" i="67"/>
  <c r="C32" i="67" s="1"/>
  <c r="F66" i="67"/>
  <c r="F68" i="67"/>
  <c r="F50" i="67"/>
  <c r="M7" i="67"/>
  <c r="J6" i="67" s="1"/>
  <c r="J18" i="67" s="1"/>
  <c r="F64" i="67"/>
  <c r="C27" i="67"/>
  <c r="L58" i="67"/>
  <c r="Q60" i="67" s="1"/>
  <c r="M59" i="67"/>
  <c r="N59" i="67"/>
  <c r="L59" i="67"/>
  <c r="Q74" i="67" s="1"/>
  <c r="F65" i="67"/>
  <c r="J57" i="67"/>
  <c r="J55" i="67" s="1"/>
  <c r="J58" i="67" s="1"/>
  <c r="Q50" i="67" s="1"/>
  <c r="L56" i="67"/>
  <c r="I54" i="67"/>
  <c r="J53" i="67"/>
  <c r="F1" i="67" s="1"/>
  <c r="P6" i="1"/>
  <c r="C13" i="12" s="1"/>
  <c r="N94" i="46"/>
  <c r="N370" i="46"/>
  <c r="J26" i="43"/>
  <c r="F26" i="43"/>
  <c r="J7" i="36"/>
  <c r="F64" i="15"/>
  <c r="F68" i="15"/>
  <c r="D71" i="71"/>
  <c r="C70" i="71"/>
  <c r="D70" i="71" s="1"/>
  <c r="AZ59" i="3"/>
  <c r="C36" i="71"/>
  <c r="D35" i="71"/>
  <c r="AZ57" i="3"/>
  <c r="W12" i="35"/>
  <c r="AC12" i="35"/>
  <c r="W26" i="33"/>
  <c r="AC26" i="33"/>
  <c r="W31" i="34"/>
  <c r="AC31" i="34"/>
  <c r="AB24" i="36"/>
  <c r="U24" i="36"/>
  <c r="W12" i="36"/>
  <c r="AC12" i="36"/>
  <c r="D121" i="9"/>
  <c r="D7" i="52" s="1"/>
  <c r="D6" i="52"/>
  <c r="E26" i="43"/>
  <c r="H26" i="43"/>
  <c r="C74" i="71"/>
  <c r="D74" i="71" s="1"/>
  <c r="D75" i="71"/>
  <c r="T60" i="71"/>
  <c r="D60" i="71"/>
  <c r="AZ178" i="3"/>
  <c r="AZ118" i="3"/>
  <c r="AZ262" i="3"/>
  <c r="AZ242" i="3"/>
  <c r="AZ224" i="3"/>
  <c r="D55" i="71"/>
  <c r="C56" i="71"/>
  <c r="AZ126" i="3"/>
  <c r="AZ464" i="3"/>
  <c r="AZ368" i="3"/>
  <c r="AZ353" i="3"/>
  <c r="AZ425" i="3"/>
  <c r="AZ428" i="3"/>
  <c r="AZ404" i="3"/>
  <c r="U12" i="34"/>
  <c r="AB12" i="34"/>
  <c r="AB36" i="35"/>
  <c r="U36" i="35"/>
  <c r="AC44" i="39"/>
  <c r="W44" i="39"/>
  <c r="AC24" i="36"/>
  <c r="W24" i="36"/>
  <c r="G5" i="3"/>
  <c r="B3" i="3" s="1"/>
  <c r="E539" i="3" s="1"/>
  <c r="D79" i="71"/>
  <c r="C78" i="71"/>
  <c r="D78" i="71" s="1"/>
  <c r="O65" i="71"/>
  <c r="O66" i="71"/>
  <c r="D66" i="71"/>
  <c r="AZ111" i="3"/>
  <c r="AZ75" i="3"/>
  <c r="AZ38" i="3"/>
  <c r="AZ82" i="3"/>
  <c r="F66" i="71"/>
  <c r="Q67" i="71"/>
  <c r="AZ284" i="3"/>
  <c r="AZ301" i="3"/>
  <c r="AA27" i="21"/>
  <c r="S27" i="21"/>
  <c r="AC9" i="34"/>
  <c r="W9" i="34"/>
  <c r="AA12" i="36"/>
  <c r="S12" i="36"/>
  <c r="AB26" i="33"/>
  <c r="U26" i="33"/>
  <c r="U44" i="39"/>
  <c r="AB44" i="39"/>
  <c r="G16" i="1"/>
  <c r="F10" i="39" s="1"/>
  <c r="AA10" i="39" s="1"/>
  <c r="D39" i="71"/>
  <c r="C40" i="71"/>
  <c r="D83" i="71"/>
  <c r="C82" i="71"/>
  <c r="D82" i="71" s="1"/>
  <c r="AZ84" i="3"/>
  <c r="AZ25" i="3"/>
  <c r="N67" i="71"/>
  <c r="B66" i="71"/>
  <c r="AZ298" i="3"/>
  <c r="AZ274" i="3"/>
  <c r="AZ239" i="3"/>
  <c r="AZ457" i="3"/>
  <c r="AZ282" i="3"/>
  <c r="AZ414" i="3"/>
  <c r="AA25" i="37"/>
  <c r="S25" i="37"/>
  <c r="AZ401" i="3"/>
  <c r="AA28" i="21"/>
  <c r="S28" i="21"/>
  <c r="AC39" i="37"/>
  <c r="W39" i="37"/>
  <c r="S26" i="33"/>
  <c r="AA26" i="33"/>
  <c r="AA14" i="33"/>
  <c r="S14" i="33"/>
  <c r="AA24" i="36"/>
  <c r="S24" i="36"/>
  <c r="U12" i="36"/>
  <c r="AB12" i="36"/>
  <c r="J7" i="37"/>
  <c r="K1" i="73"/>
  <c r="E575" i="3"/>
  <c r="E541" i="3"/>
  <c r="E435" i="3"/>
  <c r="E152" i="3"/>
  <c r="E389" i="3"/>
  <c r="E64" i="3"/>
  <c r="E300" i="3"/>
  <c r="E33" i="3"/>
  <c r="E81" i="3"/>
  <c r="E198" i="3"/>
  <c r="E75" i="3"/>
  <c r="E522" i="3"/>
  <c r="E113" i="3"/>
  <c r="E140" i="3"/>
  <c r="E534" i="3"/>
  <c r="E469" i="3"/>
  <c r="E360" i="3"/>
  <c r="E452" i="3"/>
  <c r="E104"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7" i="1"/>
  <c r="AE8" i="1"/>
  <c r="AE12" i="1"/>
  <c r="AE10" i="1"/>
  <c r="F27" i="68"/>
  <c r="G1" i="73"/>
  <c r="C16" i="15"/>
  <c r="F41" i="67"/>
  <c r="C16" i="67"/>
  <c r="J10" i="15" l="1"/>
  <c r="J5" i="15" s="1"/>
  <c r="J24" i="15" s="1"/>
  <c r="C49" i="67"/>
  <c r="D26" i="43"/>
  <c r="C25" i="43" s="1"/>
  <c r="Q52" i="67"/>
  <c r="F45" i="69"/>
  <c r="Q73" i="67"/>
  <c r="Q74" i="15"/>
  <c r="J5" i="67"/>
  <c r="J24" i="67" s="1"/>
  <c r="C29" i="69"/>
  <c r="D27" i="69" s="1"/>
  <c r="Q73" i="15"/>
  <c r="F1" i="15"/>
  <c r="Q61" i="67"/>
  <c r="C49" i="15"/>
  <c r="Q52" i="15"/>
  <c r="E420" i="3"/>
  <c r="E497" i="3"/>
  <c r="E408" i="3"/>
  <c r="E405" i="3"/>
  <c r="E173" i="3"/>
  <c r="E22" i="3"/>
  <c r="E206" i="3"/>
  <c r="E129" i="3"/>
  <c r="AL6" i="3"/>
  <c r="E309" i="3"/>
  <c r="E355" i="3"/>
  <c r="E23" i="3"/>
  <c r="E103" i="3"/>
  <c r="E409" i="3"/>
  <c r="E292" i="3"/>
  <c r="E479" i="3"/>
  <c r="I3" i="6"/>
  <c r="E442" i="3"/>
  <c r="E536" i="3"/>
  <c r="E3" i="6"/>
  <c r="E41" i="3"/>
  <c r="E470" i="3"/>
  <c r="E556" i="3"/>
  <c r="E512" i="3"/>
  <c r="T6" i="3"/>
  <c r="E197" i="3"/>
  <c r="E287" i="3"/>
  <c r="E34" i="3"/>
  <c r="E96" i="3"/>
  <c r="E281" i="3"/>
  <c r="E264" i="3"/>
  <c r="E233" i="3"/>
  <c r="E310" i="3"/>
  <c r="E46" i="3"/>
  <c r="E76" i="3"/>
  <c r="E192" i="3"/>
  <c r="E417" i="3"/>
  <c r="E255" i="3"/>
  <c r="E499" i="3"/>
  <c r="E510" i="3"/>
  <c r="E463" i="3"/>
  <c r="J6" i="3"/>
  <c r="E440" i="3"/>
  <c r="E427" i="3"/>
  <c r="E393" i="3"/>
  <c r="E188" i="3"/>
  <c r="E326" i="3"/>
  <c r="E232" i="3"/>
  <c r="E324" i="3"/>
  <c r="E412" i="3"/>
  <c r="E225" i="3"/>
  <c r="E26" i="3"/>
  <c r="E13" i="3"/>
  <c r="E451" i="3"/>
  <c r="E456" i="3"/>
  <c r="E525" i="3"/>
  <c r="E205" i="3"/>
  <c r="E102" i="3"/>
  <c r="E235" i="3"/>
  <c r="E42" i="3"/>
  <c r="E21" i="3"/>
  <c r="E381" i="3"/>
  <c r="E67" i="3"/>
  <c r="E249" i="3"/>
  <c r="E484" i="3"/>
  <c r="E363" i="3"/>
  <c r="E95" i="3"/>
  <c r="E554" i="3"/>
  <c r="E466" i="3"/>
  <c r="E199" i="3"/>
  <c r="J10" i="39"/>
  <c r="W10" i="39" s="1"/>
  <c r="F10" i="40"/>
  <c r="S10" i="40" s="1"/>
  <c r="E308" i="3"/>
  <c r="E251" i="3"/>
  <c r="E383" i="3"/>
  <c r="E18" i="3"/>
  <c r="E332" i="3"/>
  <c r="E513" i="3"/>
  <c r="E63" i="3"/>
  <c r="E144" i="3"/>
  <c r="E492" i="3"/>
  <c r="E267" i="3"/>
  <c r="E425" i="3"/>
  <c r="E544" i="3"/>
  <c r="E241" i="3"/>
  <c r="E56" i="3"/>
  <c r="E517" i="3"/>
  <c r="E449" i="3"/>
  <c r="R6" i="3"/>
  <c r="E212" i="3"/>
  <c r="T40" i="71"/>
  <c r="D40" i="71"/>
  <c r="AF6" i="3"/>
  <c r="AC6" i="3" s="1"/>
  <c r="E6" i="3" s="1"/>
  <c r="E86" i="3"/>
  <c r="E174" i="3"/>
  <c r="E482" i="3"/>
  <c r="E391" i="3"/>
  <c r="E494" i="3"/>
  <c r="E283" i="3"/>
  <c r="E68" i="3"/>
  <c r="E184" i="3"/>
  <c r="E84" i="3"/>
  <c r="E371" i="3"/>
  <c r="E160" i="3"/>
  <c r="E467" i="3"/>
  <c r="E59" i="3"/>
  <c r="E349" i="3"/>
  <c r="E258" i="3"/>
  <c r="E37" i="3"/>
  <c r="E491" i="3"/>
  <c r="AP6" i="3"/>
  <c r="E430" i="3"/>
  <c r="E502" i="3"/>
  <c r="E286" i="3"/>
  <c r="Q66" i="71"/>
  <c r="Q65" i="71"/>
  <c r="N65" i="71"/>
  <c r="N66"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AE6" i="1"/>
  <c r="M27" i="67"/>
  <c r="F41" i="15"/>
  <c r="C48" i="67" l="1"/>
  <c r="C66" i="67" s="1"/>
  <c r="AA10" i="40"/>
  <c r="AG6" i="1"/>
  <c r="C48" i="15"/>
  <c r="C66" i="15" s="1"/>
  <c r="F22" i="68"/>
  <c r="F41" i="68" s="1"/>
  <c r="F25" i="12"/>
  <c r="C26" i="12" s="1"/>
  <c r="D25" i="12"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M27" i="15"/>
  <c r="D10" i="68"/>
  <c r="C17" i="67"/>
  <c r="C14" i="67"/>
  <c r="C17" i="15"/>
  <c r="C60" i="67" l="1"/>
  <c r="C60" i="15"/>
  <c r="H25" i="6"/>
  <c r="C44" i="68"/>
  <c r="D41" i="68" s="1"/>
  <c r="C26" i="68"/>
  <c r="D22" i="68" s="1"/>
  <c r="C44" i="11"/>
  <c r="D41" i="11"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 i="68" l="1"/>
  <c r="C23" i="68" s="1"/>
  <c r="B29" i="1"/>
  <c r="C18" i="12"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D2" i="33"/>
  <c r="L51" i="67"/>
  <c r="J26" i="15" l="1"/>
  <c r="J29" i="15" s="1"/>
  <c r="N24" i="15"/>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12" i="1"/>
  <c r="AO8"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35" i="9" s="1"/>
  <c r="D6" i="71"/>
  <c r="C5" i="71"/>
  <c r="D5" i="71" s="1"/>
  <c r="M24" i="43" s="1"/>
  <c r="C42" i="40"/>
  <c r="C43" i="40"/>
  <c r="E47" i="40"/>
  <c r="F47" i="40" s="1"/>
  <c r="E46" i="40"/>
  <c r="F46" i="40" s="1"/>
  <c r="I47" i="40"/>
  <c r="J47" i="40" s="1"/>
  <c r="D34"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F118" i="9" l="1"/>
  <c r="F4" i="52" s="1"/>
  <c r="B51" i="72" s="1"/>
  <c r="E118" i="9"/>
  <c r="E4" i="52"/>
  <c r="B48" i="72" s="1"/>
  <c r="D118" i="9"/>
  <c r="H118" i="9"/>
  <c r="H102" i="9"/>
  <c r="C105" i="9"/>
  <c r="I4" i="52"/>
  <c r="F119" i="9"/>
  <c r="F5" i="52" s="1"/>
  <c r="B53" i="72" s="1"/>
  <c r="D7" i="53" l="1"/>
  <c r="B21" i="72" s="1"/>
  <c r="H119" i="9"/>
  <c r="H5" i="52" s="1"/>
  <c r="H4" i="52"/>
  <c r="C104" i="9"/>
  <c r="H101" i="9"/>
  <c r="D14" i="74" s="1"/>
  <c r="D4" i="52"/>
  <c r="B47" i="72" s="1"/>
  <c r="D119" i="9"/>
  <c r="D5" i="52" s="1"/>
  <c r="B49" i="72" s="1"/>
  <c r="E14" i="74" l="1"/>
  <c r="B5" i="74"/>
  <c r="F14" i="74"/>
  <c r="M48" i="9"/>
  <c r="D5" i="53"/>
  <c r="H107" i="9"/>
  <c r="G14" i="74" s="1"/>
  <c r="B6" i="74" s="1"/>
  <c r="D6" i="74" s="1"/>
  <c r="D45" i="9"/>
  <c r="D5" i="74" l="1"/>
  <c r="C5" i="74"/>
  <c r="C72" i="9"/>
  <c r="D52" i="9"/>
  <c r="D55" i="9"/>
  <c r="M53" i="9" s="1"/>
  <c r="C93" i="9"/>
  <c r="C86" i="9" s="1"/>
  <c r="C64" i="9"/>
  <c r="C63" i="9" s="1"/>
  <c r="C67" i="9" s="1"/>
  <c r="D53" i="9"/>
  <c r="C78" i="9"/>
  <c r="C73" i="9" s="1"/>
  <c r="C85" i="9"/>
  <c r="M49" i="9"/>
  <c r="H108" i="9"/>
  <c r="D122" i="9"/>
  <c r="D13" i="53"/>
  <c r="B20" i="72"/>
  <c r="D6" i="53"/>
  <c r="B22" i="72" s="1"/>
  <c r="C95" i="9" l="1"/>
  <c r="C96" i="9" s="1"/>
  <c r="E96" i="9" s="1"/>
  <c r="E97" i="9" s="1"/>
  <c r="D15" i="53"/>
  <c r="B31" i="72" s="1"/>
  <c r="C6" i="74"/>
  <c r="B30" i="72"/>
  <c r="D14" i="53"/>
  <c r="B32" i="72" s="1"/>
  <c r="D123" i="9"/>
  <c r="D9" i="52" s="1"/>
  <c r="D8" i="52"/>
  <c r="L65" i="9"/>
  <c r="M65" i="9" s="1"/>
  <c r="L64" i="9"/>
  <c r="M64" i="9" s="1"/>
  <c r="L66" i="9"/>
  <c r="M66" i="9" s="1"/>
  <c r="L68" i="9"/>
  <c r="M68" i="9" s="1"/>
  <c r="L67" i="9"/>
  <c r="M67" i="9" s="1"/>
  <c r="L63" i="9"/>
  <c r="M63" i="9" s="1"/>
  <c r="D59" i="9"/>
  <c r="M55" i="9" s="1"/>
  <c r="C68" i="9"/>
  <c r="D54" i="9" s="1"/>
  <c r="D48" i="9" s="1"/>
  <c r="M52" i="9" s="1"/>
  <c r="C79" i="9"/>
  <c r="M69" i="9" l="1"/>
  <c r="N69" i="9" s="1"/>
  <c r="C97" i="9"/>
  <c r="C80" i="9"/>
  <c r="E80" i="9" s="1"/>
  <c r="E81" i="9" s="1"/>
  <c r="C81" i="9" l="1"/>
  <c r="D58" i="9" s="1"/>
  <c r="D56" i="9" s="1"/>
  <c r="M54" i="9" s="1"/>
  <c r="N57" i="9" s="1"/>
  <c r="P57" i="9" s="1"/>
  <c r="N58" i="9" l="1"/>
  <c r="N59" i="9"/>
  <c r="N61" i="9" l="1"/>
  <c r="H112" i="9" s="1"/>
  <c r="H111" i="9"/>
  <c r="B8" i="74" s="1"/>
  <c r="D8" i="74" s="1"/>
  <c r="N60" i="9"/>
  <c r="D19" i="53" l="1"/>
  <c r="D126" i="9"/>
  <c r="C8" i="74"/>
  <c r="D21" i="53"/>
  <c r="B39" i="72" s="1"/>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<sst xmlns="http://schemas.openxmlformats.org/spreadsheetml/2006/main" count="8080" uniqueCount="3570">
  <si>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</si>
  <si>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</si>
  <si>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</si>
  <si>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</si>
  <si>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</si>
  <si>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</si>
  <si>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</si>
  <si>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</si>
  <si>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</si>
  <si>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</si>
  <si>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</si>
  <si>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</si>
  <si>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</si>
  <si>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</si>
  <si>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</si>
  <si>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</si>
  <si>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</si>
  <si>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</si>
  <si>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</si>
  <si>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</si>
  <si>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</si>
  <si>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</si>
  <si>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</si>
  <si>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</si>
  <si>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</si>
  <si>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</si>
  <si>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</si>
  <si>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</si>
  <si>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</si>
  <si>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</si>
  <si>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</si>
  <si>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</si>
  <si>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</si>
  <si>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</si>
  <si>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</si>
  <si>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</si>
  <si>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</si>
  <si>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</si>
  <si>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</si>
  <si>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</si>
  <si>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</si>
  <si>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</si>
  <si>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</si>
  <si>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</si>
  <si>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</si>
  <si>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</si>
  <si>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</si>
  <si>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</si>
  <si>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</si>
  <si>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</si>
  <si>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</si>
  <si>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</si>
  <si>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</si>
  <si>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</si>
  <si>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</si>
  <si>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</si>
  <si>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</si>
  <si>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</si>
  <si>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</si>
  <si>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</si>
  <si>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</si>
  <si>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</si>
  <si>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</si>
  <si>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</si>
  <si>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</si>
  <si>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</si>
  <si>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</si>
  <si>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</si>
  <si>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</si>
  <si>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</si>
  <si>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</si>
  <si>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</si>
  <si>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</si>
  <si>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</si>
  <si>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</si>
  <si>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</si>
  <si>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</si>
  <si>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</si>
  <si>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</si>
  <si>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</si>
  <si>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</si>
  <si>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</si>
  <si>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</si>
  <si>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</si>
  <si>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</si>
  <si>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</si>
  <si>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</si>
  <si>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</si>
  <si>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</si>
  <si>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</si>
  <si>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</si>
  <si>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</si>
  <si>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</si>
  <si>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</si>
  <si>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</si>
  <si>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</si>
  <si>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</si>
  <si>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</si>
  <si>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</si>
  <si>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</si>
  <si>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</si>
  <si>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</si>
  <si>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</si>
  <si>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</si>
  <si>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</si>
  <si>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</si>
  <si>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</si>
  <si>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</si>
  <si>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</si>
  <si>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</si>
  <si>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</si>
  <si>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</si>
  <si>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</si>
  <si>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</si>
  <si>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</si>
  <si>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</si>
  <si>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</si>
  <si>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</si>
  <si>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</si>
  <si>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</si>
  <si>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</si>
  <si>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</si>
  <si>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</si>
  <si>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</si>
  <si>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</si>
  <si>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</si>
  <si>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</si>
  <si>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</si>
  <si>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</si>
  <si>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</si>
  <si>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</si>
  <si>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</si>
  <si>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</si>
  <si>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</si>
  <si>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</si>
  <si>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</si>
  <si>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</si>
  <si>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</si>
  <si>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</si>
  <si>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</si>
  <si>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</si>
  <si>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</si>
  <si>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</si>
  <si>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</si>
  <si>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</si>
  <si>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</si>
  <si>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</si>
  <si>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</si>
  <si>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</si>
  <si>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</si>
  <si>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</si>
  <si>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</si>
  <si>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</si>
  <si>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</si>
  <si>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</si>
  <si>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</si>
  <si>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</si>
  <si>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</si>
  <si>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</si>
  <si>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</si>
  <si>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</si>
  <si>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</si>
  <si>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</si>
  <si>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</si>
  <si>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</si>
  <si>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</si>
  <si>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</si>
  <si>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</si>
  <si>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</si>
  <si>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</si>
  <si>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</si>
  <si>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</si>
  <si>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</si>
  <si>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</si>
  <si>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</si>
  <si>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</si>
  <si>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</si>
  <si>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</si>
  <si>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</si>
  <si>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</si>
  <si>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</si>
  <si>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</si>
  <si>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</si>
  <si>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</si>
  <si>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</si>
  <si>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</si>
  <si>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</si>
  <si>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</si>
  <si>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</si>
  <si>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</si>
  <si>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</si>
  <si>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</si>
  <si>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</si>
  <si>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</si>
  <si>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</si>
  <si>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</si>
  <si>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</si>
  <si>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</si>
  <si>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</si>
  <si>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</si>
  <si>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</si>
  <si>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</si>
  <si>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</si>
  <si>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</si>
  <si>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</si>
  <si>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</si>
  <si>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</si>
  <si>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</si>
  <si>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</si>
  <si>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</si>
  <si>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</si>
  <si>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</si>
  <si>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</si>
  <si>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</si>
  <si>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</si>
  <si>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</si>
  <si>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</si>
  <si>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</si>
  <si>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</si>
  <si>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</si>
  <si>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</si>
  <si>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</si>
  <si>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</si>
  <si>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</si>
  <si>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</si>
  <si>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</si>
  <si>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</si>
  <si>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</si>
  <si>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</si>
  <si>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</si>
  <si>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</si>
  <si>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</si>
  <si>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</si>
  <si>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</si>
  <si>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</si>
  <si>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</si>
  <si>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</si>
  <si>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</si>
  <si>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</si>
  <si>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</si>
  <si>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</si>
  <si>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</si>
  <si>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</si>
  <si>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</si>
  <si>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</si>
  <si>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</si>
  <si>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</si>
  <si>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</si>
  <si>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</si>
  <si>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</si>
  <si>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</si>
  <si>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</si>
  <si>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</si>
  <si>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</si>
  <si>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</si>
  <si>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</si>
  <si>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</si>
  <si>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</si>
  <si>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</si>
  <si>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</si>
  <si>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</si>
  <si>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</si>
  <si>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</si>
  <si>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</si>
  <si>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</si>
  <si>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</si>
  <si>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</si>
  <si>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</si>
  <si>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</si>
  <si>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</si>
  <si>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</si>
  <si>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</si>
  <si>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</si>
  <si>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</si>
  <si>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</si>
  <si>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</si>
  <si>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</si>
  <si>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</si>
  <si>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</si>
  <si>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</si>
  <si>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</si>
  <si>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</si>
  <si>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</si>
  <si>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</si>
  <si>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</si>
  <si>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</si>
  <si>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</si>
  <si>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</si>
  <si>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</si>
  <si>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</si>
  <si>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</si>
  <si>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</si>
  <si>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</si>
  <si>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</si>
  <si>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</si>
  <si>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</si>
  <si>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</si>
  <si>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</si>
  <si>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</si>
  <si>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</si>
  <si>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</si>
  <si>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</si>
  <si>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</si>
  <si>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</si>
  <si>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</si>
  <si>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</si>
  <si>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</si>
  <si>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</si>
  <si>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</si>
  <si>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</si>
  <si>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</si>
  <si>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</si>
  <si>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</si>
  <si>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</si>
  <si>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</si>
  <si>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</si>
  <si>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</si>
  <si>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</si>
  <si>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</si>
  <si>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</si>
  <si>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</si>
  <si>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</si>
  <si>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</si>
  <si>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</si>
  <si>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</si>
  <si>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</si>
  <si>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</si>
  <si>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</si>
  <si>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</si>
  <si>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</si>
  <si>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</si>
  <si>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</si>
  <si>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</si>
  <si>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</si>
  <si>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</si>
  <si>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</si>
  <si>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</si>
  <si>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</si>
  <si>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</si>
  <si>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</si>
  <si>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</si>
  <si>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</si>
  <si>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</si>
  <si>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</si>
  <si>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</si>
  <si>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</si>
  <si>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</si>
  <si>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</si>
  <si>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</si>
  <si>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</si>
  <si>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</si>
  <si>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</si>
  <si>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</si>
  <si>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</si>
  <si>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</si>
  <si>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</si>
  <si>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</si>
  <si>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</si>
  <si>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</si>
  <si>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</si>
  <si>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</si>
  <si>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</si>
  <si>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</si>
  <si>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</si>
  <si>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</si>
  <si>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</si>
  <si>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</si>
  <si>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</si>
  <si>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</si>
  <si>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</si>
  <si>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</si>
  <si>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</si>
  <si>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</si>
  <si>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</si>
  <si>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</si>
  <si>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</si>
  <si>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</si>
  <si>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</si>
  <si>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</si>
  <si>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</si>
  <si>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</si>
  <si>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</si>
  <si>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</si>
  <si>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</si>
  <si>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</si>
  <si>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</si>
  <si>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</si>
  <si>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</si>
  <si>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</si>
  <si>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</si>
  <si>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</si>
  <si>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</si>
  <si>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</si>
  <si>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</si>
  <si>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</si>
  <si>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</si>
  <si>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</si>
  <si>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</si>
  <si>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</si>
  <si>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</si>
  <si>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</si>
  <si>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</si>
  <si>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</si>
  <si>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</si>
  <si>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</si>
  <si>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</si>
  <si>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</si>
  <si>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</si>
  <si>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</si>
  <si>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</si>
  <si>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</si>
  <si>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</si>
  <si>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</si>
  <si>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</si>
  <si>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</si>
  <si>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</si>
  <si>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</si>
  <si>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</si>
  <si>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</si>
  <si>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</si>
  <si>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</si>
  <si>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</si>
  <si>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</si>
  <si>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</si>
  <si>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</si>
  <si>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</si>
  <si>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</si>
  <si>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</si>
  <si>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</si>
  <si>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</si>
  <si>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</si>
  <si>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</si>
  <si>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</si>
  <si>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</si>
  <si>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</si>
  <si>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</si>
  <si>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</si>
  <si>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</si>
  <si>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</si>
  <si>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</si>
  <si>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</si>
  <si>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</si>
  <si>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</si>
  <si>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</si>
  <si>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</si>
  <si>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</si>
  <si>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</si>
  <si>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</si>
  <si>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</si>
  <si>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</si>
  <si>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</si>
  <si>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</si>
  <si>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</si>
  <si>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</si>
  <si>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</si>
  <si>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</si>
  <si>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</si>
  <si>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</si>
  <si>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</si>
  <si>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</si>
  <si>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</si>
  <si>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</si>
  <si>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</si>
  <si>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</si>
  <si>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</si>
  <si>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</si>
  <si>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</si>
  <si>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</si>
  <si>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</si>
  <si>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</si>
  <si>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</si>
  <si>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</si>
  <si>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</si>
  <si>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</si>
  <si>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</si>
  <si>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</si>
  <si>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</si>
  <si>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</si>
  <si>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</si>
  <si>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</si>
  <si>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</si>
  <si>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</si>
  <si>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</si>
  <si>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</si>
  <si>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</si>
  <si>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</si>
  <si>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</si>
  <si>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</si>
  <si>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</si>
  <si>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</si>
  <si>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</si>
  <si>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</si>
  <si>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</si>
  <si>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</si>
  <si>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</si>
  <si>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</si>
  <si>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</si>
  <si>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</si>
  <si>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</si>
  <si>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</si>
  <si>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</si>
  <si>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</si>
  <si>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</si>
  <si>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</si>
  <si>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</si>
  <si>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</si>
  <si>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</si>
  <si>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</si>
  <si>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</si>
  <si>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</si>
  <si>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</si>
  <si>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</si>
  <si>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</si>
  <si>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</si>
  <si>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</si>
  <si>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</si>
  <si>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</si>
  <si>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</si>
  <si>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</si>
  <si>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</si>
  <si>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</si>
  <si>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</si>
  <si>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</si>
  <si>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</si>
  <si>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</si>
  <si>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</si>
  <si>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</si>
  <si>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</si>
  <si>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</si>
  <si>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</si>
  <si>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</si>
  <si>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</si>
  <si>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</si>
  <si>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</si>
  <si>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</si>
  <si>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</si>
  <si>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</si>
  <si>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</si>
  <si>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</si>
  <si>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</si>
  <si>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</si>
  <si>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</si>
  <si>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</si>
  <si>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</si>
  <si>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</si>
  <si>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</si>
  <si>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</si>
  <si>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</si>
  <si>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</si>
  <si>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</si>
  <si>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</si>
  <si>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</si>
  <si>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</si>
  <si>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</si>
  <si>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</si>
  <si>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</si>
  <si>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</si>
  <si>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</si>
  <si>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</si>
  <si>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</si>
  <si>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</si>
  <si>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</si>
  <si>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</si>
  <si>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</si>
  <si>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</si>
  <si>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</si>
  <si>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</si>
  <si>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</si>
  <si>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</si>
  <si>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</si>
  <si>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</si>
  <si>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</si>
  <si>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</si>
  <si>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</si>
  <si>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</si>
  <si>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</si>
  <si>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</si>
  <si>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</si>
  <si>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</si>
  <si>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</si>
  <si>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</si>
  <si>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</si>
  <si>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</si>
  <si>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</si>
  <si>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</si>
  <si>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</si>
  <si>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</si>
  <si>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</si>
  <si>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</si>
  <si>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</si>
  <si>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</si>
  <si>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</si>
  <si>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</si>
  <si>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</si>
  <si>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</si>
  <si>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</si>
  <si>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</si>
  <si>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</si>
  <si>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</si>
  <si>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</si>
  <si>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</si>
  <si>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</si>
  <si>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</si>
  <si>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</si>
  <si>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</si>
  <si>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</si>
  <si>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</si>
  <si>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</si>
  <si>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</si>
  <si>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</si>
  <si>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</si>
  <si>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</si>
  <si>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</si>
  <si>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</si>
  <si>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</si>
  <si>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</si>
  <si>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</si>
  <si>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</si>
  <si>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</si>
  <si>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</si>
  <si>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</si>
  <si>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</si>
  <si>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</si>
  <si>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</si>
  <si>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</si>
  <si>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</si>
  <si>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</si>
  <si>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</si>
  <si>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</si>
  <si>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</si>
  <si>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</si>
  <si>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</si>
  <si>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</si>
  <si>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</si>
  <si>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</si>
  <si>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</si>
  <si>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</si>
  <si>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</si>
  <si>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</si>
  <si>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</si>
  <si>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</si>
  <si>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</si>
  <si>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</si>
  <si>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</si>
  <si>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</si>
  <si>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</si>
  <si>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</si>
  <si>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</si>
  <si>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</si>
  <si>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</si>
  <si>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</si>
  <si>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</si>
  <si>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</si>
  <si>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</si>
  <si>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</si>
  <si>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</si>
  <si>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</si>
  <si>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</si>
  <si>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</si>
  <si>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</si>
  <si>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</si>
  <si>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</si>
  <si>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</si>
  <si>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</si>
  <si>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</si>
  <si>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</si>
  <si>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</si>
  <si>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</si>
  <si>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</si>
  <si>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</si>
  <si>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</si>
  <si>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</si>
  <si>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</si>
  <si>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</si>
  <si>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</si>
  <si>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</si>
  <si>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</si>
  <si>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</si>
  <si>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</si>
  <si>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</si>
  <si>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</si>
  <si>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</si>
  <si>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</si>
  <si>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</si>
  <si>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</si>
  <si>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</si>
  <si>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</si>
  <si>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</si>
  <si>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</si>
  <si>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</si>
  <si>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</si>
  <si>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</si>
  <si>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</si>
  <si>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</si>
  <si>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</si>
  <si>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</si>
  <si>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</si>
  <si>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</si>
  <si>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</si>
  <si>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</si>
  <si>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</si>
  <si>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</si>
  <si>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</si>
  <si>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</si>
  <si>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</si>
  <si>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</si>
  <si>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</si>
  <si>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</si>
  <si>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</si>
  <si>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</si>
  <si>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</si>
  <si>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</si>
  <si>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</si>
  <si>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</si>
  <si>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</si>
  <si>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</si>
  <si>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</si>
  <si>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</si>
  <si>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</si>
  <si>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</si>
  <si>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</si>
  <si>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</si>
  <si>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</si>
  <si>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</si>
  <si>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</si>
  <si>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</si>
  <si>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</si>
  <si>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</si>
  <si>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</si>
  <si>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</si>
  <si>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</si>
  <si>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</si>
  <si>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</si>
  <si>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</si>
  <si>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</si>
  <si>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</si>
  <si>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</si>
  <si>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</si>
  <si>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</si>
  <si>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</si>
  <si>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</si>
  <si>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</si>
  <si>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</si>
  <si>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</si>
  <si>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</si>
  <si>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</si>
  <si>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</si>
  <si>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</si>
  <si>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</si>
  <si>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</si>
  <si>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</si>
  <si>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</si>
  <si>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</si>
  <si>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</si>
  <si>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</si>
  <si>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</si>
  <si>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</si>
  <si>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</si>
  <si>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</si>
  <si>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</si>
  <si>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</si>
  <si>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</si>
  <si>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</si>
  <si>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</si>
  <si>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</si>
  <si>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</si>
  <si>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</si>
  <si>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</si>
  <si>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</si>
  <si>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</si>
  <si>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</si>
  <si>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</si>
  <si>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</si>
  <si>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</si>
  <si>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</si>
  <si>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</si>
  <si>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</si>
  <si>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</si>
  <si>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</si>
  <si>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</si>
  <si>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</si>
  <si>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</si>
  <si>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</si>
  <si>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</si>
  <si>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</si>
  <si>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</si>
  <si>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</si>
  <si>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</si>
  <si>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</si>
  <si>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</si>
  <si>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</si>
  <si>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</si>
  <si>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</si>
  <si>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</si>
  <si>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</si>
  <si>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</si>
  <si>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</si>
  <si>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</si>
  <si>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</si>
  <si>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</si>
  <si>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</si>
  <si>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</si>
  <si>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</si>
  <si>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</si>
  <si>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</si>
  <si>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</si>
  <si>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</si>
  <si>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</si>
  <si>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</si>
  <si>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</si>
  <si>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</si>
  <si>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</si>
  <si>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</si>
  <si>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</si>
  <si>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</si>
  <si>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</si>
  <si>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</si>
  <si>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</si>
  <si>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</si>
  <si>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</si>
  <si>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</si>
  <si>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</si>
  <si>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</si>
  <si>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</si>
  <si>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</si>
  <si>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</si>
  <si>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</si>
  <si>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</si>
  <si>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</si>
  <si>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</si>
  <si>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</si>
  <si>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</si>
  <si>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</si>
  <si>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</si>
  <si>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</si>
  <si>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</si>
  <si>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</si>
  <si>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</si>
  <si>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</si>
  <si>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</si>
  <si>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</si>
  <si>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</si>
  <si>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</si>
  <si>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</si>
  <si>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</si>
  <si>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</si>
  <si>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</si>
  <si>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</si>
  <si>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</si>
  <si>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</si>
  <si>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</si>
  <si>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</si>
  <si>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</si>
  <si>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</si>
  <si>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</si>
  <si>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</si>
  <si>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</si>
  <si>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</si>
  <si>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</si>
  <si>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</si>
  <si>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</si>
  <si>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</si>
  <si>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</si>
  <si>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</si>
  <si>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</si>
  <si>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</si>
  <si>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</si>
  <si>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</si>
  <si>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</si>
  <si>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</si>
  <si>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</si>
  <si>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</si>
  <si>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</si>
  <si>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</si>
  <si>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</si>
  <si>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</si>
  <si>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</si>
  <si>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</si>
  <si>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</si>
  <si>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</si>
  <si>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</si>
  <si>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</si>
  <si>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</si>
  <si>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</si>
  <si>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</si>
  <si>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</si>
  <si>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</si>
  <si>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</si>
  <si>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</si>
  <si>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</si>
  <si>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</si>
  <si>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</si>
  <si>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</si>
  <si>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</si>
  <si>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</si>
  <si>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</si>
  <si>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</si>
  <si>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</si>
  <si>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</si>
  <si>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</si>
  <si>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</si>
  <si>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</si>
  <si>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</si>
  <si>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</si>
  <si>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</si>
  <si>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</si>
  <si>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</si>
  <si>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</si>
  <si>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</si>
  <si>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</si>
  <si>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</si>
  <si>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</si>
  <si>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</si>
  <si>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</si>
  <si>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</si>
  <si>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</si>
  <si>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</si>
  <si>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</si>
  <si>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</si>
  <si>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</si>
  <si>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</si>
  <si>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</si>
  <si>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</si>
  <si>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</si>
  <si>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</si>
  <si>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</si>
  <si>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</si>
  <si>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</si>
  <si>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</si>
  <si>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</si>
  <si>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</si>
  <si>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</si>
  <si>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</si>
  <si>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</si>
  <si>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</si>
  <si>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</si>
  <si>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</si>
  <si>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</si>
  <si>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</si>
  <si>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</si>
  <si>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</si>
  <si>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</si>
  <si>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</si>
  <si>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</si>
  <si>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</si>
  <si>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</si>
  <si>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</si>
  <si>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</si>
  <si>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</si>
  <si>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</si>
  <si>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</si>
  <si>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</si>
  <si>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</si>
  <si>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</si>
  <si>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</si>
  <si>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</si>
  <si>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</si>
  <si>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</si>
  <si>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</si>
  <si>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</si>
  <si>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</si>
  <si>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</si>
  <si>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</si>
  <si>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</si>
  <si>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</si>
  <si>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</si>
  <si>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</si>
  <si>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</si>
  <si>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</si>
  <si>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</si>
  <si>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</si>
  <si>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</si>
  <si>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</si>
  <si>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</si>
  <si>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</si>
  <si>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</si>
  <si>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</si>
  <si>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</si>
  <si>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</si>
  <si>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</si>
  <si>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</si>
  <si>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</si>
  <si>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</si>
  <si>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</si>
  <si>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</si>
  <si>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</si>
  <si>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</si>
  <si>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</si>
  <si>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</si>
  <si>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</si>
  <si>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</si>
  <si>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</si>
  <si>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</si>
  <si>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</si>
  <si>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</si>
  <si>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</si>
  <si>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</si>
  <si>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</si>
  <si>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</si>
  <si>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</si>
  <si>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</si>
  <si>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</si>
  <si>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</si>
  <si>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</si>
  <si>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</si>
  <si>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</si>
  <si>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</si>
  <si>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</si>
  <si>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</si>
  <si>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</si>
  <si>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</si>
  <si>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</si>
  <si>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</si>
  <si>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</si>
  <si>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</si>
  <si>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</si>
  <si>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</si>
  <si>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</si>
  <si>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</si>
  <si>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</si>
  <si>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</si>
  <si>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</si>
  <si>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</si>
  <si>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</si>
  <si>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</si>
  <si>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</si>
  <si>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</si>
  <si>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</si>
  <si>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</si>
  <si>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</si>
  <si>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</si>
  <si>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</si>
  <si>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</si>
  <si>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</si>
  <si>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</si>
  <si>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</si>
  <si>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</si>
  <si>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</si>
  <si>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</si>
  <si>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</si>
  <si>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</si>
  <si>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</si>
  <si>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</si>
  <si>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</si>
  <si>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</si>
  <si>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</si>
  <si>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</si>
  <si>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</si>
  <si>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</si>
  <si>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</si>
  <si>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</si>
  <si>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</si>
  <si>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</si>
  <si>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</si>
  <si>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</si>
  <si>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</si>
  <si>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</si>
  <si>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</si>
  <si>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</si>
  <si>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</si>
  <si>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</si>
  <si>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</si>
  <si>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</si>
  <si>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</si>
  <si>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</si>
  <si>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</si>
  <si>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</si>
  <si>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</si>
  <si>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</si>
  <si>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</si>
  <si>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</si>
  <si>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</si>
  <si>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</si>
  <si>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</si>
  <si>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</si>
  <si>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</si>
  <si>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</si>
  <si>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</si>
  <si>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</si>
  <si>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</si>
  <si>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</si>
  <si>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</si>
  <si>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</si>
  <si>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</si>
  <si>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</si>
  <si>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</si>
  <si>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</si>
  <si>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</si>
  <si>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</si>
  <si>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</si>
  <si>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</si>
  <si>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</si>
  <si>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</si>
  <si>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</si>
  <si>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</si>
  <si>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</si>
  <si>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</si>
  <si>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</si>
  <si>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</si>
  <si>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</si>
  <si>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</si>
  <si>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</si>
  <si>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</si>
  <si>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</si>
  <si>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</si>
  <si>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</si>
  <si>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</si>
  <si>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</si>
  <si>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</si>
  <si>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</si>
  <si>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</si>
  <si>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</si>
  <si>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</si>
  <si>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</si>
  <si>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</si>
  <si>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</si>
  <si>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</si>
  <si>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</si>
  <si>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</si>
  <si>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</si>
  <si>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</si>
  <si>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</si>
  <si>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</si>
  <si>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</si>
  <si>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</si>
  <si>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</si>
  <si>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</si>
  <si>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</si>
  <si>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</si>
  <si>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</si>
  <si>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</si>
  <si>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</si>
  <si>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</si>
  <si>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</si>
  <si>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</si>
  <si>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</si>
  <si>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</si>
  <si>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</si>
  <si>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</si>
  <si>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</si>
  <si>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</si>
  <si>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</si>
  <si>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</si>
  <si>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</si>
  <si>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</si>
  <si>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</si>
  <si>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</si>
  <si>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</si>
  <si>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</si>
  <si>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</si>
  <si>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</si>
  <si>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</si>
  <si>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</si>
  <si>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</si>
  <si>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</si>
  <si>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</si>
  <si>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</si>
  <si>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</si>
  <si>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</si>
  <si>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</si>
  <si>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</si>
  <si>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</si>
  <si>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</si>
  <si>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</si>
  <si>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</si>
  <si>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</si>
  <si>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</si>
  <si>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</si>
  <si>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</si>
  <si>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</si>
  <si>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</si>
  <si>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</si>
  <si>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</si>
  <si>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</si>
  <si>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</si>
  <si>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</si>
  <si>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</si>
  <si>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</si>
  <si>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</si>
  <si>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</si>
  <si>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</si>
  <si>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</si>
  <si>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</si>
  <si>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</si>
  <si>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</si>
  <si>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</si>
  <si>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</si>
  <si>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</si>
  <si>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</si>
  <si>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</si>
  <si>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</si>
  <si>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</si>
  <si>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</si>
  <si>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</si>
  <si>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</si>
  <si>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</si>
  <si>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</si>
  <si>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</si>
  <si>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</si>
  <si>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</si>
  <si>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</si>
  <si>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</si>
  <si>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</si>
  <si>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</si>
  <si>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</si>
  <si>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</si>
  <si>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</si>
  <si>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</si>
  <si>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</si>
  <si>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</si>
  <si>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</si>
  <si>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</si>
  <si>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</si>
  <si>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</si>
  <si>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</si>
  <si>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</si>
  <si>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</si>
  <si>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</si>
  <si>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</si>
  <si>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</si>
  <si>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</si>
  <si>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</si>
  <si>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</si>
  <si>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</si>
  <si>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</si>
  <si>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</si>
  <si>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</si>
  <si>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</si>
  <si>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</si>
  <si>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</si>
  <si>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</si>
  <si>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</si>
  <si>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</si>
  <si>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</si>
  <si>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</si>
  <si>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</si>
  <si>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</si>
  <si>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</si>
  <si>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</si>
  <si>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</si>
  <si>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</si>
  <si>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</si>
  <si>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</si>
  <si>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</si>
  <si>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</si>
  <si>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</si>
  <si>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</si>
  <si>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</si>
  <si>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</si>
  <si>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</si>
  <si>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</si>
  <si>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</si>
  <si>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</si>
  <si>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</si>
  <si>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</si>
  <si>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</si>
  <si>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</si>
  <si>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</si>
  <si>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</si>
  <si>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</si>
  <si>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</si>
  <si>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</si>
  <si>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</si>
  <si>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</si>
  <si>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</si>
  <si>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</si>
  <si>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</si>
  <si>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</si>
  <si>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</si>
  <si>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</si>
  <si>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</si>
  <si>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</si>
  <si>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</si>
  <si>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</si>
  <si>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</si>
  <si>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</si>
  <si>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</si>
  <si>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</si>
  <si>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</si>
  <si>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</si>
  <si>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</si>
  <si>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</si>
  <si>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</si>
  <si>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</si>
  <si>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</si>
  <si>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</si>
  <si>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</si>
  <si>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</si>
  <si>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</si>
  <si>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</si>
  <si>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</si>
  <si>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</si>
  <si>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</si>
  <si>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</si>
  <si>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</si>
  <si>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</si>
  <si>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</si>
  <si>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</si>
  <si>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</si>
  <si>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</si>
  <si>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</si>
  <si>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</si>
  <si>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</si>
  <si>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</si>
  <si>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</si>
  <si>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</si>
  <si>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</si>
  <si>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</si>
  <si>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</si>
  <si>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</si>
  <si>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</si>
  <si>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</si>
  <si>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</si>
  <si>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</si>
  <si>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</si>
  <si>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</si>
  <si>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</si>
  <si>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</si>
  <si>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</si>
  <si>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</si>
  <si>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</si>
  <si>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</si>
  <si>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</si>
  <si>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</si>
  <si>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</si>
  <si>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</si>
  <si>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</si>
  <si>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</si>
  <si>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</si>
  <si>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</si>
  <si>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</si>
  <si>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</si>
  <si>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</si>
  <si>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</si>
  <si>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</si>
  <si>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</si>
  <si>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</si>
  <si>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</si>
  <si>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</si>
  <si>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</si>
  <si>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</si>
  <si>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</si>
  <si>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</si>
  <si>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</si>
  <si>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</si>
  <si>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</si>
  <si>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</si>
  <si>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</si>
  <si>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</si>
  <si>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</si>
  <si>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</si>
  <si>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</si>
  <si>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</si>
  <si>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</si>
  <si>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</si>
  <si>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</si>
  <si>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</si>
  <si>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</si>
  <si>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</si>
  <si>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</si>
  <si>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</si>
  <si>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</si>
  <si>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</si>
  <si>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</si>
  <si>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</si>
  <si>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</si>
  <si>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</si>
  <si>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</si>
  <si>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</si>
  <si>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</si>
  <si>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</si>
  <si>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</si>
  <si>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</si>
  <si>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</si>
  <si>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</si>
  <si>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</si>
  <si>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</si>
  <si>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</si>
  <si>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</si>
  <si>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</si>
  <si>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</si>
  <si>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</si>
  <si>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</si>
  <si>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</si>
  <si>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</si>
  <si>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</si>
  <si>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</si>
  <si>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</si>
  <si>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</si>
  <si>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</si>
  <si>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</si>
  <si>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</si>
  <si>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</si>
  <si>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</si>
  <si>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</si>
  <si>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</si>
  <si>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</si>
  <si>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</si>
  <si>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</si>
  <si>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</si>
  <si>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</si>
  <si>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</si>
  <si>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</si>
  <si>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</si>
  <si>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</si>
  <si>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</si>
  <si>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</si>
  <si>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</si>
  <si>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</si>
  <si>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</si>
  <si>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</si>
  <si>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</si>
  <si>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</si>
  <si>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</si>
  <si>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</si>
  <si>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</si>
  <si>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</si>
  <si>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</si>
  <si>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</si>
  <si>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</si>
  <si>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</si>
  <si>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</si>
  <si>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</si>
  <si>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</si>
  <si>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</si>
  <si>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</si>
  <si>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</si>
  <si>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</si>
  <si>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</si>
  <si>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</si>
  <si>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</si>
  <si>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</si>
  <si>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</si>
  <si>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</si>
  <si>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</si>
  <si>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</si>
  <si>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</si>
  <si>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</si>
  <si>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</si>
  <si>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</si>
  <si>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</si>
  <si>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</si>
  <si>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</si>
  <si>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</si>
  <si>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</si>
  <si>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</si>
  <si>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</si>
  <si>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</si>
  <si>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</si>
  <si>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</si>
  <si>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</si>
  <si>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</si>
  <si>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</si>
  <si>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</si>
  <si>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</si>
  <si>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</si>
  <si>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</si>
  <si>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</si>
  <si>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</si>
  <si>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</si>
  <si>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</si>
  <si>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</si>
  <si>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</si>
  <si>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</si>
  <si>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</si>
  <si>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</si>
  <si>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</si>
  <si>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</si>
  <si>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</si>
  <si>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</si>
  <si>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</si>
  <si>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</si>
  <si>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</si>
  <si>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</si>
  <si>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</si>
  <si>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</si>
  <si>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</si>
  <si>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</si>
  <si>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</si>
  <si>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</si>
  <si>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</si>
  <si>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</si>
  <si>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</si>
  <si>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</si>
  <si>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</si>
  <si>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</si>
  <si>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</si>
  <si>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</si>
  <si>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</si>
  <si>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</si>
  <si>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</si>
  <si>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</si>
  <si>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</si>
  <si>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</si>
  <si>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</si>
  <si>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</si>
  <si>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</si>
  <si>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</si>
  <si>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</si>
  <si>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</si>
  <si>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</si>
  <si>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</si>
  <si>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</si>
  <si>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</si>
  <si>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</si>
  <si>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</si>
  <si>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</si>
  <si>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</si>
  <si>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</si>
  <si>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</si>
  <si>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</si>
  <si>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</si>
  <si>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</si>
  <si>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</si>
  <si>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</si>
  <si>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</si>
  <si>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</si>
  <si>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</si>
  <si>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</si>
  <si>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</si>
  <si>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</si>
  <si>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</si>
  <si>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</si>
  <si>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</si>
  <si>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</si>
  <si>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</si>
  <si>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</si>
  <si>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</si>
  <si>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</si>
  <si>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</si>
  <si>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</si>
  <si>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</si>
  <si>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</si>
  <si>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</si>
  <si>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</si>
  <si>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</si>
  <si>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</si>
  <si>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</si>
  <si>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</si>
  <si>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</si>
  <si>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</si>
  <si>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</si>
  <si>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</si>
  <si>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</si>
  <si>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</si>
  <si>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</si>
  <si>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</si>
  <si>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</si>
  <si>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</si>
  <si>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</si>
  <si>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</si>
  <si>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</si>
  <si>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</si>
  <si>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</si>
  <si>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</si>
  <si>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</si>
  <si>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</si>
  <si>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</si>
  <si>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</si>
  <si>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</si>
  <si>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</si>
  <si>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</si>
  <si>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</si>
  <si>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</si>
  <si>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</si>
  <si>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</si>
  <si>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</si>
  <si>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</si>
  <si>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</si>
  <si>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</si>
  <si>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</si>
  <si>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</si>
  <si>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</si>
  <si>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</si>
  <si>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</si>
  <si>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</si>
  <si>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</si>
  <si>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</si>
  <si>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</si>
  <si>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</si>
  <si>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</si>
  <si>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</si>
  <si>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</si>
  <si>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</si>
  <si>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</si>
  <si>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</si>
  <si>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</si>
  <si>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</si>
  <si>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</si>
  <si>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</si>
  <si>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</si>
  <si>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</si>
  <si>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</si>
  <si>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</si>
  <si>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</si>
  <si>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</si>
  <si>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</si>
  <si>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</si>
  <si>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</si>
  <si>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</si>
  <si>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</si>
  <si>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</si>
  <si>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</si>
  <si>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</si>
  <si>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</si>
  <si>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</si>
  <si>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</si>
  <si>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</si>
  <si>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</si>
  <si>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</si>
  <si>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</si>
  <si>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</si>
  <si>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</si>
  <si>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</si>
  <si>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</si>
  <si>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</si>
  <si>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</si>
  <si>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</si>
  <si>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</si>
  <si>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</si>
  <si>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</si>
  <si>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</si>
  <si>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</si>
  <si>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</si>
  <si>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</si>
  <si>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</si>
  <si>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</si>
  <si>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</si>
  <si>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</si>
  <si>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</si>
  <si>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</si>
  <si>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</si>
  <si>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</si>
  <si>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</si>
  <si>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</si>
  <si>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</si>
  <si>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</si>
  <si>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</si>
  <si>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</si>
  <si>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</si>
  <si>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</si>
  <si>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</si>
  <si>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</si>
  <si>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</si>
  <si>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</si>
  <si>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</si>
  <si>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</si>
  <si>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</si>
  <si>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</si>
  <si>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</si>
  <si>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</si>
  <si>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</si>
  <si>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</si>
  <si>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</si>
  <si>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</si>
  <si>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</si>
  <si>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</si>
  <si>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</si>
  <si>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</si>
  <si>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</si>
  <si>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</si>
  <si>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</si>
  <si>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</si>
  <si>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</si>
  <si>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</si>
  <si>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</si>
  <si>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</si>
  <si>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</si>
  <si>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</si>
  <si>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</si>
  <si>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</si>
  <si>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</si>
  <si>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</si>
  <si>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</si>
  <si>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</si>
  <si>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</si>
  <si>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</si>
  <si>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</si>
  <si>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</si>
  <si>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</si>
  <si>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</si>
  <si>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</si>
  <si>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</si>
  <si>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</si>
  <si>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</si>
  <si>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</si>
  <si>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</si>
  <si>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</si>
  <si>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</si>
  <si>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</si>
  <si>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</si>
  <si>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</si>
  <si>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</si>
  <si>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</si>
  <si>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</si>
  <si>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</si>
  <si>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</si>
  <si>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</si>
  <si>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</si>
  <si>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</si>
  <si>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</si>
  <si>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</si>
  <si>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</si>
  <si>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</si>
  <si>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</si>
  <si>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</si>
  <si>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</si>
  <si>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</si>
  <si>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</si>
  <si>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</si>
  <si>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</si>
  <si>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</si>
  <si>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</si>
  <si>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</si>
  <si>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</si>
  <si>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</si>
  <si>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</si>
  <si>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</si>
  <si>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</si>
  <si>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</si>
  <si>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</si>
  <si>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</si>
  <si>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</si>
  <si>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</si>
  <si>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</si>
  <si>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</si>
  <si>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</si>
  <si>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</si>
  <si>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</si>
  <si>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</si>
  <si>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</si>
  <si>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</si>
  <si>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</si>
  <si>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</si>
  <si>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</si>
  <si>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</si>
  <si>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</si>
  <si>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</si>
  <si>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</si>
  <si>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</si>
  <si>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</si>
  <si>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</si>
  <si>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</si>
  <si>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</si>
  <si>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</si>
  <si>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</si>
  <si>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</si>
  <si>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</si>
  <si>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</si>
  <si>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</si>
  <si>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</si>
  <si>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</si>
  <si>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</si>
  <si>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</si>
  <si>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</si>
  <si>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</si>
  <si>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</si>
  <si>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</si>
  <si>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</si>
  <si>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</si>
  <si>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</si>
  <si>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</si>
  <si>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</si>
  <si>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</si>
  <si>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</si>
  <si>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</si>
  <si>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</si>
  <si>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</si>
  <si>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</si>
  <si>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</si>
  <si>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</si>
  <si>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</si>
  <si>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</si>
  <si>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</si>
  <si>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</si>
  <si>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</si>
  <si>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</si>
  <si>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</si>
  <si>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</si>
  <si>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</si>
  <si>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</si>
  <si>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</si>
  <si>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</si>
  <si>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</si>
  <si>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</si>
  <si>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</si>
  <si>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</si>
  <si>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</si>
  <si>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</si>
  <si>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</si>
  <si>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</si>
  <si>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</si>
  <si>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</si>
  <si>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</si>
  <si>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</si>
  <si>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</si>
  <si>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</si>
  <si>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</si>
  <si>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</si>
  <si>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</si>
  <si>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</si>
  <si>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</si>
  <si>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</si>
  <si>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</si>
  <si>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</si>
  <si>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</si>
  <si>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</si>
  <si>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</si>
  <si>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</si>
  <si>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</si>
  <si>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</si>
  <si>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</si>
  <si>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</si>
  <si>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</si>
  <si>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</si>
  <si>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</si>
  <si>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</si>
  <si>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</si>
  <si>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</si>
  <si>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</si>
  <si>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</si>
  <si>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</si>
  <si>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</si>
  <si>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</si>
  <si>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</si>
  <si>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</si>
  <si>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</si>
  <si>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</si>
  <si>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</si>
  <si>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</si>
  <si>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</si>
  <si>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</si>
  <si>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</si>
  <si>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</si>
  <si>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</si>
  <si>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</si>
  <si>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</si>
  <si>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</si>
  <si>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</si>
  <si>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</si>
  <si>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</si>
  <si>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</si>
  <si>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</si>
  <si>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</si>
  <si>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</si>
  <si>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</si>
  <si>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</si>
  <si>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</si>
  <si>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</si>
  <si>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</si>
  <si>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</si>
  <si>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</si>
  <si>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</si>
  <si>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</si>
  <si>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</si>
  <si>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</si>
  <si>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</si>
  <si>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</si>
  <si>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</si>
  <si>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</si>
  <si>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</si>
  <si>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</si>
  <si>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</si>
  <si>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</si>
  <si>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</si>
  <si>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</si>
  <si>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</si>
  <si>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</si>
  <si>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</si>
  <si>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</si>
  <si>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</si>
  <si>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</si>
  <si>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</si>
  <si>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</si>
  <si>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</si>
  <si>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</si>
  <si>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</si>
  <si>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</si>
  <si>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</si>
  <si>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</si>
  <si>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</si>
  <si>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</si>
  <si>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</si>
  <si>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</si>
  <si>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</si>
  <si>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</si>
  <si>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</si>
  <si>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</si>
  <si>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</si>
  <si>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</si>
  <si>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</si>
  <si>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</si>
  <si>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</si>
  <si>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</si>
  <si>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</si>
  <si>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</si>
  <si>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</si>
  <si>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</si>
  <si>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</si>
  <si>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</si>
  <si>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</si>
  <si>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</si>
  <si>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</si>
  <si>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</si>
  <si>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</si>
  <si>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</si>
  <si>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</si>
  <si>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</si>
  <si>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</si>
  <si>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</si>
  <si>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</si>
  <si>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</si>
  <si>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</si>
  <si>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</si>
  <si>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</si>
  <si>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</si>
  <si>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</si>
  <si>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</si>
  <si>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</si>
  <si>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</si>
  <si>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</si>
  <si>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</si>
  <si>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</si>
  <si>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</si>
  <si>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</si>
  <si>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</si>
  <si>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</si>
  <si>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</si>
  <si>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</si>
  <si>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</si>
  <si>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</si>
  <si>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</si>
  <si>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</si>
  <si>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</si>
  <si>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</si>
  <si>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</si>
  <si>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</si>
  <si>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</si>
  <si>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</si>
  <si>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</si>
  <si>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</si>
  <si>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</si>
  <si>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</si>
  <si>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</si>
  <si>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</si>
  <si>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</si>
  <si>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</si>
  <si>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</si>
  <si>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</si>
  <si>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</si>
  <si>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</si>
  <si>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</si>
  <si>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</si>
  <si>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</si>
  <si>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</si>
  <si>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</si>
  <si>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</si>
  <si>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</si>
  <si>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</si>
  <si>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</si>
  <si>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</si>
  <si>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</si>
  <si>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</si>
  <si>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</si>
  <si>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</si>
  <si>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</si>
  <si>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</si>
  <si>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</si>
  <si>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</si>
  <si>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</si>
  <si>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</si>
  <si>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</si>
  <si>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</si>
  <si>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</si>
  <si>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</si>
  <si>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</si>
  <si>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</si>
  <si>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</si>
  <si>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</si>
  <si>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</si>
  <si>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</si>
  <si>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</si>
  <si>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</si>
  <si>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</si>
  <si>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</si>
  <si>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</si>
  <si>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</si>
  <si>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</si>
  <si>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</si>
  <si>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</si>
  <si>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</si>
  <si>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</si>
  <si>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</si>
  <si>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</si>
  <si>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</si>
  <si>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</si>
  <si>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</si>
  <si>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</si>
  <si>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</si>
  <si>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</si>
  <si>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</si>
  <si>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</si>
  <si>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</si>
  <si>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</si>
  <si>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</si>
  <si>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</si>
  <si>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</si>
  <si>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</si>
  <si>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</si>
  <si>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</si>
  <si>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</si>
  <si>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</si>
  <si>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</si>
  <si>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</si>
  <si>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</si>
  <si>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</si>
  <si>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</si>
  <si>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</si>
  <si>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</si>
  <si>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</si>
  <si>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</si>
  <si>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</si>
  <si>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</si>
  <si>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</si>
  <si>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</si>
  <si>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</si>
  <si>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</si>
  <si>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</si>
  <si>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</si>
  <si>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</si>
  <si>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</si>
  <si>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</si>
  <si>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</si>
  <si>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</si>
  <si>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</si>
  <si>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</si>
  <si>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</si>
  <si>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</si>
  <si>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</si>
  <si>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</si>
  <si>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</si>
  <si>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</si>
  <si>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</si>
  <si>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</si>
  <si>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</si>
  <si>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</si>
  <si>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</si>
  <si>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</si>
  <si>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</si>
  <si>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</si>
  <si>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</si>
  <si>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</si>
  <si>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</si>
  <si>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</si>
  <si>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</si>
  <si>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</si>
  <si>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</si>
  <si>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</si>
  <si>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</si>
  <si>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</si>
  <si>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</si>
  <si>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</si>
  <si>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</si>
  <si>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</si>
  <si>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</si>
  <si>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</si>
  <si>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</si>
  <si>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</si>
  <si>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</si>
  <si>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</si>
  <si>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</si>
  <si>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</si>
  <si>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</si>
  <si>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</si>
  <si>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</si>
  <si>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</si>
  <si>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</si>
  <si>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</si>
  <si>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</si>
  <si>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</si>
  <si>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</si>
  <si>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</si>
  <si>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</si>
  <si>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</si>
  <si>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</si>
  <si>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</si>
  <si>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</si>
  <si>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</si>
  <si>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</si>
  <si>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</si>
  <si>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</si>
  <si>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</si>
  <si>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</si>
  <si>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</si>
  <si>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</si>
  <si>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</si>
  <si>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</si>
  <si>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</si>
  <si>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</si>
  <si>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</si>
  <si>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</si>
  <si>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</si>
  <si>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</si>
  <si>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</si>
  <si>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</si>
  <si>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</si>
  <si>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</si>
  <si>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</si>
  <si>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</si>
  <si>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</si>
  <si>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</si>
  <si>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</si>
  <si>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</si>
  <si>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</si>
  <si>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</si>
  <si>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</si>
  <si>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</si>
  <si>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</si>
  <si>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</si>
  <si>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</si>
  <si>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</si>
  <si>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</si>
  <si>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</si>
  <si>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</si>
  <si>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</si>
  <si>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</si>
  <si>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</si>
  <si>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</si>
  <si>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</si>
  <si>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</si>
  <si>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</si>
  <si>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</si>
  <si>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</si>
  <si>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</si>
  <si>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</si>
  <si>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</si>
  <si>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</si>
  <si>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</si>
  <si>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</si>
  <si>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</si>
  <si>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</si>
  <si>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</si>
  <si>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</si>
  <si>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</si>
  <si>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</si>
  <si>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</si>
  <si>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</si>
  <si>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</si>
  <si>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</si>
  <si>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</si>
  <si>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</si>
  <si>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</si>
  <si>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</si>
  <si>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</si>
  <si>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</si>
  <si>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</si>
  <si>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</si>
  <si>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</si>
  <si>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</si>
  <si>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</si>
  <si>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</si>
  <si>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</si>
  <si>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</si>
  <si>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</si>
  <si>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</si>
  <si>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</si>
  <si>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</si>
  <si>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</si>
  <si>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</si>
  <si>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</si>
  <si>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</si>
  <si>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</si>
  <si>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</si>
  <si>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</si>
  <si>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</si>
  <si>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</si>
  <si>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</si>
  <si>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</si>
  <si>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</si>
  <si>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</si>
  <si>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</si>
  <si>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</si>
  <si>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</si>
  <si>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</si>
  <si>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</si>
  <si>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</si>
  <si>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</si>
  <si>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</si>
  <si>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</si>
  <si>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</si>
  <si>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</si>
  <si>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</si>
  <si>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</si>
  <si>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</si>
  <si>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</si>
  <si>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</si>
  <si>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</si>
  <si>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</si>
  <si>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</si>
  <si>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</si>
  <si>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</si>
  <si>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</si>
  <si>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</si>
  <si>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</si>
  <si>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</si>
  <si>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</si>
  <si>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</si>
  <si>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</si>
  <si>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</si>
  <si>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</si>
  <si>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</si>
  <si>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</si>
  <si>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</si>
  <si>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</si>
  <si>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</si>
  <si>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</si>
  <si>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</si>
  <si>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</si>
  <si>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</si>
  <si>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</si>
  <si>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</si>
  <si>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</si>
  <si>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</si>
  <si>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</si>
  <si>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</si>
  <si>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</si>
  <si>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</si>
  <si>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</si>
  <si>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</si>
  <si>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</si>
  <si>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</si>
  <si>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</si>
  <si>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</si>
  <si>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</si>
  <si>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</si>
  <si>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</si>
  <si>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</si>
  <si>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</si>
  <si>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</si>
  <si>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</si>
  <si>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</si>
  <si>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</si>
  <si>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</si>
  <si>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</si>
  <si>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</si>
  <si>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</si>
  <si>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</si>
  <si>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</si>
  <si>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</si>
  <si>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</si>
  <si>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</si>
  <si>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</si>
  <si>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</si>
  <si>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</si>
  <si>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</si>
  <si>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</si>
  <si>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</si>
  <si>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</si>
  <si>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</si>
  <si>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</si>
  <si>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</si>
  <si>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</si>
  <si>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</si>
  <si>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</si>
  <si>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</si>
  <si>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</si>
  <si>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</si>
  <si>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</si>
  <si>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</si>
  <si>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</si>
  <si>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</si>
  <si>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</si>
  <si>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</si>
  <si>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</si>
  <si>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</si>
  <si>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</si>
  <si>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</si>
  <si>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</si>
  <si>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</si>
  <si>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</si>
  <si>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</si>
  <si>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</si>
  <si>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</si>
  <si>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</si>
  <si>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</si>
  <si>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</si>
  <si>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</si>
  <si>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</si>
  <si>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</si>
  <si>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</si>
  <si>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</si>
  <si>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</si>
  <si>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</si>
  <si>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</si>
  <si>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</si>
  <si>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</si>
  <si>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</si>
  <si>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</si>
  <si>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</si>
  <si>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</si>
  <si>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</si>
  <si>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</si>
  <si>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</si>
  <si>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</si>
  <si>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</si>
  <si>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</si>
  <si>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</si>
  <si>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</si>
  <si>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</si>
  <si>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</si>
  <si>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</si>
  <si>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</si>
  <si>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</si>
  <si>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</si>
  <si>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</si>
  <si>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</si>
  <si>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</si>
  <si>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</si>
  <si>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</si>
  <si>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</si>
  <si>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</si>
  <si>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</si>
  <si>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</si>
  <si>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</si>
  <si>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</si>
  <si>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</si>
  <si>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</si>
  <si>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</si>
  <si>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</si>
  <si>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</si>
  <si>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</si>
  <si>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</si>
  <si>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</si>
  <si>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</si>
  <si>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</si>
  <si>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</si>
  <si>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</si>
  <si>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</si>
  <si>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</si>
  <si>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</si>
  <si>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</si>
  <si>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</si>
  <si>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</si>
  <si>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</si>
  <si>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</si>
  <si>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</si>
  <si>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</si>
  <si>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</si>
  <si>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</si>
  <si>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</si>
  <si>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</si>
  <si>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</si>
  <si>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</si>
  <si>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</si>
  <si>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</si>
  <si>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</si>
  <si>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</si>
  <si>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</si>
  <si>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</si>
  <si>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</si>
  <si>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</si>
  <si>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</si>
  <si>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</si>
  <si>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</si>
  <si>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</si>
  <si>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</si>
  <si>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</si>
  <si>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</si>
  <si>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</si>
  <si>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</si>
  <si>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</si>
  <si>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</si>
  <si>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</si>
  <si>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</si>
  <si>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</si>
  <si>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</si>
  <si>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</si>
  <si>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</si>
  <si>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</si>
  <si>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</si>
  <si>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</si>
  <si>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</si>
  <si>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</si>
  <si>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</si>
  <si>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</si>
  <si>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</si>
  <si>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</si>
  <si>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</si>
  <si>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</si>
  <si>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</si>
  <si>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</si>
  <si>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</si>
  <si>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</si>
  <si>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</si>
  <si>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</si>
  <si>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</si>
  <si>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</si>
  <si>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</si>
  <si>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</si>
  <si>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</si>
  <si>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</si>
  <si>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</si>
  <si>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</si>
  <si>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</si>
  <si>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</si>
  <si>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</si>
  <si>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</si>
  <si>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</si>
  <si>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</si>
  <si>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</si>
  <si>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</si>
  <si>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</si>
  <si>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</si>
  <si>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</si>
  <si>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</si>
  <si>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</si>
  <si>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</si>
  <si>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</si>
  <si>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</si>
  <si>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</si>
  <si>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</si>
  <si>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</si>
  <si>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</si>
  <si>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</si>
  <si>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</si>
  <si>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</si>
  <si>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</si>
  <si>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</si>
  <si>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</si>
  <si>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</si>
  <si>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</si>
  <si>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</si>
  <si>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</si>
  <si>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</si>
  <si>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</si>
  <si>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</si>
  <si>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</si>
  <si>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</si>
  <si>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</si>
  <si>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</si>
  <si>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</si>
  <si>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</si>
  <si>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</si>
  <si>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</si>
  <si>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</si>
  <si>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</si>
  <si>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</si>
  <si>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</si>
  <si>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</si>
  <si>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</si>
  <si>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</si>
  <si>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</si>
  <si>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</si>
  <si>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</si>
  <si>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</si>
  <si>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</si>
  <si>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</si>
  <si>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</si>
  <si>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</si>
  <si>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</si>
  <si>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</si>
  <si>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</si>
  <si>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</si>
  <si>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</si>
  <si>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</si>
  <si>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</si>
  <si>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</si>
  <si>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</si>
  <si>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</si>
  <si>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</si>
  <si>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</si>
  <si>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</si>
  <si>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</si>
  <si>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</si>
  <si>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</si>
  <si>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</si>
  <si>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</si>
  <si>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</si>
  <si>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</si>
  <si>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</si>
  <si>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</si>
  <si>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</si>
  <si>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</si>
  <si>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</si>
  <si>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</si>
  <si>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</si>
  <si>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</si>
  <si>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</si>
  <si>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</si>
  <si>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</si>
  <si>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</si>
  <si>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</si>
  <si>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</si>
  <si>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</si>
  <si>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</si>
  <si>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</si>
  <si>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</si>
  <si>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</si>
  <si>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</si>
  <si>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</si>
  <si>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</si>
  <si>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</si>
  <si>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</si>
  <si>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</si>
  <si>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</si>
  <si>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</si>
  <si>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</si>
  <si>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</si>
  <si>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</si>
  <si>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</si>
  <si>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</si>
  <si>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</si>
  <si>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</si>
  <si>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</si>
  <si>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</si>
  <si>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</si>
  <si>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</si>
  <si>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</si>
  <si>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</si>
  <si>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</si>
  <si>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</si>
  <si>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</si>
  <si>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</si>
  <si>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</si>
  <si>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</si>
  <si>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</si>
  <si>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</si>
  <si>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</si>
  <si>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</si>
  <si>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</si>
  <si>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</si>
  <si>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</si>
  <si>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</si>
  <si>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</si>
  <si>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</si>
  <si>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</si>
  <si>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</si>
  <si>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</si>
  <si>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</si>
  <si>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</si>
  <si>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</si>
  <si>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</si>
  <si>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</si>
  <si>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</si>
  <si>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</si>
  <si>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</si>
  <si>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</si>
  <si>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</si>
  <si>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</si>
  <si>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</si>
  <si>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</si>
  <si>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</si>
  <si>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</si>
  <si>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</si>
  <si>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</si>
  <si>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</si>
  <si>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</si>
  <si>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</si>
  <si>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</si>
  <si>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</si>
  <si>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</si>
  <si>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</si>
  <si>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</si>
  <si>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</si>
  <si>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</si>
  <si>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</si>
  <si>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</si>
  <si>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</si>
  <si>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</si>
  <si>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</si>
  <si>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</si>
  <si>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</si>
  <si>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</si>
  <si>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</si>
  <si>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</si>
  <si>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</si>
  <si>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</si>
  <si>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</si>
  <si>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</si>
  <si>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</si>
  <si>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</si>
  <si>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</si>
  <si>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</si>
  <si>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</si>
  <si>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</si>
  <si>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</si>
  <si>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</si>
  <si>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</si>
  <si>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</si>
  <si>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</si>
  <si>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</si>
  <si>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</si>
  <si>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</si>
  <si>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</si>
  <si>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</si>
  <si>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</si>
  <si>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</si>
  <si>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</si>
  <si>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</si>
  <si>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</si>
  <si>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</si>
  <si>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</si>
  <si>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</si>
  <si>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</si>
  <si>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</si>
  <si>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</si>
  <si>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</si>
  <si>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</si>
  <si>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</si>
  <si>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</si>
  <si>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</si>
  <si>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</si>
  <si>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</si>
  <si>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</si>
  <si>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</si>
  <si>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</si>
  <si>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</si>
  <si>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</si>
  <si>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</si>
  <si>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</si>
  <si>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</si>
  <si>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</si>
  <si>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</si>
  <si>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</si>
  <si>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</si>
  <si>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</si>
  <si>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</si>
  <si>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</si>
  <si>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</si>
  <si>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</si>
  <si>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</si>
  <si>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</si>
  <si>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</si>
  <si>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</si>
  <si>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</si>
  <si>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</si>
  <si>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</si>
  <si>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</si>
  <si>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</si>
  <si>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</si>
  <si>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</si>
  <si>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</si>
  <si>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</si>
  <si>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</si>
  <si>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</si>
  <si>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</si>
  <si>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</si>
  <si>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</si>
  <si>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</si>
  <si>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</si>
  <si>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</si>
  <si>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</si>
  <si>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</si>
  <si>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</si>
  <si>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</si>
  <si>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</si>
  <si>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</si>
  <si>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</si>
  <si>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</si>
  <si>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</si>
  <si>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</si>
  <si>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</si>
  <si>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</si>
  <si>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</si>
  <si>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</si>
  <si>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</si>
  <si>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</si>
  <si>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</si>
  <si>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</si>
  <si>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</si>
  <si>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</si>
  <si>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</si>
  <si>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</si>
  <si>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</si>
  <si>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</si>
  <si>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</si>
  <si>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</si>
  <si>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</si>
  <si>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</si>
  <si>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</si>
  <si>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</si>
  <si>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</si>
  <si>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</si>
  <si>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</si>
  <si>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</si>
  <si>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</si>
  <si>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</si>
  <si>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</si>
  <si>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</si>
  <si>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</si>
  <si>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</si>
  <si>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</si>
  <si>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</si>
  <si>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</si>
  <si>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</si>
  <si>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</si>
  <si>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</si>
  <si>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</si>
  <si>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</si>
  <si>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</si>
  <si>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</si>
  <si>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</si>
  <si>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</si>
  <si>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</si>
  <si>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</si>
  <si>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</si>
  <si>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</si>
  <si>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</si>
  <si>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</si>
  <si>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</si>
  <si>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</si>
  <si>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</si>
  <si>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</si>
  <si>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</si>
  <si>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</si>
  <si>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</si>
  <si>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</si>
  <si>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</si>
  <si>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</si>
  <si>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</si>
  <si>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</si>
  <si>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</si>
  <si>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</si>
  <si>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</si>
  <si>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</si>
  <si>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</si>
  <si>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</si>
  <si>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</si>
  <si>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</si>
  <si>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</si>
  <si>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</si>
  <si>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</si>
  <si>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</si>
  <si>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</si>
  <si>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</si>
  <si>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</si>
  <si>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</si>
  <si>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</si>
  <si>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</si>
  <si>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</si>
  <si>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</si>
  <si>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</si>
  <si>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</si>
  <si>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</si>
  <si>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</si>
  <si>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</si>
  <si>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</si>
  <si>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</si>
  <si>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</si>
  <si>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</si>
  <si>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</si>
  <si>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</si>
  <si>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</si>
  <si>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</si>
  <si>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</si>
  <si>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</si>
  <si>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</si>
  <si>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</si>
  <si>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</si>
  <si>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</si>
  <si>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</si>
  <si>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</si>
  <si>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</si>
  <si>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</si>
  <si>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</si>
  <si>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</si>
  <si>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</si>
  <si>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</si>
  <si>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</si>
  <si>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</si>
  <si>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</si>
  <si>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</si>
  <si>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</si>
  <si>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</si>
  <si>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</si>
  <si>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</si>
  <si>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</si>
  <si>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</si>
  <si>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</si>
  <si>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</si>
  <si>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</si>
  <si>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</si>
  <si>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</si>
  <si>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</si>
  <si>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</si>
  <si>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</si>
  <si>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</si>
  <si>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</si>
  <si>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</si>
  <si>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</si>
  <si>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</si>
  <si>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</si>
  <si>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</si>
  <si>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</si>
  <si>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</si>
  <si>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</si>
  <si>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</si>
  <si>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</si>
  <si>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</si>
  <si>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</si>
  <si>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</si>
  <si>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</si>
  <si>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</si>
  <si>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</si>
  <si>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</si>
  <si>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</si>
  <si>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</si>
  <si>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</si>
  <si>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</si>
  <si>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</si>
  <si>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</si>
  <si>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</si>
  <si>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</si>
  <si>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</si>
  <si>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</si>
  <si>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</si>
  <si>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</si>
  <si>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</si>
  <si>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</si>
  <si>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</si>
  <si>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</si>
  <si>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</si>
  <si>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</si>
  <si>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</si>
  <si>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</si>
  <si>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</si>
  <si>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</si>
  <si>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</si>
  <si>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</si>
  <si>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</si>
  <si>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</si>
  <si>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</si>
  <si>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</si>
  <si>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</si>
  <si>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</si>
  <si>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</si>
  <si>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</si>
  <si>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</si>
  <si>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</si>
  <si>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</si>
  <si>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</si>
  <si>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</si>
  <si>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</si>
  <si>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</si>
  <si>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</si>
  <si>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</si>
  <si>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</si>
  <si>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</si>
  <si>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</si>
  <si>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</si>
  <si>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</si>
  <si>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</si>
  <si>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</si>
  <si>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</si>
  <si>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</si>
  <si>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</si>
  <si>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</si>
  <si>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</si>
  <si>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</si>
  <si>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</si>
  <si>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</si>
  <si>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</si>
  <si>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</si>
  <si>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</si>
  <si>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</si>
  <si>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</si>
  <si>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</si>
  <si>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</si>
  <si>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</si>
  <si>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</si>
  <si>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</si>
  <si>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</si>
  <si>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</si>
  <si>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</si>
  <si>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</si>
  <si>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</si>
  <si>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</si>
  <si>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</si>
  <si>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</si>
  <si>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</si>
  <si>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</si>
  <si>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</si>
  <si>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</si>
  <si>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</si>
  <si>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</si>
  <si>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</si>
  <si>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</si>
  <si>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</si>
  <si>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</si>
  <si>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</si>
  <si>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</si>
  <si>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</si>
  <si>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</si>
  <si>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</si>
  <si>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</si>
  <si>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</si>
  <si>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</si>
  <si>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</si>
  <si>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</si>
  <si>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</si>
  <si>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</si>
  <si>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</si>
  <si>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</si>
  <si>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</si>
  <si>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</si>
  <si>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</si>
  <si>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</si>
  <si>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</si>
  <si>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</si>
  <si>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</si>
  <si>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</si>
  <si>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</si>
  <si>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</si>
  <si>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</si>
  <si>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</si>
  <si>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</si>
  <si>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</si>
  <si>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</si>
  <si>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</si>
  <si>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</si>
  <si>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</si>
  <si>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</si>
  <si>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</si>
  <si>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</si>
  <si>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</si>
  <si>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</si>
  <si>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</si>
  <si>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</si>
  <si>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</si>
  <si>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</si>
  <si>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</si>
  <si>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</si>
  <si>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</si>
  <si>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</si>
  <si>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</si>
  <si>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</si>
  <si>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</si>
  <si>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</si>
  <si>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</si>
  <si>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</si>
  <si>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</si>
  <si>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</si>
  <si>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</si>
  <si>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</si>
  <si>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</si>
  <si>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</si>
  <si>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</si>
  <si>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</si>
  <si>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</si>
  <si>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</si>
  <si>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</si>
  <si>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</si>
  <si>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</si>
  <si>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</si>
  <si>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</si>
  <si>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</si>
  <si>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</si>
  <si>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</si>
  <si>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</si>
  <si>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</si>
  <si>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</si>
  <si>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</si>
  <si>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</si>
  <si>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</si>
  <si>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</si>
  <si>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</si>
  <si>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</si>
  <si>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</si>
  <si>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</si>
  <si>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</si>
  <si>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</si>
  <si>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</si>
  <si>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</si>
  <si>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</si>
  <si>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</si>
  <si>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</si>
  <si>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</si>
  <si>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</si>
  <si>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</si>
  <si>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</si>
  <si>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</si>
  <si>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</si>
  <si>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</si>
  <si>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</si>
  <si>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</si>
  <si>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</si>
  <si>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</si>
  <si>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</si>
  <si>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</si>
  <si>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</si>
  <si>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</si>
  <si>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</si>
  <si>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</si>
  <si>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</si>
  <si>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</si>
  <si>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</si>
  <si>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</si>
  <si>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</si>
  <si>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</si>
  <si>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</si>
  <si>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</si>
  <si>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</si>
  <si>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</si>
  <si>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</si>
  <si>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</si>
  <si>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</si>
  <si>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</si>
  <si>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</si>
  <si>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</si>
  <si>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</si>
  <si>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</si>
  <si>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</si>
  <si>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</si>
  <si>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</si>
  <si>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</si>
  <si>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</si>
  <si>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</si>
  <si>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</si>
  <si>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</si>
  <si>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</si>
  <si>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</si>
  <si>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</si>
  <si>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</si>
  <si>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</si>
  <si>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</si>
  <si>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</si>
  <si>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</si>
  <si>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</si>
  <si>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</si>
  <si>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</si>
  <si>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</si>
  <si>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</si>
  <si>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</si>
  <si>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</si>
  <si>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</si>
  <si>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</si>
  <si>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</si>
  <si>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</si>
  <si>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</si>
  <si>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</si>
  <si>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</si>
  <si>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</si>
  <si>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</si>
  <si>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</si>
  <si>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</si>
  <si>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</si>
  <si>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</si>
  <si>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</si>
  <si>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</si>
  <si>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</si>
  <si>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</si>
  <si>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</si>
  <si>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</si>
  <si>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</si>
  <si>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</si>
  <si>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</si>
  <si>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</si>
  <si>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</si>
  <si>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</si>
  <si>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</si>
  <si>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</si>
  <si>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</si>
  <si>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</si>
  <si>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</si>
  <si>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</si>
  <si>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</si>
  <si>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</si>
  <si>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</si>
  <si>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</si>
  <si>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</si>
  <si>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</si>
  <si>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</si>
  <si>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</si>
  <si>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</si>
  <si>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</si>
  <si>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</si>
  <si>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</si>
  <si>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</si>
  <si>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</si>
  <si>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</si>
  <si>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</si>
  <si>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</si>
  <si>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</si>
  <si>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</si>
  <si>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</si>
  <si>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</si>
  <si>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</si>
  <si>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</si>
  <si>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</si>
  <si>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</si>
  <si>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</si>
  <si>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</si>
  <si>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</si>
  <si>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</si>
  <si>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</si>
  <si>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</si>
  <si>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</si>
  <si>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</si>
  <si>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</si>
  <si>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</si>
  <si>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</si>
  <si>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</si>
  <si>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</si>
  <si>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</si>
  <si>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</si>
  <si>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</si>
  <si>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</si>
  <si>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</si>
  <si>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</si>
  <si>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</si>
  <si>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</si>
  <si>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</si>
  <si>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</si>
  <si>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</si>
  <si>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</si>
  <si>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</si>
  <si>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</si>
  <si>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</si>
  <si>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</si>
  <si>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</si>
  <si>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</si>
  <si>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</si>
  <si>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</si>
  <si>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</si>
  <si>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</si>
  <si>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</si>
  <si>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</si>
  <si>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</si>
  <si>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</si>
  <si>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</si>
  <si>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</si>
  <si>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</si>
  <si>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</si>
  <si>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</si>
  <si>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</si>
  <si>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</si>
  <si>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</si>
  <si>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</si>
  <si>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</si>
  <si>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</si>
  <si>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</si>
  <si>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</si>
  <si>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</si>
  <si>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</si>
  <si>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</si>
  <si>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</si>
  <si>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</si>
  <si>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</si>
  <si>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</si>
  <si>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</si>
  <si>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</si>
  <si>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</si>
  <si>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</si>
  <si>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</si>
  <si>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</si>
  <si>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</si>
  <si>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</si>
  <si>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</si>
  <si>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</si>
  <si>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</si>
  <si>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</si>
  <si>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</si>
  <si>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</si>
  <si>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</si>
  <si>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</si>
  <si>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</si>
  <si>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</si>
  <si>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</si>
  <si>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</si>
  <si>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</si>
  <si>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</si>
  <si>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</si>
  <si>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</si>
  <si>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</si>
  <si>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</si>
  <si>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</si>
  <si>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</si>
  <si>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</si>
  <si>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</si>
  <si>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</si>
  <si>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</si>
  <si>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</si>
  <si>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</si>
  <si>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</si>
  <si>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</si>
  <si>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</si>
  <si>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</si>
  <si>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</si>
  <si>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</si>
  <si>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</si>
  <si>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</si>
  <si>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</si>
  <si>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</si>
  <si>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</si>
  <si>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</si>
  <si>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</si>
  <si>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</si>
  <si>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</si>
  <si>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</si>
  <si>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</si>
  <si>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</si>
  <si>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</si>
  <si>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</si>
  <si>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</si>
  <si>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</si>
  <si>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</si>
  <si>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</si>
  <si>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</si>
  <si>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</si>
  <si>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</si>
  <si>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</si>
  <si>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</si>
  <si>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</si>
  <si>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</si>
  <si>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</si>
  <si>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</si>
  <si>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</si>
  <si>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</si>
  <si>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</si>
  <si>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</si>
  <si>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</si>
  <si>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</si>
  <si>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</si>
  <si>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</si>
  <si>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</si>
  <si>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</si>
  <si>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</si>
  <si>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</si>
  <si>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</si>
  <si>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</si>
  <si>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</si>
  <si>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</si>
  <si>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</si>
  <si>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</si>
  <si>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</si>
  <si>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</si>
  <si>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</si>
  <si>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</si>
  <si>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</si>
  <si>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</si>
  <si>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</si>
  <si>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</si>
  <si>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</si>
  <si>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</si>
  <si>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</si>
  <si>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</si>
  <si>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</si>
  <si>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</si>
  <si>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</si>
  <si>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</si>
  <si>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</si>
  <si>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</si>
  <si>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</si>
  <si>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</si>
  <si>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</si>
  <si>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</si>
  <si>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</si>
  <si>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</si>
  <si>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</si>
  <si>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</si>
  <si>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</si>
  <si>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</si>
  <si>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</si>
  <si>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</si>
  <si>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</si>
  <si>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</si>
  <si>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</si>
  <si>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</si>
  <si>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</si>
  <si>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</si>
  <si>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</si>
  <si>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</si>
  <si>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</si>
  <si>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</si>
  <si>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</si>
  <si>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</si>
  <si>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</si>
  <si>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</si>
  <si>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</si>
  <si>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</si>
  <si>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</si>
  <si>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</si>
  <si>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</si>
  <si>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</si>
  <si>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</si>
  <si>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</si>
  <si>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</si>
  <si>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</si>
  <si>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</si>
  <si>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</si>
  <si>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</si>
  <si>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</si>
  <si>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</si>
  <si>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</si>
  <si>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</si>
  <si>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</si>
  <si>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</si>
  <si>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</si>
  <si>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</si>
  <si>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</si>
  <si>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</si>
  <si>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</si>
  <si>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</si>
  <si>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</si>
  <si>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</si>
  <si>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</si>
  <si>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</si>
  <si>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</si>
  <si>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</si>
  <si>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</si>
  <si>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</si>
  <si>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</si>
  <si>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</si>
  <si>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</si>
  <si>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</si>
  <si>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</si>
  <si>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</si>
  <si>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</si>
  <si>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</si>
  <si>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</si>
  <si>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</si>
  <si>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</si>
  <si>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</si>
  <si>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</si>
  <si>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</si>
  <si>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</si>
  <si>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</si>
  <si>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</si>
  <si>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</si>
  <si>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</si>
  <si>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</si>
  <si>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</si>
  <si>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</si>
  <si>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</si>
  <si>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</si>
  <si>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</si>
  <si>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</si>
  <si>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</si>
  <si>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</si>
  <si>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</si>
  <si>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</si>
  <si>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</si>
  <si>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</si>
  <si>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</si>
  <si>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</si>
  <si>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</si>
  <si>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</si>
  <si>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</si>
  <si>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</si>
  <si>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</si>
  <si>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</si>
  <si>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</si>
  <si>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</si>
  <si>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</si>
  <si>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</si>
  <si>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</si>
  <si>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</si>
  <si>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</si>
  <si>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</si>
  <si>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</si>
  <si>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</si>
  <si>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</si>
  <si>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</si>
  <si>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</si>
  <si>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</si>
  <si>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</si>
  <si>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</si>
  <si>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</si>
  <si>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</si>
  <si>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</si>
  <si>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</si>
  <si>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</si>
  <si>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</si>
  <si>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</si>
  <si>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</si>
  <si>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</si>
  <si>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</si>
  <si>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</si>
  <si>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</si>
  <si>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</si>
  <si>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</si>
  <si>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</si>
  <si>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</si>
  <si>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</si>
  <si>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</si>
  <si>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</si>
  <si>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</si>
  <si>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</si>
  <si>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</si>
  <si>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</si>
  <si>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</si>
  <si>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</si>
  <si>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</si>
  <si>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</si>
  <si>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</si>
  <si>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</si>
  <si>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</si>
  <si>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</si>
  <si>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</si>
  <si>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</si>
  <si>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</si>
  <si>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</si>
  <si>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</si>
  <si>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</si>
  <si>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</si>
  <si>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</si>
  <si>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</si>
  <si>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</si>
  <si>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</si>
  <si>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</si>
  <si>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</si>
  <si>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</si>
  <si>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</si>
  <si>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</si>
  <si>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</si>
  <si>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5</t>
    </r>
    <r>
      <rPr>
        <sz val="10"/>
        <color theme="9" tint="-0.249977111117893"/>
        <rFont val="宋体"/>
        <family val="3"/>
        <charset val="134"/>
      </rPr>
      <t>层</t>
    </r>
    <r>
      <rPr>
        <sz val="10"/>
        <color theme="9" tint="-0.249977111117893"/>
        <rFont val="Arial"/>
        <family val="2"/>
      </rPr>
      <t>601</t>
    </r>
    <phoneticPr fontId="6" type="noConversion"/>
  </si>
  <si>
    <t>北京亦蜂亦客科技有限公司</t>
    <phoneticPr fontId="6" type="noConversion"/>
  </si>
  <si>
    <t>商业</t>
    <phoneticPr fontId="6" type="noConversion"/>
  </si>
  <si>
    <t>是</t>
  </si>
  <si>
    <t>否</t>
  </si>
  <si>
    <t>商业项目</t>
  </si>
  <si>
    <t>现房</t>
  </si>
  <si>
    <t>地上</t>
  </si>
  <si>
    <t>印花税</t>
    <phoneticPr fontId="134" type="noConversion"/>
  </si>
  <si>
    <t>契税</t>
    <phoneticPr fontId="134" type="noConversion"/>
  </si>
  <si>
    <t>天数</t>
    <phoneticPr fontId="134" type="noConversion"/>
  </si>
  <si>
    <t>起始期</t>
    <phoneticPr fontId="134" type="noConversion"/>
  </si>
  <si>
    <t>结束期</t>
    <phoneticPr fontId="134" type="noConversion"/>
  </si>
  <si>
    <t>免租期</t>
    <phoneticPr fontId="134" type="noConversion"/>
  </si>
  <si>
    <r>
      <t>3</t>
    </r>
    <r>
      <rPr>
        <sz val="11"/>
        <color theme="1"/>
        <rFont val="宋体"/>
        <family val="3"/>
        <charset val="134"/>
        <scheme val="minor"/>
      </rPr>
      <t>.5个月</t>
    </r>
    <phoneticPr fontId="134" type="noConversion"/>
  </si>
  <si>
    <t>首年租金</t>
    <phoneticPr fontId="134" type="noConversion"/>
  </si>
  <si>
    <t>不含税、供暖，含物业、管理费</t>
    <phoneticPr fontId="134" type="noConversion"/>
  </si>
  <si>
    <t>月租金</t>
    <phoneticPr fontId="134" type="noConversion"/>
  </si>
  <si>
    <t>押2付6</t>
    <phoneticPr fontId="134" type="noConversion"/>
  </si>
  <si>
    <t>第一、二年不递增，第三年开始，每三年递增4%</t>
    <phoneticPr fontId="134" type="noConversion"/>
  </si>
  <si>
    <t>补充协议</t>
    <phoneticPr fontId="134" type="noConversion"/>
  </si>
  <si>
    <t>第二年减免一个月租金/服务费</t>
    <phoneticPr fontId="134" type="noConversion"/>
  </si>
  <si>
    <t>第三年减免一个月租金/服务费</t>
    <phoneticPr fontId="134" type="noConversion"/>
  </si>
  <si>
    <t>第四年减免半个月租金/服务费</t>
    <phoneticPr fontId="134" type="noConversion"/>
  </si>
  <si>
    <t>租赁合同1</t>
    <phoneticPr fontId="134" type="noConversion"/>
  </si>
  <si>
    <t>价格（元）</t>
    <phoneticPr fontId="134" type="noConversion"/>
  </si>
  <si>
    <t>租户名称</t>
    <phoneticPr fontId="134" type="noConversion"/>
  </si>
  <si>
    <t>速8酒店</t>
    <phoneticPr fontId="134" type="noConversion"/>
  </si>
  <si>
    <t>原合同起始日</t>
    <phoneticPr fontId="134" type="noConversion"/>
  </si>
  <si>
    <t>新合同起始日</t>
    <phoneticPr fontId="134" type="noConversion"/>
  </si>
  <si>
    <t>合同截止日期</t>
    <phoneticPr fontId="134" type="noConversion"/>
  </si>
  <si>
    <t>租户年租金</t>
    <phoneticPr fontId="134" type="noConversion"/>
  </si>
  <si>
    <t>每三年递增</t>
    <phoneticPr fontId="134" type="noConversion"/>
  </si>
  <si>
    <t>下一期租金缴纳日</t>
    <phoneticPr fontId="134" type="noConversion"/>
  </si>
  <si>
    <t>付款周期</t>
    <phoneticPr fontId="134" type="noConversion"/>
  </si>
  <si>
    <t>租金比例</t>
    <phoneticPr fontId="134" type="noConversion"/>
  </si>
  <si>
    <t>服务费比例</t>
    <phoneticPr fontId="134" type="noConversion"/>
  </si>
  <si>
    <t>半年付</t>
    <phoneticPr fontId="134" type="noConversion"/>
  </si>
  <si>
    <t>新合同期内各期收款明细</t>
    <phoneticPr fontId="134" type="noConversion"/>
  </si>
  <si>
    <t>交款日期</t>
    <phoneticPr fontId="134" type="noConversion"/>
  </si>
  <si>
    <t>递增日</t>
    <phoneticPr fontId="134" type="noConversion"/>
  </si>
  <si>
    <t>起始租期</t>
    <phoneticPr fontId="134" type="noConversion"/>
  </si>
  <si>
    <t>结束租期</t>
    <phoneticPr fontId="134" type="noConversion"/>
  </si>
  <si>
    <t>服务费</t>
    <phoneticPr fontId="134" type="noConversion"/>
  </si>
  <si>
    <t>押金</t>
    <phoneticPr fontId="134" type="noConversion"/>
  </si>
  <si>
    <t>免租一个月</t>
    <phoneticPr fontId="134" type="noConversion"/>
  </si>
  <si>
    <t>免租半个月</t>
    <phoneticPr fontId="134" type="noConversion"/>
  </si>
  <si>
    <t>黄色为合同价</t>
    <phoneticPr fontId="134" type="noConversion"/>
  </si>
  <si>
    <t>合同合计租金</t>
    <phoneticPr fontId="134" type="noConversion"/>
  </si>
  <si>
    <t>合同合计</t>
    <phoneticPr fontId="134" type="noConversion"/>
  </si>
  <si>
    <t>租赁合同2</t>
    <phoneticPr fontId="134" type="noConversion"/>
  </si>
  <si>
    <t>租赁期</t>
    <phoneticPr fontId="134" type="noConversion"/>
  </si>
  <si>
    <t>第一、二年不递增，第三年开始，每三年递增5%</t>
    <phoneticPr fontId="134" type="noConversion"/>
  </si>
  <si>
    <t>北岸轻居酒店</t>
    <phoneticPr fontId="134" type="noConversion"/>
  </si>
  <si>
    <r>
      <t>1</t>
    </r>
    <r>
      <rPr>
        <sz val="11"/>
        <color theme="1"/>
        <rFont val="宋体"/>
        <family val="3"/>
        <charset val="134"/>
        <scheme val="minor"/>
      </rPr>
      <t>729</t>
    </r>
    <phoneticPr fontId="134" type="noConversion"/>
  </si>
  <si>
    <t>合同内平均租金</t>
    <phoneticPr fontId="134" type="noConversion"/>
  </si>
  <si>
    <t>日租金</t>
    <phoneticPr fontId="134" type="noConversion"/>
  </si>
  <si>
    <t>合同内共免租月数</t>
    <phoneticPr fontId="134" type="noConversion"/>
  </si>
  <si>
    <t>合同内共免租天数</t>
    <phoneticPr fontId="134" type="noConversion"/>
  </si>
  <si>
    <t>租赁合同3</t>
    <phoneticPr fontId="134" type="noConversion"/>
  </si>
  <si>
    <t>2个月</t>
    <phoneticPr fontId="134" type="noConversion"/>
  </si>
  <si>
    <t>合同内日租金</t>
    <phoneticPr fontId="134" type="noConversion"/>
  </si>
  <si>
    <t>押3付3</t>
    <phoneticPr fontId="134" type="noConversion"/>
  </si>
  <si>
    <t>第一年不递增，第二年开始，每二年递增5%</t>
    <phoneticPr fontId="134" type="noConversion"/>
  </si>
  <si>
    <t>商业</t>
    <phoneticPr fontId="7" type="noConversion"/>
  </si>
  <si>
    <t>和平街街道</t>
    <phoneticPr fontId="3" type="noConversion"/>
  </si>
  <si>
    <t>成新度</t>
  </si>
  <si>
    <t>建成年代</t>
    <phoneticPr fontId="3" type="noConversion"/>
  </si>
  <si>
    <t>直线</t>
    <phoneticPr fontId="3" type="noConversion"/>
  </si>
  <si>
    <t>证载</t>
    <phoneticPr fontId="3" type="noConversion"/>
  </si>
  <si>
    <t>钢混</t>
  </si>
  <si>
    <t>钢混</t>
    <phoneticPr fontId="3" type="noConversion"/>
  </si>
  <si>
    <t>收益法</t>
  </si>
  <si>
    <t>不临65条商业街</t>
  </si>
  <si>
    <t>一般</t>
  </si>
  <si>
    <t>较好</t>
  </si>
  <si>
    <t>好</t>
  </si>
  <si>
    <t>楼层修正</t>
  </si>
  <si>
    <t>未包含在土地购买价格中</t>
  </si>
  <si>
    <t>已包含在土地取得成本中</t>
  </si>
  <si>
    <t>全部缴纳</t>
  </si>
  <si>
    <t>非生产用房</t>
  </si>
  <si>
    <t>押二</t>
  </si>
  <si>
    <t>押一</t>
  </si>
  <si>
    <t>拍卖单价</t>
    <phoneticPr fontId="134" type="noConversion"/>
  </si>
  <si>
    <t>合同总出租面积</t>
    <phoneticPr fontId="134" type="noConversion"/>
  </si>
  <si>
    <t>证载面积</t>
    <phoneticPr fontId="134" type="noConversion"/>
  </si>
  <si>
    <t>拍卖取得价</t>
    <phoneticPr fontId="134" type="noConversion"/>
  </si>
  <si>
    <t>楼面单价</t>
  </si>
  <si>
    <t>自定义</t>
  </si>
  <si>
    <t>情况4</t>
  </si>
  <si>
    <t>正常</t>
  </si>
  <si>
    <t>转让取得</t>
  </si>
  <si>
    <t>非个人房产</t>
  </si>
  <si>
    <t>购房发票</t>
  </si>
  <si>
    <t>2016年5月1日后购买</t>
  </si>
  <si>
    <t>成本法</t>
  </si>
  <si>
    <t>不含税、供暖，含物业管理费</t>
    <phoneticPr fontId="134" type="noConversion"/>
  </si>
  <si>
    <t>物业管理费</t>
    <phoneticPr fontId="134" type="noConversion"/>
  </si>
  <si>
    <r>
      <t>元/平方米</t>
    </r>
    <r>
      <rPr>
        <sz val="11"/>
        <color theme="1"/>
        <rFont val="宋体"/>
        <family val="3"/>
        <charset val="134"/>
        <scheme val="minor"/>
      </rPr>
      <t>/月</t>
    </r>
    <phoneticPr fontId="134" type="noConversion"/>
  </si>
  <si>
    <t>含税、物业管理费，不含供暖</t>
    <phoneticPr fontId="134" type="noConversion"/>
  </si>
  <si>
    <t xml:space="preserve"> 免租期</t>
  </si>
  <si>
    <t xml:space="preserve"> </t>
  </si>
  <si>
    <t>免租期内需支付物业费为421.05*60=25263元</t>
  </si>
  <si>
    <t>2025年9月15日至2025年10月14日，为未递增租期，800000/365*30≈65753元；2025年10月15日至2025年12月14日为递增租期，租金及服务费总额为：800000/365*60*1.05=138082元，以上合计：203835元。</t>
  </si>
  <si>
    <t>年租金840000</t>
  </si>
  <si>
    <t>免租一个月</t>
  </si>
  <si>
    <t>免租期内需支付物业费为421.05*28=11789元</t>
  </si>
  <si>
    <t>2027年8月15日至2027年10月14日，为未递增租期，840000/365*60=138082元；2027年10月15日至2028年11月14日为递增租期，租金及服务费总额为：840000/365*30*1.05=72493元，以上合计：210575元。</t>
  </si>
  <si>
    <t>年租金882000</t>
  </si>
  <si>
    <t>2029年8月15日至2029年10月14日，为未递增租期，882000/365*60=144986元；2029年10月15日至2029年11月14日为递增租期，租金及服务费总额为：882000/365*30*1.05=76118元，以上合计：221104元。</t>
  </si>
  <si>
    <t>年租金926100</t>
  </si>
  <si>
    <t>2031年8月15日至2031年10月14日，为未递增租期，926100/365*60=152236元；2031年10月15日至2031年11月14日为递增租期，租金及服务费总额为：926100/365*30*1.05=79924元，以上合计：232160元</t>
  </si>
  <si>
    <t>年租金972405</t>
  </si>
  <si>
    <t>2033年8月15日至2033年10月14日，为未递增租期，972405/365*60=159847元；2033年10月15日至2033年11月14日为递增租期，租金及服务费总额为：972605/365*30*1.05=83920元，以上合计：243767元。</t>
  </si>
  <si>
    <t>年租金1021025</t>
  </si>
  <si>
    <t>2035年8月15日至2035年10月14日，为未递增租期，1021025/365*60=167840元；2035年10月15日至2035年11月14日为递增租期，租金及服务费总额为：1021025/365*30*1.05=88116元，以上合计：255956元。</t>
  </si>
  <si>
    <t>年租金1072076</t>
  </si>
  <si>
    <t>间隔3个月零3天，应付款=（1072076/12*3）＋（1072076/365*3）=268019＋8812＝276831元</t>
  </si>
  <si>
    <t>每两年递增</t>
    <phoneticPr fontId="134" type="noConversion"/>
  </si>
  <si>
    <t>押三付三（季度付）</t>
    <phoneticPr fontId="134" type="noConversion"/>
  </si>
  <si>
    <t>备注</t>
    <phoneticPr fontId="134" type="noConversion"/>
  </si>
  <si>
    <t>北氧益深办公</t>
    <phoneticPr fontId="134" type="noConversion"/>
  </si>
  <si>
    <r>
      <t>4</t>
    </r>
    <r>
      <rPr>
        <sz val="11"/>
        <color theme="1"/>
        <rFont val="宋体"/>
        <family val="3"/>
        <charset val="134"/>
        <scheme val="minor"/>
      </rPr>
      <t>21.05</t>
    </r>
    <phoneticPr fontId="134" type="noConversion"/>
  </si>
  <si>
    <t>天</t>
    <phoneticPr fontId="134" type="noConversion"/>
  </si>
  <si>
    <t>合同期内日租金</t>
    <phoneticPr fontId="134" type="noConversion"/>
  </si>
  <si>
    <t>合同期内天数</t>
    <phoneticPr fontId="134" type="noConversion"/>
  </si>
  <si>
    <t>合同期内免租期</t>
    <phoneticPr fontId="134" type="noConversion"/>
  </si>
  <si>
    <t>证载面积小于合同总出租面积</t>
    <phoneticPr fontId="134" type="noConversion"/>
  </si>
  <si>
    <t>据产权方介绍</t>
    <phoneticPr fontId="134" type="noConversion"/>
  </si>
  <si>
    <t>因为涉及公摊面积所以总面积小于签约面积</t>
    <phoneticPr fontId="134" type="noConversion"/>
  </si>
  <si>
    <t>承租方</t>
    <phoneticPr fontId="134" type="noConversion"/>
  </si>
  <si>
    <t>租赁期内日平均租金</t>
    <phoneticPr fontId="134" type="noConversion"/>
  </si>
  <si>
    <t>租金内涵</t>
    <phoneticPr fontId="134" type="noConversion"/>
  </si>
  <si>
    <t>物业费</t>
    <phoneticPr fontId="134" type="noConversion"/>
  </si>
  <si>
    <t>平方米/月</t>
    <phoneticPr fontId="134" type="noConversion"/>
  </si>
  <si>
    <t>仅含税租金</t>
    <phoneticPr fontId="134" type="noConversion"/>
  </si>
  <si>
    <t>统一租金内涵（含税、物业管理费）</t>
    <phoneticPr fontId="134" type="noConversion"/>
  </si>
  <si>
    <t>含税平均租金</t>
    <phoneticPr fontId="134" type="noConversion"/>
  </si>
  <si>
    <t>与级别开发程度不一致</t>
  </si>
  <si>
    <t>通路</t>
  </si>
  <si>
    <t>通电</t>
  </si>
  <si>
    <t>通讯</t>
  </si>
  <si>
    <t>通上水</t>
  </si>
  <si>
    <t>通下水</t>
  </si>
  <si>
    <t>通热</t>
  </si>
  <si>
    <t>平整</t>
  </si>
  <si>
    <t>世奥国际中心</t>
    <phoneticPr fontId="134" type="noConversion"/>
  </si>
  <si>
    <t>1-5层为商业</t>
    <phoneticPr fontId="134" type="noConversion"/>
  </si>
  <si>
    <t>6层及以上为办公</t>
    <phoneticPr fontId="134" type="noConversion"/>
  </si>
  <si>
    <r>
      <t>1</t>
    </r>
    <r>
      <rPr>
        <sz val="11"/>
        <color theme="1"/>
        <rFont val="宋体"/>
        <family val="3"/>
        <charset val="134"/>
        <scheme val="minor"/>
      </rPr>
      <t>-3层商业为一个产权方，自用</t>
    </r>
    <phoneticPr fontId="134" type="noConversion"/>
  </si>
  <si>
    <t>4层商业为一个产权方</t>
    <phoneticPr fontId="134" type="noConversion"/>
  </si>
  <si>
    <t>5层为一个产权方</t>
    <phoneticPr fontId="134" type="noConversion"/>
  </si>
  <si>
    <t>本次估价对象为5层整层</t>
    <phoneticPr fontId="134" type="noConversion"/>
  </si>
  <si>
    <t>估价对象本身无对外出租案例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</si>
</sst>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11"/>
      <color rgb="FFFFFFFF"/>
      <name val="微软雅黑"/>
      <family val="2"/>
      <charset val="134"/>
    </font>
    <font>
      <sz val="11"/>
      <color rgb="FF000000"/>
      <name val="微软雅黑"/>
      <family val="2"/>
      <charset val="134"/>
    </font>
    <font>
      <b/>
      <sz val="8"/>
      <color rgb="FFFFFFFF"/>
      <name val="微软雅黑"/>
      <family val="2"/>
      <charset val="134"/>
    </font>
    <font>
      <b/>
      <sz val="8"/>
      <color rgb="FFFFFFFF"/>
      <name val="宋体"/>
      <family val="3"/>
      <charset val="134"/>
      <scheme val="minor"/>
    </font>
    <font>
      <sz val="8"/>
      <color theme="1"/>
      <name val="宋体"/>
      <family val="3"/>
      <charset val="134"/>
      <scheme val="minor"/>
    </font>
    <font>
      <sz val="8"/>
      <color theme="1"/>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bgColor indexed="64"/>
      </patternFill>
    </fill>
    <fill>
      <patternFill patternType="solid">
        <fgColor theme="5" tint="0.89999084444715716"/>
        <bgColor indexed="64"/>
      </patternFill>
    </fill>
    <fill>
      <patternFill patternType="solid">
        <fgColor rgb="FFFFC000"/>
        <bgColor indexed="64"/>
      </patternFill>
    </fill>
    <fill>
      <patternFill patternType="solid">
        <fgColor rgb="FF00B0F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5"/>
      </left>
      <right/>
      <top/>
      <bottom style="thin">
        <color theme="5" tint="0.59999389629810485"/>
      </bottom>
      <diagonal/>
    </border>
    <border>
      <left style="thin">
        <color theme="5"/>
      </left>
      <right/>
      <top style="thin">
        <color theme="5" tint="0.59999389629810485"/>
      </top>
      <bottom style="thin">
        <color theme="5" tint="0.59999389629810485"/>
      </bottom>
      <diagonal/>
    </border>
    <border>
      <left style="thin">
        <color theme="5" tint="0.59999389629810485"/>
      </left>
      <right/>
      <top style="thin">
        <color theme="5" tint="0.59999389629810485"/>
      </top>
      <bottom style="thin">
        <color theme="5" tint="0.59999389629810485"/>
      </bottom>
      <diagonal/>
    </border>
    <border>
      <left style="thin">
        <color auto="1"/>
      </left>
      <right style="thin">
        <color auto="1"/>
      </right>
      <top style="thin">
        <color auto="1"/>
      </top>
      <bottom style="thin">
        <color theme="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9" fontId="0" fillId="0" borderId="0" xfId="0" applyNumberFormat="1">
      <alignment vertical="center"/>
    </xf>
    <xf numFmtId="49" fontId="0" fillId="0" borderId="0" xfId="0" applyNumberFormat="1">
      <alignment vertical="center"/>
    </xf>
    <xf numFmtId="176" fontId="0" fillId="0" borderId="0" xfId="0" applyNumberFormat="1">
      <alignment vertical="center"/>
    </xf>
    <xf numFmtId="187" fontId="0" fillId="0" borderId="0" xfId="0" applyNumberFormat="1">
      <alignment vertical="center"/>
    </xf>
    <xf numFmtId="195" fontId="0" fillId="0" borderId="0" xfId="0" applyNumberFormat="1">
      <alignment vertical="center"/>
    </xf>
    <xf numFmtId="188" fontId="0" fillId="0" borderId="0" xfId="0" applyNumberFormat="1">
      <alignment vertical="center"/>
    </xf>
    <xf numFmtId="176" fontId="0" fillId="5" borderId="0" xfId="0" applyNumberFormat="1" applyFill="1">
      <alignment vertical="center"/>
    </xf>
    <xf numFmtId="187" fontId="0" fillId="5" borderId="0" xfId="0" applyNumberFormat="1" applyFill="1">
      <alignment vertical="center"/>
    </xf>
    <xf numFmtId="195" fontId="0" fillId="5" borderId="0" xfId="0" applyNumberFormat="1" applyFill="1">
      <alignment vertical="center"/>
    </xf>
    <xf numFmtId="0" fontId="95" fillId="5" borderId="0" xfId="0" applyFont="1" applyFill="1">
      <alignment vertical="center"/>
    </xf>
    <xf numFmtId="14" fontId="0" fillId="5" borderId="0" xfId="0" applyNumberFormat="1" applyFill="1">
      <alignment vertical="center"/>
    </xf>
    <xf numFmtId="14" fontId="95" fillId="5" borderId="0" xfId="0" applyNumberFormat="1" applyFont="1" applyFill="1">
      <alignment vertical="center"/>
    </xf>
    <xf numFmtId="49" fontId="95" fillId="0" borderId="0" xfId="0" applyNumberFormat="1" applyFont="1">
      <alignment vertical="center"/>
    </xf>
    <xf numFmtId="176" fontId="95" fillId="0" borderId="0" xfId="0" applyNumberFormat="1" applyFont="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95" fillId="5" borderId="0" xfId="0" applyNumberFormat="1" applyFont="1" applyFill="1">
      <alignment vertical="center"/>
    </xf>
    <xf numFmtId="0" fontId="273" fillId="22" borderId="1" xfId="0" applyFont="1" applyFill="1" applyBorder="1" applyAlignment="1">
      <alignment horizontal="center" vertical="center"/>
    </xf>
    <xf numFmtId="14" fontId="274" fillId="9" borderId="176" xfId="0" applyNumberFormat="1" applyFont="1" applyFill="1" applyBorder="1" applyAlignment="1">
      <alignment horizontal="center" vertical="center"/>
    </xf>
    <xf numFmtId="14" fontId="274" fillId="9" borderId="1" xfId="0" applyNumberFormat="1" applyFont="1" applyFill="1" applyBorder="1" applyAlignment="1">
      <alignment horizontal="center" vertical="center"/>
    </xf>
    <xf numFmtId="43" fontId="274" fillId="12" borderId="1" xfId="0" applyNumberFormat="1" applyFont="1" applyFill="1" applyBorder="1" applyAlignment="1">
      <alignment horizontal="center" vertical="center"/>
    </xf>
    <xf numFmtId="43" fontId="274" fillId="23" borderId="1" xfId="0" applyNumberFormat="1" applyFont="1" applyFill="1" applyBorder="1" applyAlignment="1">
      <alignment horizontal="center" vertical="center"/>
    </xf>
    <xf numFmtId="14" fontId="274" fillId="0" borderId="176" xfId="0" applyNumberFormat="1" applyFont="1" applyBorder="1" applyAlignment="1">
      <alignment horizontal="center" vertical="center"/>
    </xf>
    <xf numFmtId="14" fontId="274" fillId="0" borderId="1" xfId="0" applyNumberFormat="1" applyFont="1" applyBorder="1" applyAlignment="1">
      <alignment horizontal="center" vertical="center"/>
    </xf>
    <xf numFmtId="14" fontId="274" fillId="23" borderId="177" xfId="0" applyNumberFormat="1" applyFont="1" applyFill="1" applyBorder="1" applyAlignment="1">
      <alignment horizontal="center" vertical="center"/>
    </xf>
    <xf numFmtId="14" fontId="274" fillId="12" borderId="1" xfId="0" applyNumberFormat="1" applyFont="1" applyFill="1" applyBorder="1" applyAlignment="1">
      <alignment horizontal="center" vertical="center"/>
    </xf>
    <xf numFmtId="14" fontId="274" fillId="23" borderId="1" xfId="0" applyNumberFormat="1" applyFont="1" applyFill="1" applyBorder="1" applyAlignment="1">
      <alignment horizontal="center" vertical="center"/>
    </xf>
    <xf numFmtId="0" fontId="0" fillId="0" borderId="1" xfId="0" applyBorder="1">
      <alignment vertical="center"/>
    </xf>
    <xf numFmtId="194" fontId="274" fillId="12" borderId="1" xfId="0" applyNumberFormat="1" applyFont="1" applyFill="1" applyBorder="1" applyAlignment="1">
      <alignment horizontal="center" vertical="center"/>
    </xf>
    <xf numFmtId="0" fontId="273" fillId="22" borderId="1" xfId="0" applyFont="1" applyFill="1" applyBorder="1" applyAlignment="1">
      <alignment horizontal="left" vertical="center" wrapText="1"/>
    </xf>
    <xf numFmtId="14" fontId="274" fillId="12" borderId="178" xfId="0" applyNumberFormat="1" applyFont="1" applyFill="1" applyBorder="1" applyAlignment="1">
      <alignment horizontal="center" vertical="center"/>
    </xf>
    <xf numFmtId="0" fontId="273" fillId="22" borderId="1" xfId="0" applyFont="1" applyFill="1" applyBorder="1" applyAlignment="1">
      <alignment horizontal="center" vertical="center" wrapText="1"/>
    </xf>
    <xf numFmtId="14" fontId="274" fillId="9" borderId="177" xfId="0" applyNumberFormat="1" applyFont="1" applyFill="1" applyBorder="1" applyAlignment="1">
      <alignment horizontal="center" vertical="center"/>
    </xf>
    <xf numFmtId="0" fontId="273" fillId="22" borderId="1" xfId="0" applyFont="1" applyFill="1" applyBorder="1" applyAlignment="1">
      <alignment vertical="center" wrapText="1"/>
    </xf>
    <xf numFmtId="14" fontId="274" fillId="23" borderId="179" xfId="0" applyNumberFormat="1" applyFont="1" applyFill="1" applyBorder="1" applyAlignment="1">
      <alignment horizontal="center" vertical="center"/>
    </xf>
    <xf numFmtId="43" fontId="274" fillId="12" borderId="179" xfId="0" applyNumberFormat="1" applyFont="1" applyFill="1" applyBorder="1" applyAlignment="1">
      <alignment horizontal="center" vertical="center"/>
    </xf>
    <xf numFmtId="43" fontId="274" fillId="23" borderId="179" xfId="0" applyNumberFormat="1" applyFont="1" applyFill="1" applyBorder="1" applyAlignment="1">
      <alignment horizontal="center" vertical="center"/>
    </xf>
    <xf numFmtId="0" fontId="275" fillId="0" borderId="0" xfId="0" applyFont="1" applyAlignment="1">
      <alignment horizontal="center" vertical="center"/>
    </xf>
    <xf numFmtId="0" fontId="275" fillId="0" borderId="0" xfId="0" applyFont="1" applyAlignment="1">
      <alignment horizontal="center" vertical="center" wrapText="1"/>
    </xf>
    <xf numFmtId="9" fontId="275" fillId="0" borderId="0" xfId="17" applyFont="1" applyFill="1" applyBorder="1" applyAlignment="1">
      <alignment horizontal="center" vertical="center"/>
    </xf>
    <xf numFmtId="0" fontId="276" fillId="0" borderId="0" xfId="0" applyFont="1">
      <alignment vertical="center"/>
    </xf>
    <xf numFmtId="0" fontId="277" fillId="0" borderId="0" xfId="0" applyFont="1">
      <alignment vertical="center"/>
    </xf>
    <xf numFmtId="0" fontId="278" fillId="0" borderId="0" xfId="0" applyFont="1" applyAlignment="1">
      <alignment horizontal="center" vertical="center"/>
    </xf>
    <xf numFmtId="43" fontId="0" fillId="0" borderId="0" xfId="0" applyNumberFormat="1">
      <alignment vertical="center"/>
    </xf>
    <xf numFmtId="9" fontId="0" fillId="5" borderId="0" xfId="0" applyNumberFormat="1" applyFill="1">
      <alignment vertical="center"/>
    </xf>
    <xf numFmtId="0" fontId="95" fillId="0" borderId="1" xfId="0" applyFont="1" applyBorder="1">
      <alignment vertical="center"/>
    </xf>
    <xf numFmtId="0" fontId="95" fillId="0" borderId="0" xfId="0" applyFont="1" applyAlignment="1">
      <alignment vertical="center" wrapText="1"/>
    </xf>
    <xf numFmtId="0" fontId="0" fillId="24" borderId="0" xfId="0" applyFill="1">
      <alignment vertical="center"/>
    </xf>
    <xf numFmtId="0" fontId="95" fillId="24" borderId="0" xfId="0" applyFont="1" applyFill="1">
      <alignment vertical="center"/>
    </xf>
    <xf numFmtId="0" fontId="5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7" fillId="25" borderId="5" xfId="0" applyNumberFormat="1" applyFont="1" applyFill="1" applyBorder="1" applyAlignment="1" applyProtection="1">
      <alignment horizontal="center" vertical="center"/>
      <protection locked="0"/>
    </xf>
    <xf numFmtId="0" fontId="99" fillId="25" borderId="1" xfId="0" applyFont="1" applyFill="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0" fontId="51" fillId="7" borderId="3" xfId="0" applyFont="1" applyFill="1" applyBorder="1" applyProtection="1">
      <alignment vertical="center"/>
      <protection locked="0"/>
    </xf>
    <xf numFmtId="0" fontId="44" fillId="25" borderId="13" xfId="0" applyFont="1" applyFill="1" applyBorder="1" applyAlignment="1" applyProtection="1">
      <alignment horizontal="center" vertical="center"/>
      <protection locked="0"/>
    </xf>
    <xf numFmtId="0" fontId="44" fillId="25" borderId="1" xfId="0" applyFont="1" applyFill="1" applyBorder="1" applyAlignment="1" applyProtection="1">
      <alignment horizontal="center" vertical="center"/>
      <protection locked="0"/>
    </xf>
    <xf numFmtId="0" fontId="44" fillId="25" borderId="15" xfId="0" applyFont="1" applyFill="1" applyBorder="1" applyAlignment="1" applyProtection="1">
      <alignment horizontal="center" vertical="center"/>
      <protection locked="0"/>
    </xf>
    <xf numFmtId="0" fontId="44" fillId="25" borderId="2" xfId="0" applyFont="1" applyFill="1" applyBorder="1" applyAlignment="1" applyProtection="1">
      <alignment horizontal="center" vertical="center"/>
      <protection locked="0"/>
    </xf>
    <xf numFmtId="0" fontId="95" fillId="25" borderId="0" xfId="0" applyFont="1"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25</xdr:col>
      <xdr:colOff>600427</xdr:colOff>
      <xdr:row>28</xdr:row>
      <xdr:rowOff>70984</xdr:rowOff>
    </xdr:to>
    <xdr:pic>
      <xdr:nvPicPr>
        <xdr:cNvPr id="2" name="图片 1">
          <a:extLst>
            <a:ext uri="{FF2B5EF4-FFF2-40B4-BE49-F238E27FC236}">
              <a16:creationId xmlns:a16="http://schemas.microsoft.com/office/drawing/2014/main" xmlns="" id="{FBFB5DDF-9E22-4E93-9D52-3A36ADF255A4}"/>
            </a:ext>
          </a:extLst>
        </xdr:cNvPr>
        <xdr:cNvPicPr>
          <a:picLocks noChangeAspect="1"/>
        </xdr:cNvPicPr>
      </xdr:nvPicPr>
      <xdr:blipFill>
        <a:blip xmlns:r="http://schemas.openxmlformats.org/officeDocument/2006/relationships" r:embed="rId1"/>
        <a:stretch>
          <a:fillRect/>
        </a:stretch>
      </xdr:blipFill>
      <xdr:spPr>
        <a:xfrm>
          <a:off x="8084820" y="182880"/>
          <a:ext cx="9134827" cy="50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417524</xdr:colOff>
      <xdr:row>39</xdr:row>
      <xdr:rowOff>172442</xdr:rowOff>
    </xdr:to>
    <xdr:pic>
      <xdr:nvPicPr>
        <xdr:cNvPr id="2" name="图片 1">
          <a:extLst>
            <a:ext uri="{FF2B5EF4-FFF2-40B4-BE49-F238E27FC236}">
              <a16:creationId xmlns:a16="http://schemas.microsoft.com/office/drawing/2014/main" xmlns="" id="{06307A40-256C-004A-F4D1-3DB1CBFE0ABC}"/>
            </a:ext>
          </a:extLst>
        </xdr:cNvPr>
        <xdr:cNvPicPr>
          <a:picLocks noChangeAspect="1"/>
        </xdr:cNvPicPr>
      </xdr:nvPicPr>
      <xdr:blipFill>
        <a:blip xmlns:r="http://schemas.openxmlformats.org/officeDocument/2006/relationships" r:embed="rId1"/>
        <a:stretch>
          <a:fillRect/>
        </a:stretch>
      </xdr:blipFill>
      <xdr:spPr>
        <a:xfrm>
          <a:off x="0" y="0"/>
          <a:ext cx="12609524"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北京市朝阳区芍药居北里101号1幢5层601房地产抵押价值预评估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受贵公司委托，我公司对北京市朝阳区芍药居北里101号1幢5层601房地产抵押价值进行了预评估。</v>
      </c>
    </row>
    <row r="7" spans="1:2">
      <c r="A7" s="1119" t="s">
        <v>566</v>
      </c>
      <c r="B7" s="1120" t="str">
        <f>'预评函-1'!A7</f>
        <v>估价对象为北京市朝阳区芍药居北里101号1幢5层601房地产，为北京亦蜂亦客科技有限公司所有。根据《国有土地使用证》[]，估价对象（分摊）出让国有建设用地使用权面积为0平方米，建筑面积为3797.1平方米。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2025年5月14日（评估专业人员实地查勘之日）</v>
      </c>
    </row>
    <row r="13" spans="1:2">
      <c r="A13" s="1119" t="s">
        <v>529</v>
      </c>
      <c r="B13" s="1120" t="str">
        <f>'预评函-1'!A18</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9591</v>
      </c>
    </row>
    <row r="21" spans="1:2">
      <c r="A21" s="1119" t="s">
        <v>537</v>
      </c>
      <c r="B21" s="1120">
        <f ca="1">'预评函-2'!D7</f>
        <v>25259</v>
      </c>
    </row>
    <row r="22" spans="1:2">
      <c r="A22" s="1119" t="s">
        <v>538</v>
      </c>
      <c r="B22" s="1120" t="str">
        <f ca="1">'预评函-2'!D6</f>
        <v>玖仟伍佰玖拾壹万元整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9591</v>
      </c>
    </row>
    <row r="31" spans="1:2">
      <c r="A31" s="1119" t="s">
        <v>576</v>
      </c>
      <c r="B31" s="1120">
        <f ca="1">'预评函-2'!D15</f>
        <v>25259</v>
      </c>
    </row>
    <row r="32" spans="1:2">
      <c r="A32" s="1119" t="s">
        <v>543</v>
      </c>
      <c r="B32" s="1120" t="str">
        <f ca="1">'预评函-2'!D14</f>
        <v>玖仟伍佰玖拾壹万元整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9586</v>
      </c>
    </row>
    <row r="39" spans="1:2">
      <c r="A39" s="1119" t="s">
        <v>545</v>
      </c>
      <c r="B39" s="1120">
        <f ca="1">'预评函-2'!D21</f>
        <v>25246</v>
      </c>
    </row>
    <row r="40" spans="1:2">
      <c r="A40" s="1119" t="s">
        <v>546</v>
      </c>
      <c r="B40" s="1120" t="str">
        <f ca="1">'预评函-2'!D20</f>
        <v>玖仟伍佰捌拾陆万元整</v>
      </c>
    </row>
    <row r="41" spans="1:2">
      <c r="A41" s="1119" t="s">
        <v>592</v>
      </c>
      <c r="B41" s="1120" t="str">
        <f>'预评函-3'!A4</f>
        <v>北京市朝阳区芍药居北里101号1幢5层601房地产</v>
      </c>
    </row>
    <row r="42" spans="1:2">
      <c r="A42" s="1119" t="s">
        <v>590</v>
      </c>
      <c r="B42" s="1120" t="str">
        <f>'预评函-3'!B2</f>
        <v>建筑面积</v>
      </c>
    </row>
    <row r="43" spans="1:2">
      <c r="A43" s="1119" t="s">
        <v>591</v>
      </c>
      <c r="B43" s="1120">
        <f>'预评函-3'!B4</f>
        <v>3797.1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53"/>
      <c r="B54" s="1447" t="s">
        <v>385</v>
      </c>
      <c r="C54" s="1445" t="s">
        <v>583</v>
      </c>
    </row>
    <row r="55" spans="1:4">
      <c r="A55" s="3253"/>
      <c r="B55" s="1447" t="s">
        <v>386</v>
      </c>
      <c r="C55" s="1445" t="s">
        <v>584</v>
      </c>
    </row>
    <row r="56" spans="1:4">
      <c r="A56" s="3253"/>
      <c r="B56" s="1447" t="s">
        <v>387</v>
      </c>
      <c r="C56" s="1445" t="s">
        <v>588</v>
      </c>
    </row>
    <row r="57" spans="1:4">
      <c r="A57" s="325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4" t="s">
        <v>2580</v>
      </c>
      <c r="J2" s="3254"/>
      <c r="K2" s="3254"/>
      <c r="L2" s="3254"/>
      <c r="M2" s="3254"/>
      <c r="N2" s="3254"/>
      <c r="O2" s="3254"/>
      <c r="P2" s="3254"/>
      <c r="Q2" s="3254"/>
      <c r="R2" s="3254"/>
    </row>
    <row r="3" spans="1:18">
      <c r="A3" s="2760" t="s">
        <v>2501</v>
      </c>
      <c r="B3" s="2761">
        <f>项目基本情况!D3</f>
        <v>45791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1.6</v>
      </c>
      <c r="D5" s="2765">
        <f>IF(ISERROR(ROUND(POWER(1+E5,A5-C5)*(POWER(1+E5,C5)-1)/(POWER(1+E5,A5)-1),3)),0,ROUND(POWER(1+E5,A5-C5)*(POWER(1+E5,C5)-1)/(POWER(1+E5,A5)-1),4))</f>
        <v>7.6799999999999993E-2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11.6</v>
      </c>
      <c r="D6" s="2765">
        <f>IF(ISERROR(ROUND(POWER(1+E6,A6-C6)*(POWER(1+E6,C6)-1)/(POWER(1+E6,A6)-1),3)),0,ROUND(POWER(1+E6,A6-C6)*(POWER(1+E6,C6)-1)/(POWER(1+E6,A6)-1),4))</f>
        <v>0.4254</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31.62</v>
      </c>
      <c r="D7" s="2765">
        <f>IF(ISERROR(ROUND(POWER(1+E7,A7-C7)*(POWER(1+E7,C7)-1)/(POWER(1+E7,A7)-1),3)),0,ROUND(POWER(1+E7,A7-C7)*(POWER(1+E7,C7)-1)/(POWER(1+E7,A7)-1),4))</f>
        <v>0.75939999999999996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1" sqref="N3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62" t="str">
        <f>IF(B10="北京市","北京市",C10)&amp;F10&amp;IF(结果表!G1="在建","出让国有建设用地使用权及在建建筑物",IF(结果表!G1="土地","出让国有建设用地使用权",))&amp;B9&amp;"预评估"</f>
        <v>北京市朝阳区芍药居北里101号1幢5层601房地产抵押价值预评估</v>
      </c>
      <c r="C1" s="3263"/>
      <c r="D1" s="3263"/>
      <c r="E1" s="3263"/>
      <c r="F1" s="3263"/>
      <c r="G1" s="3263"/>
      <c r="H1" s="3263"/>
      <c r="I1" s="326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北京市朝阳区芍药居北里101号1幢5层601房地产抵押价值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北京市朝阳区芍药居北里101号1幢5层601房地产</v>
      </c>
      <c r="T2" s="1618"/>
      <c r="U2" s="1618"/>
      <c r="V2" s="1618"/>
      <c r="W2" s="1618"/>
      <c r="X2" s="1618"/>
      <c r="Y2" s="1618"/>
      <c r="Z2" s="1618"/>
      <c r="AA2" s="1618"/>
      <c r="AB2" s="1618"/>
    </row>
    <row r="3" spans="1:30">
      <c r="A3" s="294" t="s">
        <v>2170</v>
      </c>
      <c r="B3" s="2184">
        <v>45791</v>
      </c>
      <c r="C3" s="2185" t="s">
        <v>2171</v>
      </c>
      <c r="D3" s="2184">
        <f>B3</f>
        <v>45791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65" t="s">
        <v>2177</v>
      </c>
      <c r="E8" s="2201" t="s">
        <v>3412</v>
      </c>
      <c r="F8" s="2202"/>
      <c r="G8" s="2440"/>
      <c r="H8" s="2440"/>
      <c r="I8" s="2440"/>
      <c r="J8" s="2243"/>
      <c r="K8" s="2398"/>
      <c r="L8" s="2397"/>
      <c r="M8" s="2397"/>
      <c r="N8" s="2243"/>
      <c r="O8" s="1670"/>
      <c r="P8" s="2243"/>
      <c r="Q8" s="2243"/>
      <c r="R8" s="2243"/>
    </row>
    <row r="9" spans="1:30" ht="13.5" thickBot="1">
      <c r="A9" s="2203" t="s">
        <v>2178</v>
      </c>
      <c r="B9" s="2204" t="s">
        <v>3412</v>
      </c>
      <c r="C9" s="2205"/>
      <c r="D9" s="3266"/>
      <c r="E9" s="2204" t="s">
        <v>587</v>
      </c>
      <c r="F9" s="2206"/>
      <c r="G9" s="2441"/>
      <c r="H9" s="2441"/>
      <c r="I9" s="2441"/>
      <c r="J9" s="2243"/>
      <c r="K9" s="2400"/>
      <c r="L9" s="2397"/>
      <c r="M9" s="2397"/>
      <c r="N9" s="2243"/>
      <c r="O9" s="1670"/>
      <c r="P9" s="2243"/>
      <c r="Q9" s="2243"/>
      <c r="R9" s="2243"/>
    </row>
    <row r="10" spans="1:30" ht="13.5" thickTop="1">
      <c r="A10" s="2207" t="s">
        <v>2179</v>
      </c>
      <c r="B10" s="2208" t="s">
        <v>3413</v>
      </c>
      <c r="C10" s="2209"/>
      <c r="D10" s="2192"/>
      <c r="E10" s="2210" t="s">
        <v>2180</v>
      </c>
      <c r="F10" s="3160" t="s">
        <v>3415</v>
      </c>
      <c r="G10" s="2442"/>
      <c r="H10" s="2443"/>
      <c r="I10" s="2444"/>
      <c r="J10" s="2243"/>
      <c r="K10" s="2400"/>
      <c r="L10" s="2397"/>
      <c r="M10" s="2397"/>
      <c r="N10" s="2243"/>
      <c r="O10" s="1670"/>
      <c r="P10" s="2243"/>
      <c r="Q10" s="2243"/>
      <c r="R10" s="2243"/>
    </row>
    <row r="11" spans="1:30" ht="24">
      <c r="A11" s="2211" t="s">
        <v>2181</v>
      </c>
      <c r="B11" s="2212" t="s">
        <v>3414</v>
      </c>
      <c r="C11" s="3161" t="s">
        <v>3416</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56491</v>
      </c>
      <c r="E13" s="803"/>
      <c r="F13" s="803"/>
      <c r="G13" s="803"/>
      <c r="H13" s="803"/>
      <c r="I13" s="803">
        <f>租赁合同明细!D11</f>
        <v>50098</v>
      </c>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29.31</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11.8</v>
      </c>
      <c r="J15" s="2802"/>
      <c r="K15" s="1670"/>
      <c r="L15" s="1670"/>
      <c r="M15" s="2243"/>
      <c r="N15" s="1670"/>
      <c r="O15" s="2243"/>
      <c r="P15" s="2243"/>
      <c r="Q15" s="2243"/>
      <c r="AD15" s="1618"/>
    </row>
    <row r="16" spans="1:30">
      <c r="A16" s="2210" t="s">
        <v>2193</v>
      </c>
      <c r="B16" s="3272" t="s">
        <v>3417</v>
      </c>
      <c r="C16" s="3273"/>
      <c r="D16" s="3274"/>
      <c r="E16" s="2220" t="s">
        <v>2194</v>
      </c>
      <c r="F16" s="3275"/>
      <c r="G16" s="3276"/>
      <c r="H16" s="3276"/>
      <c r="I16" s="3277"/>
      <c r="J16" s="2243"/>
      <c r="K16" s="2401"/>
      <c r="L16" s="1670"/>
      <c r="M16" s="1670"/>
      <c r="N16" s="2243"/>
      <c r="O16" s="1670"/>
      <c r="P16" s="2243"/>
      <c r="Q16" s="2243"/>
      <c r="R16" s="2243"/>
    </row>
    <row r="17" spans="1:28">
      <c r="A17" s="305" t="s">
        <v>2195</v>
      </c>
      <c r="B17" s="294" t="s">
        <v>2196</v>
      </c>
      <c r="C17" s="8">
        <f>'数据-汇总表'!E3</f>
        <v>3797.1</v>
      </c>
      <c r="D17" s="1256" t="s">
        <v>2197</v>
      </c>
      <c r="E17" s="3278" t="s">
        <v>2198</v>
      </c>
      <c r="F17" s="3279"/>
      <c r="G17" s="3279"/>
      <c r="H17" s="3279"/>
      <c r="I17" s="3280"/>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81" t="s">
        <v>2202</v>
      </c>
      <c r="F18" s="3282"/>
      <c r="G18" s="3282"/>
      <c r="H18" s="3282"/>
      <c r="I18" s="3283"/>
      <c r="J18" s="2243"/>
      <c r="K18" s="2402"/>
      <c r="L18" s="1670"/>
      <c r="M18" s="1670"/>
      <c r="N18" s="2243"/>
      <c r="O18" s="1670"/>
      <c r="P18" s="2243"/>
      <c r="Q18" s="2243"/>
      <c r="R18" s="2243"/>
      <c r="S18" s="2243"/>
      <c r="T18" s="2243"/>
      <c r="U18" s="2243"/>
      <c r="V18" s="2243"/>
    </row>
    <row r="19" spans="1:28" ht="39.75" thickTop="1" thickBot="1">
      <c r="A19" s="319" t="s">
        <v>1055</v>
      </c>
      <c r="B19" s="299" t="s">
        <v>2203</v>
      </c>
      <c r="C19" s="1455" t="s">
        <v>3418</v>
      </c>
      <c r="D19" s="1456" t="s">
        <v>2204</v>
      </c>
      <c r="E19" s="1457" t="s">
        <v>3419</v>
      </c>
      <c r="F19" s="1458" t="str">
        <f>IF(AND(C19="是",E19="否"),"是否提供他项权证或相关说明","")</f>
        <v>是否提供他项权证或相关说明</v>
      </c>
      <c r="G19" s="1459" t="s">
        <v>3419</v>
      </c>
      <c r="H19" s="2440"/>
      <c r="I19" s="2440"/>
      <c r="J19" s="2243"/>
      <c r="K19" s="2400"/>
      <c r="L19" s="2397"/>
      <c r="M19" s="2397"/>
      <c r="N19" s="2243"/>
      <c r="O19" s="1670"/>
      <c r="P19" s="2243"/>
      <c r="Q19" s="2243"/>
      <c r="R19" s="2243"/>
      <c r="S19" s="2243"/>
      <c r="T19" s="2243"/>
      <c r="U19" s="2243"/>
      <c r="V19" s="2243"/>
    </row>
    <row r="20" spans="1:28">
      <c r="A20" s="2415" t="s">
        <v>2205</v>
      </c>
      <c r="B20" s="3268" t="s">
        <v>2206</v>
      </c>
      <c r="C20" s="3269"/>
      <c r="D20" s="3270" t="s">
        <v>2207</v>
      </c>
      <c r="E20" s="3271"/>
      <c r="F20" s="2428" t="s">
        <v>1056</v>
      </c>
      <c r="G20" s="2440"/>
      <c r="H20" s="2440"/>
      <c r="I20" s="2440"/>
      <c r="J20" s="2243"/>
      <c r="K20" s="326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6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6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56" t="s">
        <v>2214</v>
      </c>
      <c r="B27" s="312" t="s">
        <v>2215</v>
      </c>
      <c r="C27" s="2223" t="s">
        <v>3420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7"/>
      <c r="B30" s="294" t="s">
        <v>2218</v>
      </c>
      <c r="C30" s="3258"/>
      <c r="D30" s="3259"/>
      <c r="E30" s="2440"/>
      <c r="F30" s="2440"/>
      <c r="G30" s="2440"/>
      <c r="H30" s="2440"/>
      <c r="I30" s="2440"/>
      <c r="J30" s="2243"/>
      <c r="K30" s="2400"/>
      <c r="L30" s="2397"/>
      <c r="M30" s="2397"/>
      <c r="N30" s="2243"/>
      <c r="O30" s="1670"/>
      <c r="P30" s="2243"/>
      <c r="Q30" s="2243"/>
      <c r="R30" s="2243"/>
      <c r="S30" s="2243"/>
      <c r="T30" s="2243"/>
      <c r="U30" s="2243"/>
      <c r="V30" s="2243"/>
    </row>
    <row r="31" spans="1:28">
      <c r="A31" s="3260" t="s">
        <v>2219</v>
      </c>
      <c r="B31" s="2229" t="s">
        <v>3421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6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6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55" t="s">
        <v>2228</v>
      </c>
      <c r="T34" s="315" t="str">
        <f>NUMBERSTRING(7-K34,1)&amp;"通"</f>
        <v>七通</v>
      </c>
      <c r="U34" s="2243"/>
      <c r="V34" s="2243"/>
    </row>
    <row r="35" spans="1:30">
      <c r="A35" s="2234"/>
      <c r="B35" s="3255" t="s">
        <v>2229</v>
      </c>
      <c r="C35" s="3255"/>
      <c r="D35" s="3255"/>
      <c r="E35" s="325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110</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2941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3797.1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3797.1</v>
      </c>
      <c r="H5" s="13">
        <f t="shared" ref="H5:AT5" si="0">SUM(H13:H656)</f>
        <v>3797.1</v>
      </c>
      <c r="I5" s="13">
        <f t="shared" si="0"/>
        <v>3797.1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3797.1</v>
      </c>
      <c r="BA5" s="15">
        <f t="shared" si="1"/>
        <v>3797.1</v>
      </c>
      <c r="BB5" s="15">
        <f t="shared" si="1"/>
        <v>3797.1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3418</v>
      </c>
      <c r="E13" s="13">
        <f>IF($C$3="是",ROUND($A$3*G13/$B$3,2),ROUND($A$3*(G13-AT13)/$B$3,2))</f>
        <v>0</v>
      </c>
      <c r="F13" s="29"/>
      <c r="G13" s="30">
        <f>H13+AC13+AT13</f>
        <v>3797.1</v>
      </c>
      <c r="H13" s="17">
        <f>SUMIF(I$12:AB$12,"总值",I13:AB13)</f>
        <v>3797.1</v>
      </c>
      <c r="I13" s="1514">
        <v>3797.1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3797.1</v>
      </c>
      <c r="BA13" s="13">
        <f>SUM(BB13:BK13)</f>
        <v>3797.1</v>
      </c>
      <c r="BB13" s="13">
        <f>IF($D13="是",I13-J13,0)</f>
        <v>3797.1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8" sqref="L48:L4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3" t="s">
        <v>1131</v>
      </c>
      <c r="B2" s="3293"/>
      <c r="C2" s="3293"/>
      <c r="D2" s="748" t="s">
        <v>1107</v>
      </c>
      <c r="E2" s="1523" t="s">
        <v>1108</v>
      </c>
      <c r="F2" s="2437"/>
      <c r="G2" s="2430"/>
      <c r="H2" s="2431"/>
      <c r="I2" s="2145" t="s">
        <v>1132</v>
      </c>
      <c r="J2" s="2437"/>
      <c r="K2" s="2437"/>
      <c r="L2" s="2437"/>
      <c r="M2" s="2437"/>
      <c r="N2" s="2438"/>
      <c r="O2" s="2437"/>
      <c r="P2" s="2437"/>
    </row>
    <row r="3" spans="1:16" ht="15.75" thickBot="1">
      <c r="A3" s="3294" t="s">
        <v>1105</v>
      </c>
      <c r="B3" s="3294"/>
      <c r="C3" s="3294"/>
      <c r="D3" s="41">
        <f>'数据-基础表'!AY6</f>
        <v>0</v>
      </c>
      <c r="E3" s="41">
        <f>'数据-基础表'!AZ5</f>
        <v>3797.1</v>
      </c>
      <c r="F3" s="2437"/>
      <c r="G3" s="42"/>
      <c r="H3" s="43" t="s">
        <v>1106</v>
      </c>
      <c r="I3" s="802" t="e">
        <f>ROUND('数据-基础表'!B3/'数据-基础表'!A3,2)</f>
        <v>#DIV/0!</v>
      </c>
      <c r="J3" s="2437"/>
      <c r="K3" s="2437"/>
      <c r="L3" s="2437"/>
      <c r="M3" s="2437"/>
      <c r="N3" s="2438"/>
      <c r="O3" s="2437"/>
      <c r="P3" s="2437"/>
    </row>
    <row r="4" spans="1:16" ht="15">
      <c r="A4" s="3295"/>
      <c r="B4" s="3296"/>
      <c r="C4" s="329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98" t="s">
        <v>1110</v>
      </c>
      <c r="C5" s="329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98" t="s">
        <v>1111</v>
      </c>
      <c r="C6" s="3298"/>
      <c r="D6" s="43">
        <f>ROUND($D$3*E6/$E$3,2)</f>
        <v>0</v>
      </c>
      <c r="E6" s="44">
        <f>E3-E5</f>
        <v>3797.1</v>
      </c>
      <c r="F6" s="2437"/>
      <c r="G6" s="1529" t="s">
        <v>1112</v>
      </c>
      <c r="H6" s="45" t="s">
        <v>1113</v>
      </c>
      <c r="I6" s="2433" t="e">
        <f>ROUND(F31/D31,2)</f>
        <v>#DIV/0!</v>
      </c>
      <c r="J6" s="2437"/>
      <c r="K6" s="2437"/>
      <c r="L6" s="2437"/>
      <c r="M6" s="2437"/>
      <c r="N6" s="2437"/>
      <c r="O6" s="2437"/>
      <c r="P6" s="2437"/>
    </row>
    <row r="7" spans="1:16" ht="15.75" thickBot="1">
      <c r="A7" s="3290"/>
      <c r="B7" s="3291"/>
      <c r="C7" s="329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3797.1</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3797.1</v>
      </c>
      <c r="F16" s="2437"/>
      <c r="G16" s="2437"/>
      <c r="H16" s="1531" t="s">
        <v>1135</v>
      </c>
      <c r="I16" s="1532"/>
      <c r="J16" s="1071"/>
      <c r="K16" s="3287" t="s">
        <v>1135</v>
      </c>
      <c r="L16" s="3288"/>
      <c r="M16" s="3288"/>
      <c r="N16" s="3288"/>
      <c r="O16" s="3288"/>
      <c r="P16" s="3289"/>
    </row>
    <row r="17" spans="1:19" ht="15">
      <c r="A17" s="1533" t="s">
        <v>1136</v>
      </c>
      <c r="B17" s="1534" t="s">
        <v>1137</v>
      </c>
      <c r="C17" s="1535" t="s">
        <v>1138</v>
      </c>
      <c r="D17" s="1536" t="s">
        <v>1126</v>
      </c>
      <c r="E17" s="1537" t="s">
        <v>1127</v>
      </c>
      <c r="F17" s="1538"/>
      <c r="G17" s="1539"/>
      <c r="H17" s="1540" t="s">
        <v>1139</v>
      </c>
      <c r="I17" s="1541" t="s">
        <v>1124</v>
      </c>
      <c r="J17" s="1071"/>
      <c r="K17" s="3284" t="s">
        <v>1140</v>
      </c>
      <c r="L17" s="3285"/>
      <c r="M17" s="3286"/>
      <c r="N17" s="3284" t="s">
        <v>1141</v>
      </c>
      <c r="O17" s="3285"/>
      <c r="P17" s="328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3479</v>
      </c>
      <c r="D19" s="43">
        <f>ROUND($D$3*E19/$E$3,2)</f>
        <v>0</v>
      </c>
      <c r="E19" s="51">
        <f t="shared" ref="E19:E26" si="1">SUM(F19:G19)</f>
        <v>3797.1</v>
      </c>
      <c r="F19" s="2555">
        <f>'数据-基础表'!G13</f>
        <v>3797.1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3797.1</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3797.1</v>
      </c>
      <c r="F27" s="1072">
        <f>IF(SUM(F19:F26)=E8,SUM(F19:F26),"地上面积有误")</f>
        <v>3797.1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3797.1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3797.1</v>
      </c>
      <c r="F31" s="644">
        <f>F27+F30</f>
        <v>3797.1</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45791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3481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56491</v>
      </c>
      <c r="F6" s="61">
        <f>SUMIF(项目基本情况!C$12:I$12,C6,项目基本情况!C$15:I$15)</f>
        <v>29.31</v>
      </c>
      <c r="G6" s="62">
        <f>IF(ISERROR(ROUND(POWER(1+H6,D6-F6)*(POWER(1+H6,F6)-1)/(POWER(1+H6,D6)-1),3)),0,ROUND(POWER(1+H6,D6-F6)*(POWER(1+H6,F6)-1)/(POWER(1+H6,D6)-1),3))</f>
        <v>0.88700000000000001</v>
      </c>
      <c r="H6" s="691">
        <v>0.05</v>
      </c>
      <c r="I6" s="691">
        <v>5.5E-2</v>
      </c>
      <c r="J6" s="63">
        <v>7.0000000000000007E-2</v>
      </c>
      <c r="K6" s="970">
        <f>SUMIF('数据-汇总表'!C$19:C$33,A6,'数据-汇总表'!E$19:E$33)</f>
        <v>3797.1</v>
      </c>
      <c r="L6" s="692">
        <v>4500</v>
      </c>
      <c r="M6" s="64">
        <f t="shared" ref="M6:M14" si="0">ROUND(K6*L6/10000,0)</f>
        <v>1709</v>
      </c>
      <c r="N6" s="690">
        <f>N19</f>
        <v>0.73</v>
      </c>
      <c r="O6" s="64" t="str">
        <f>IF($N$5="成新度","——",ROUND(M6*N6,0))</f>
        <v>——</v>
      </c>
      <c r="P6" s="65" t="str">
        <f>IF($N$5="成新度","——",M6-O6)</f>
        <v>——</v>
      </c>
      <c r="Q6" s="3548">
        <v>0.15</v>
      </c>
      <c r="R6" s="66">
        <f ca="1">SUMIF('数据-汇总表'!C$19:C$33,A6,'数据-汇总表'!R$19:R$27)</f>
        <v>0</v>
      </c>
      <c r="S6" s="49">
        <f>IF('数据-汇总表'!$I$17="按面积比例",SUMIF('数据-汇总表'!C$19:C$33,A6,'数据-汇总表'!K$19:K$33),SUMIF('数据-汇总表'!C$19:C$33,A6,'数据-汇总表'!N$19:N$33))</f>
        <v>0</v>
      </c>
      <c r="T6" s="1092">
        <f>ROUND($L$14*S6/10000,0)</f>
        <v>0</v>
      </c>
      <c r="U6" s="3550">
        <f>租赁合同明细!G5</f>
        <v>4.0599999999999996</v>
      </c>
      <c r="V6" s="67">
        <v>0</v>
      </c>
      <c r="W6" s="67">
        <v>0</v>
      </c>
      <c r="X6" s="979"/>
      <c r="Y6" s="68">
        <f>N6</f>
        <v>0.73</v>
      </c>
      <c r="Z6" s="3551">
        <f>ROUND(U6*(1+AA6)^AF6,2)</f>
        <v>5.13</v>
      </c>
      <c r="AA6" s="63">
        <v>0.02</v>
      </c>
      <c r="AB6" s="63">
        <v>0.1</v>
      </c>
      <c r="AC6" s="979"/>
      <c r="AD6" s="70">
        <f>ROUND(1-(1-0)*(2037-N18)/60,2)</f>
        <v>0.53</v>
      </c>
      <c r="AE6" s="980">
        <f ca="1">IF(AN6="",0,SUMIF(INDIRECT("'"&amp;AN6&amp;"'"&amp;"!E:E"),$AE$5,INDIRECT("'"&amp;AN6&amp;"'"&amp;"!F:F")))</f>
        <v>29.31</v>
      </c>
      <c r="AF6" s="74">
        <f>项目基本情况!I15</f>
        <v>11.8</v>
      </c>
      <c r="AG6" s="130">
        <f ca="1">IF(AF6="",0,AE6-AF6)</f>
        <v>17.509999999999998</v>
      </c>
      <c r="AH6" s="71"/>
      <c r="AI6" s="73">
        <v>365</v>
      </c>
      <c r="AJ6" s="74"/>
      <c r="AK6" s="75">
        <v>5.0000000000000001E-3</v>
      </c>
      <c r="AL6" s="76">
        <v>1E-3</v>
      </c>
      <c r="AM6" s="77">
        <v>0.01</v>
      </c>
      <c r="AN6" s="1589" t="s">
        <v>3487</v>
      </c>
      <c r="AO6" s="50">
        <f ca="1">SUMIF(INDIRECT("'"&amp;AN6&amp;"'"&amp;"!A:A"),"总价",INDIRECT("'"&amp;AN6&amp;"'"&amp;"!B:B"))</f>
        <v>7434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0.88700000000000001</v>
      </c>
      <c r="H16" s="84">
        <f>ROUND(SUMPRODUCT(H6:H13,K6:K13)/SUMPRODUCT((H6:H13&gt;0)*(K6:K13)),3)</f>
        <v>0.05</v>
      </c>
      <c r="I16" s="85"/>
      <c r="J16" s="85"/>
      <c r="K16" s="86">
        <f>SUM(K6:K15)</f>
        <v>3797.1</v>
      </c>
      <c r="L16" s="87">
        <f>ROUND(M16*10000/SUM(K6:K14),0)</f>
        <v>4501</v>
      </c>
      <c r="M16" s="87">
        <f>SUM(M6:M14)</f>
        <v>1709</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8" t="s">
        <v>3482</v>
      </c>
      <c r="N18" s="2446">
        <v>2009</v>
      </c>
      <c r="O18" s="3178" t="s">
        <v>3484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78" t="s">
        <v>3483</v>
      </c>
      <c r="N19" s="2446">
        <f>ROUND(1-(1-0)*(2025-N18)/60,2)</f>
        <v>0.73</v>
      </c>
      <c r="O19" s="3178" t="s">
        <v>3486</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 ca="1">成本法!C8</f>
        <v>76</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3385</v>
      </c>
      <c r="D44" s="3177" t="s">
        <v>3480</v>
      </c>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f>C57</f>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99" t="s">
        <v>2286</v>
      </c>
      <c r="B1" s="3300"/>
      <c r="C1" s="3300"/>
      <c r="D1" s="3300"/>
      <c r="E1" s="3300"/>
      <c r="F1" s="3300"/>
      <c r="G1" s="330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3" sqref="E33"/>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3797.1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45791</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9591</v>
      </c>
      <c r="C5" s="2298">
        <f ca="1">IF(B5=D14,结果表!H102,ROUND(B5*10000/$B$1,0))</f>
        <v>25259</v>
      </c>
      <c r="D5" s="2298" t="e">
        <f ca="1">ROUND(B5*10000/$B$2,0)</f>
        <v>#DIV/0!</v>
      </c>
      <c r="E5" s="2459"/>
      <c r="F5" s="2460"/>
      <c r="G5" s="2460"/>
      <c r="H5" s="2460"/>
      <c r="I5" s="2460"/>
      <c r="J5" s="2460"/>
      <c r="K5" s="2460"/>
    </row>
    <row r="6" spans="1:11" ht="16.5">
      <c r="A6" s="2298" t="s">
        <v>656</v>
      </c>
      <c r="B6" s="2298">
        <f ca="1">SUM(G14:G23)</f>
        <v>9591</v>
      </c>
      <c r="C6" s="2298">
        <f ca="1">IF(B6=G14,结果表!H108,ROUND(B6*10000/$B$1,0))</f>
        <v>25259</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f ca="1">IF(B8=I14,结果表!H112,ROUND(B8*10000/$B$1,0))</f>
        <v>25246</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3355</v>
      </c>
      <c r="D10" s="2298" t="s">
        <v>3356</v>
      </c>
      <c r="E10" s="3134"/>
      <c r="F10" s="3138" t="s">
        <v>3357</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3797.1</v>
      </c>
      <c r="C14" s="2304"/>
      <c r="D14" s="2304">
        <f ca="1">结果表!H101</f>
        <v>9591</v>
      </c>
      <c r="E14" s="2304">
        <f ca="1">ROUND(D14*10000/B14,0)</f>
        <v>25259</v>
      </c>
      <c r="F14" s="2304" t="e">
        <f ca="1">ROUND(D14*10000/C14,0)</f>
        <v>#DIV/0!</v>
      </c>
      <c r="G14" s="2304">
        <f ca="1">结果表!H107</f>
        <v>9591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38" sqref="O3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3421</v>
      </c>
      <c r="H1" s="1621" t="str">
        <f>IF(G1="现房","——","估价对象范围")</f>
        <v>——</v>
      </c>
      <c r="I1" s="1622"/>
    </row>
    <row r="2" spans="1:12" ht="21.75" customHeight="1" thickBot="1">
      <c r="A2" s="3335" t="str">
        <f>项目基本情况!S2</f>
        <v>北京市朝阳区芍药居北里101号1幢5层601房地产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4" t="s">
        <v>1265</v>
      </c>
      <c r="B4" s="1625" t="s">
        <v>1266</v>
      </c>
      <c r="C4" s="1626" t="s">
        <v>3511</v>
      </c>
      <c r="D4" s="1626" t="s">
        <v>3487</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5" t="s">
        <v>1268</v>
      </c>
      <c r="B5" s="3302">
        <v>25</v>
      </c>
      <c r="C5" s="3318"/>
      <c r="D5" s="3338"/>
      <c r="E5" s="123" t="s">
        <v>1269</v>
      </c>
      <c r="F5" s="1627"/>
      <c r="G5" s="1627"/>
      <c r="H5" s="1627"/>
      <c r="I5" s="1281"/>
    </row>
    <row r="6" spans="1:12" ht="12.75">
      <c r="A6" s="3315"/>
      <c r="B6" s="3302"/>
      <c r="C6" s="3319"/>
      <c r="D6" s="3338"/>
      <c r="E6" s="123" t="s">
        <v>1270</v>
      </c>
      <c r="F6" s="1627"/>
      <c r="G6" s="1627"/>
      <c r="H6" s="1627"/>
      <c r="I6" s="1281"/>
    </row>
    <row r="7" spans="1:12" ht="12.75">
      <c r="A7" s="3315"/>
      <c r="B7" s="3302"/>
      <c r="C7" s="3320"/>
      <c r="D7" s="3338"/>
      <c r="E7" s="123" t="s">
        <v>1271</v>
      </c>
      <c r="F7" s="1627"/>
      <c r="G7" s="1627"/>
      <c r="H7" s="1627"/>
      <c r="I7" s="1281"/>
    </row>
    <row r="8" spans="1:12" ht="12.75">
      <c r="A8" s="3315" t="s">
        <v>1272</v>
      </c>
      <c r="B8" s="3302">
        <v>15</v>
      </c>
      <c r="C8" s="3318"/>
      <c r="D8" s="3338"/>
      <c r="E8" s="123" t="s">
        <v>1273</v>
      </c>
      <c r="F8" s="1627"/>
      <c r="G8" s="1627"/>
      <c r="H8" s="1627"/>
      <c r="I8" s="1281"/>
    </row>
    <row r="9" spans="1:12" ht="12.75">
      <c r="A9" s="3315"/>
      <c r="B9" s="3302"/>
      <c r="C9" s="3320"/>
      <c r="D9" s="3338"/>
      <c r="E9" s="123" t="s">
        <v>1274</v>
      </c>
      <c r="F9" s="1627"/>
      <c r="G9" s="1627"/>
      <c r="H9" s="1627"/>
      <c r="I9" s="1281"/>
    </row>
    <row r="10" spans="1:12" ht="12.75">
      <c r="A10" s="3315" t="s">
        <v>1275</v>
      </c>
      <c r="B10" s="3302">
        <v>15</v>
      </c>
      <c r="C10" s="3318"/>
      <c r="D10" s="3338"/>
      <c r="E10" s="123" t="s">
        <v>1276</v>
      </c>
      <c r="F10" s="1627"/>
      <c r="G10" s="1627"/>
      <c r="H10" s="1627"/>
      <c r="I10" s="1281"/>
    </row>
    <row r="11" spans="1:12" ht="12.75">
      <c r="A11" s="3315"/>
      <c r="B11" s="3302"/>
      <c r="C11" s="3320"/>
      <c r="D11" s="3338"/>
      <c r="E11" s="123" t="s">
        <v>1277</v>
      </c>
      <c r="F11" s="1627"/>
      <c r="G11" s="1627"/>
      <c r="H11" s="1627"/>
      <c r="I11" s="1281"/>
    </row>
    <row r="12" spans="1:12" ht="12.75">
      <c r="A12" s="3315" t="s">
        <v>1278</v>
      </c>
      <c r="B12" s="3302">
        <v>15</v>
      </c>
      <c r="C12" s="3318"/>
      <c r="D12" s="3338"/>
      <c r="E12" s="123" t="s">
        <v>1279</v>
      </c>
      <c r="F12" s="1627"/>
      <c r="G12" s="1627"/>
      <c r="H12" s="1627"/>
      <c r="I12" s="1281"/>
    </row>
    <row r="13" spans="1:12" ht="12.75">
      <c r="A13" s="3315"/>
      <c r="B13" s="3302"/>
      <c r="C13" s="3320"/>
      <c r="D13" s="3338"/>
      <c r="E13" s="123" t="s">
        <v>1280</v>
      </c>
      <c r="F13" s="1627"/>
      <c r="G13" s="1627"/>
      <c r="H13" s="1627"/>
      <c r="I13" s="1281"/>
    </row>
    <row r="14" spans="1:12" ht="12.75">
      <c r="A14" s="3315" t="s">
        <v>1281</v>
      </c>
      <c r="B14" s="3302">
        <v>30</v>
      </c>
      <c r="C14" s="3552">
        <v>6</v>
      </c>
      <c r="D14" s="3553">
        <v>4</v>
      </c>
      <c r="E14" s="123" t="s">
        <v>1282</v>
      </c>
      <c r="F14" s="1627"/>
      <c r="G14" s="1627"/>
      <c r="H14" s="1627"/>
      <c r="I14" s="1281"/>
    </row>
    <row r="15" spans="1:12" ht="12.75">
      <c r="A15" s="3315"/>
      <c r="B15" s="3302"/>
      <c r="C15" s="3554"/>
      <c r="D15" s="3553"/>
      <c r="E15" s="123" t="s">
        <v>1283</v>
      </c>
      <c r="F15" s="1627"/>
      <c r="G15" s="1627"/>
      <c r="H15" s="1627"/>
      <c r="I15" s="1281"/>
    </row>
    <row r="16" spans="1:12" ht="12.75">
      <c r="A16" s="3315"/>
      <c r="B16" s="3302"/>
      <c r="C16" s="3555"/>
      <c r="D16" s="355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25" t="s">
        <v>2131</v>
      </c>
      <c r="F18" s="3326"/>
      <c r="G18" s="3326"/>
      <c r="H18" s="3326"/>
      <c r="I18" s="3326"/>
      <c r="K18" s="294" t="s">
        <v>1289</v>
      </c>
      <c r="L18" s="294">
        <f>IF(C1="",'数据-汇总表'!E3,SUMIF(项目类型,C1,'数据-汇总表'!E17:E26)+SUMIF(项目类型,C1,'数据-汇总表'!I17:I26))</f>
        <v>3797.1</v>
      </c>
      <c r="M18" s="294">
        <f>IF(C1="",'数据-汇总表'!E3,SUMIF(项目类型,C1,'数据-汇总表'!E17:E26))</f>
        <v>3797.1</v>
      </c>
    </row>
    <row r="19" spans="1:36" ht="15">
      <c r="A19" s="1630" t="s">
        <v>1290</v>
      </c>
      <c r="B19" s="1631" t="s">
        <v>1291</v>
      </c>
      <c r="C19" s="126">
        <f ca="1">SUMIF(INDIRECT("'"&amp;C4&amp;"'"&amp;"!A:A"),结果表!B19,INDIRECT("'"&amp;C4&amp;"'"&amp;"!B:B"))</f>
        <v>11029</v>
      </c>
      <c r="D19" s="127">
        <f ca="1">SUMIF(INDIRECT("'"&amp;D4&amp;"'"&amp;"!A:A"),结果表!B19,INDIRECT("'"&amp;D4&amp;"'"&amp;"!B:B"))</f>
        <v>7434</v>
      </c>
      <c r="E19" s="1630" t="s">
        <v>1292</v>
      </c>
      <c r="F19" s="1631" t="s">
        <v>1291</v>
      </c>
      <c r="G19" s="128">
        <f ca="1">ROUND(C19*$C$18+D19*$D$18,0)</f>
        <v>9591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29046</v>
      </c>
      <c r="D20" s="130">
        <f ca="1">SUMIF(INDIRECT("'"&amp;D4&amp;"'"&amp;"!A:A"),结果表!B20,INDIRECT("'"&amp;D4&amp;"'"&amp;"!B:B"))</f>
        <v>19578</v>
      </c>
      <c r="E20" s="1633"/>
      <c r="F20" s="43" t="s">
        <v>1295</v>
      </c>
      <c r="G20" s="131">
        <f ca="1">ROUND(C20*$C$18+D20*$D$18,0)</f>
        <v>25259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0.48358891579230567</v>
      </c>
      <c r="E22" s="121"/>
      <c r="F22" s="121"/>
      <c r="G22" s="121"/>
      <c r="H22" s="121"/>
      <c r="I22" s="121"/>
    </row>
    <row r="23" spans="1:36" ht="13.5" thickBot="1">
      <c r="A23" s="646"/>
      <c r="B23" s="646"/>
      <c r="C23" s="646"/>
      <c r="D23" s="646"/>
      <c r="E23" s="121"/>
      <c r="F23" s="121"/>
      <c r="G23" s="121"/>
      <c r="H23" s="121"/>
      <c r="I23" s="121"/>
    </row>
    <row r="24" spans="1:36" ht="14.25">
      <c r="A24" s="3309" t="s">
        <v>1299</v>
      </c>
      <c r="B24" s="1631" t="s">
        <v>1291</v>
      </c>
      <c r="C24" s="128">
        <f>IF(B30=0,0,D30)</f>
        <v>0</v>
      </c>
      <c r="D24" s="1637"/>
      <c r="E24" s="121"/>
      <c r="F24" s="121"/>
      <c r="G24" s="121"/>
      <c r="H24" s="121"/>
      <c r="I24" s="121"/>
    </row>
    <row r="25" spans="1:36" ht="14.25">
      <c r="A25" s="331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25259</v>
      </c>
      <c r="D32" s="1641" t="s">
        <v>3503</v>
      </c>
      <c r="E32" s="121"/>
      <c r="F32" s="121"/>
      <c r="G32" s="121"/>
      <c r="H32" s="121"/>
      <c r="I32" s="121"/>
    </row>
    <row r="33" spans="1:15" ht="15">
      <c r="A33" s="740" t="s">
        <v>1306</v>
      </c>
      <c r="B33" s="123"/>
      <c r="C33" s="1642" t="s">
        <v>3504</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9" t="s">
        <v>1312</v>
      </c>
      <c r="B36" s="1652" t="s">
        <v>1313</v>
      </c>
      <c r="C36" s="137"/>
      <c r="D36" s="1653"/>
      <c r="E36" s="1567"/>
      <c r="F36" s="1654"/>
      <c r="G36" s="121"/>
      <c r="H36" s="121"/>
      <c r="I36" s="121"/>
    </row>
    <row r="37" spans="1:15" ht="15.75" thickBot="1">
      <c r="A37" s="3330"/>
      <c r="B37" s="1555" t="s">
        <v>1314</v>
      </c>
      <c r="C37" s="139"/>
      <c r="D37" s="1071"/>
      <c r="E37" s="1071"/>
      <c r="F37" s="1654"/>
      <c r="G37" s="121"/>
      <c r="H37" s="121"/>
      <c r="I37" s="121"/>
    </row>
    <row r="38" spans="1:15" ht="15.75" thickBot="1">
      <c r="A38" s="333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6" t="s">
        <v>1326</v>
      </c>
      <c r="B45" s="3307"/>
      <c r="C45" s="3308"/>
      <c r="D45" s="147">
        <f ca="1">ROUND(H101*F45,0)</f>
        <v>9591</v>
      </c>
      <c r="E45" s="148" t="s">
        <v>1327</v>
      </c>
      <c r="F45" s="149">
        <v>1</v>
      </c>
      <c r="G45" s="150" t="s">
        <v>1328</v>
      </c>
      <c r="H45" s="121"/>
      <c r="I45" s="121"/>
      <c r="J45" s="3384" t="s">
        <v>1329</v>
      </c>
      <c r="K45" s="3384"/>
      <c r="L45" s="3384"/>
      <c r="M45" s="3384"/>
      <c r="N45" s="3384"/>
      <c r="O45" s="3384"/>
    </row>
    <row r="46" spans="1:15" ht="14.25" customHeight="1">
      <c r="A46" s="3303" t="s">
        <v>1330</v>
      </c>
      <c r="B46" s="3304"/>
      <c r="C46" s="3304"/>
      <c r="D46" s="3304"/>
      <c r="E46" s="3304"/>
      <c r="F46" s="3304"/>
      <c r="G46" s="3305"/>
      <c r="H46" s="1668"/>
      <c r="I46" s="151"/>
      <c r="J46" s="2308">
        <v>1</v>
      </c>
      <c r="K46" s="3365" t="s">
        <v>1331</v>
      </c>
      <c r="L46" s="3365"/>
      <c r="M46" s="3385"/>
      <c r="N46" s="3385"/>
      <c r="O46" s="3385"/>
    </row>
    <row r="47" spans="1:15" ht="12" customHeight="1">
      <c r="A47" s="152" t="s">
        <v>1332</v>
      </c>
      <c r="B47" s="153"/>
      <c r="C47" s="154"/>
      <c r="D47" s="1024" t="s">
        <v>1333</v>
      </c>
      <c r="E47" s="294" t="s">
        <v>1334</v>
      </c>
      <c r="F47" s="155" t="s">
        <v>1335</v>
      </c>
      <c r="G47" s="2331" t="s">
        <v>1336</v>
      </c>
      <c r="H47" s="2332"/>
      <c r="I47" s="151"/>
      <c r="J47" s="2308">
        <v>2</v>
      </c>
      <c r="K47" s="3365" t="s">
        <v>1337</v>
      </c>
      <c r="L47" s="3365"/>
      <c r="M47" s="3386">
        <f>'数据-取费表'!B2</f>
        <v>45791</v>
      </c>
      <c r="N47" s="3386"/>
      <c r="O47" s="3386"/>
    </row>
    <row r="48" spans="1:15" ht="25.5">
      <c r="A48" s="3334" t="s">
        <v>1338</v>
      </c>
      <c r="B48" s="3317"/>
      <c r="C48" s="3317"/>
      <c r="D48" s="12" t="e">
        <f ca="1">IF(H48="情况1",0,IF(H48="情况2",D52,IF(H48="情况3",D53,IF(H48="情况4",D54))))</f>
        <v>#REF!</v>
      </c>
      <c r="E48" s="1256" t="str">
        <f>IF(H48="情况4","(销售额-原购置价)×税（费）率","销售额×税（费）率")</f>
        <v>(销售额-原购置价)×税（费）率</v>
      </c>
      <c r="F48" s="2333">
        <f>IF(H48="情况1","免征",'数据-取费表'!B41)</f>
        <v>5.6000000000000001E-2</v>
      </c>
      <c r="G48" s="2334" t="s">
        <v>1339</v>
      </c>
      <c r="H48" s="2335" t="s">
        <v>3505</v>
      </c>
      <c r="I48" s="1668"/>
      <c r="J48" s="2308">
        <v>3</v>
      </c>
      <c r="K48" s="3365" t="s">
        <v>1340</v>
      </c>
      <c r="L48" s="3365"/>
      <c r="M48" s="3387">
        <f ca="1">H101</f>
        <v>9591</v>
      </c>
      <c r="N48" s="3387"/>
      <c r="O48" s="3387"/>
    </row>
    <row r="49" spans="1:35" ht="25.5" customHeight="1">
      <c r="A49" s="2151" t="s">
        <v>1341</v>
      </c>
      <c r="B49" s="3301" t="s">
        <v>1342</v>
      </c>
      <c r="C49" s="3301"/>
      <c r="D49" s="1478">
        <v>0</v>
      </c>
      <c r="E49" s="316" t="s">
        <v>1343</v>
      </c>
      <c r="F49" s="2231" t="s">
        <v>28</v>
      </c>
      <c r="G49" s="3371"/>
      <c r="H49" s="2133" t="s">
        <v>2134</v>
      </c>
      <c r="I49" s="2134"/>
      <c r="J49" s="2308">
        <v>4</v>
      </c>
      <c r="K49" s="3365" t="str">
        <f>IF(项目基本情况!E8="房地产抵押价值","房地产抵押价值","抵押担保权已注销时的房地产抵押价值")</f>
        <v>房地产抵押价值</v>
      </c>
      <c r="L49" s="3365"/>
      <c r="M49" s="3387">
        <f ca="1">IF(项目基本情况!E8="房地产抵押价值",H107,H109)</f>
        <v>9591</v>
      </c>
      <c r="N49" s="3387"/>
      <c r="O49" s="3387"/>
    </row>
    <row r="50" spans="1:35" ht="25.5" customHeight="1">
      <c r="A50" s="2336"/>
      <c r="B50" s="3301" t="s">
        <v>1344</v>
      </c>
      <c r="C50" s="3301"/>
      <c r="D50" s="2188"/>
      <c r="E50" s="323"/>
      <c r="F50" s="2231"/>
      <c r="G50" s="3372"/>
      <c r="H50" s="2135" t="s">
        <v>2135</v>
      </c>
      <c r="I50" s="2134"/>
      <c r="J50" s="3384" t="s">
        <v>1345</v>
      </c>
      <c r="K50" s="3384"/>
      <c r="L50" s="3384"/>
      <c r="M50" s="3384"/>
      <c r="N50" s="3384"/>
      <c r="O50" s="3384"/>
    </row>
    <row r="51" spans="1:35" ht="20.45" customHeight="1">
      <c r="A51" s="2337"/>
      <c r="B51" s="3301" t="s">
        <v>1346</v>
      </c>
      <c r="C51" s="3301"/>
      <c r="D51" s="1024"/>
      <c r="E51" s="319"/>
      <c r="F51" s="2231"/>
      <c r="G51" s="3373"/>
      <c r="H51" s="2135" t="s">
        <v>2136</v>
      </c>
      <c r="I51" s="2134"/>
      <c r="J51" s="2309" t="s">
        <v>1347</v>
      </c>
      <c r="K51" s="3365" t="s">
        <v>1348</v>
      </c>
      <c r="L51" s="3365"/>
      <c r="M51" s="2309" t="s">
        <v>1349</v>
      </c>
      <c r="N51" s="2309" t="s">
        <v>1350</v>
      </c>
      <c r="O51" s="2309" t="s">
        <v>1351</v>
      </c>
    </row>
    <row r="52" spans="1:35" ht="24" customHeight="1">
      <c r="A52" s="2152" t="s">
        <v>1352</v>
      </c>
      <c r="B52" s="3301" t="s">
        <v>1353</v>
      </c>
      <c r="C52" s="3301"/>
      <c r="D52" s="1024">
        <f ca="1">ROUND(D45*'数据-取费表'!B41/(1+'数据-取费表'!C42),0)</f>
        <v>512</v>
      </c>
      <c r="E52" s="1256" t="s">
        <v>1354</v>
      </c>
      <c r="F52" s="2338">
        <f>'数据-取费表'!B41</f>
        <v>5.6000000000000001E-2</v>
      </c>
      <c r="G52" s="2339"/>
      <c r="H52" s="2329"/>
      <c r="I52" s="1669"/>
      <c r="J52" s="2308">
        <v>1</v>
      </c>
      <c r="K52" s="3366" t="s">
        <v>1355</v>
      </c>
      <c r="L52" s="3366"/>
      <c r="M52" s="2310" t="e">
        <f ca="1">D48</f>
        <v>#REF!</v>
      </c>
      <c r="N52" s="2308" t="str">
        <f>E48</f>
        <v>(销售额-原购置价)×税（费）率</v>
      </c>
      <c r="O52" s="2311">
        <f>F48</f>
        <v>5.6000000000000001E-2</v>
      </c>
    </row>
    <row r="53" spans="1:35" ht="12" customHeight="1">
      <c r="A53" s="2152" t="s">
        <v>1356</v>
      </c>
      <c r="B53" s="3327" t="s">
        <v>2291</v>
      </c>
      <c r="C53" s="3328"/>
      <c r="D53" s="1024">
        <f ca="1">ROUND(D45*'数据-取费表'!B41/(1+'数据-取费表'!C42),0)</f>
        <v>512</v>
      </c>
      <c r="E53" s="1256" t="s">
        <v>1354</v>
      </c>
      <c r="F53" s="2338">
        <f>'数据-取费表'!B41</f>
        <v>5.6000000000000001E-2</v>
      </c>
      <c r="G53" s="2339"/>
      <c r="H53" s="2329"/>
      <c r="I53" s="1669"/>
      <c r="J53" s="2308">
        <v>2</v>
      </c>
      <c r="K53" s="3366" t="s">
        <v>1357</v>
      </c>
      <c r="L53" s="3366"/>
      <c r="M53" s="2310">
        <f t="shared" ref="M53:O54" ca="1" si="0">D55</f>
        <v>5</v>
      </c>
      <c r="N53" s="2308" t="str">
        <f t="shared" si="0"/>
        <v>销售额×税（费）率</v>
      </c>
      <c r="O53" s="2311">
        <f t="shared" si="0"/>
        <v>5.0000000000000001E-4</v>
      </c>
    </row>
    <row r="54" spans="1:35" ht="12" customHeight="1">
      <c r="A54" s="2152" t="s">
        <v>1358</v>
      </c>
      <c r="B54" s="3327" t="s">
        <v>2292</v>
      </c>
      <c r="C54" s="3328"/>
      <c r="D54" s="1024" t="e">
        <f ca="1">C68</f>
        <v>#REF!</v>
      </c>
      <c r="E54" s="319" t="s">
        <v>1359</v>
      </c>
      <c r="F54" s="2338">
        <f>'数据-取费表'!B41</f>
        <v>5.6000000000000001E-2</v>
      </c>
      <c r="G54" s="2339"/>
      <c r="H54" s="2340"/>
      <c r="I54" s="1669"/>
      <c r="J54" s="2308">
        <v>3</v>
      </c>
      <c r="K54" s="3366" t="s">
        <v>1360</v>
      </c>
      <c r="L54" s="3366"/>
      <c r="M54" s="2310" t="e">
        <f t="shared" ca="1" si="0"/>
        <v>#REF!</v>
      </c>
      <c r="N54" s="2308" t="str">
        <f t="shared" si="0"/>
        <v>增值额×税（费）率</v>
      </c>
      <c r="O54" s="2312" t="str">
        <f t="shared" si="0"/>
        <v>——</v>
      </c>
    </row>
    <row r="55" spans="1:35" ht="24" customHeight="1">
      <c r="A55" s="3316" t="s">
        <v>1361</v>
      </c>
      <c r="B55" s="3317"/>
      <c r="C55" s="3317"/>
      <c r="D55" s="12">
        <f ca="1">IF(H55="个人住宅",0,ROUND(D45*I55,0))</f>
        <v>5</v>
      </c>
      <c r="E55" s="1256" t="s">
        <v>1362</v>
      </c>
      <c r="F55" s="2338">
        <f>IF(H55="正常",I55,"免征")</f>
        <v>5.0000000000000001E-4</v>
      </c>
      <c r="G55" s="2339"/>
      <c r="H55" s="2335" t="s">
        <v>3506</v>
      </c>
      <c r="I55" s="157">
        <f>'数据-取费表'!B49</f>
        <v>5.0000000000000001E-4</v>
      </c>
      <c r="J55" s="2308" t="str">
        <f>IF(H59="非个人房产","",4)</f>
        <v/>
      </c>
      <c r="K55" s="3366" t="str">
        <f>IF(H59="非个人房产","——","个人所得税")</f>
        <v>——</v>
      </c>
      <c r="L55" s="3366"/>
      <c r="M55" s="2313" t="str">
        <f>D59</f>
        <v>——</v>
      </c>
      <c r="N55" s="1883" t="str">
        <f>E59</f>
        <v>——</v>
      </c>
      <c r="O55" s="2314" t="str">
        <f>F59</f>
        <v>——</v>
      </c>
    </row>
    <row r="56" spans="1:35" ht="24.75">
      <c r="A56" s="3316" t="s">
        <v>1363</v>
      </c>
      <c r="B56" s="3317"/>
      <c r="C56" s="3317"/>
      <c r="D56" s="12" t="e">
        <f ca="1">IF(H56="个人住宅",D57,D58)</f>
        <v>#REF!</v>
      </c>
      <c r="E56" s="1256" t="s">
        <v>1364</v>
      </c>
      <c r="F56" s="2338" t="str">
        <f>IF(H56="正常",F58,"免征")</f>
        <v>——</v>
      </c>
      <c r="G56" s="2341" t="s">
        <v>1365</v>
      </c>
      <c r="H56" s="2342" t="s">
        <v>3506</v>
      </c>
      <c r="I56" s="1670"/>
      <c r="J56" s="2308" t="str">
        <f>IF(项目基本情况!K6="上海银行",IF(J55="",4,J55+1),"")</f>
        <v/>
      </c>
      <c r="K56" s="3389" t="str">
        <f>IF(项目基本情况!K6="上海银行","其他处置费用","")</f>
        <v/>
      </c>
      <c r="L56" s="3390"/>
      <c r="M56" s="2310" t="str">
        <f>IF(项目基本情况!K6="上海银行",M69,"")</f>
        <v/>
      </c>
      <c r="N56" s="3389" t="str">
        <f>IF(项目基本情况!K6="上海银行","包含处置中涉及的律师、诉讼、拍卖、评估等费用","")</f>
        <v/>
      </c>
      <c r="O56" s="3392"/>
    </row>
    <row r="57" spans="1:35" ht="12.75">
      <c r="A57" s="2152" t="s">
        <v>1341</v>
      </c>
      <c r="B57" s="3327" t="s">
        <v>1366</v>
      </c>
      <c r="C57" s="3328"/>
      <c r="D57" s="1478">
        <v>0</v>
      </c>
      <c r="E57" s="316" t="s">
        <v>1343</v>
      </c>
      <c r="F57" s="294"/>
      <c r="G57" s="2339"/>
      <c r="H57" s="2343"/>
      <c r="I57" s="1670"/>
      <c r="J57" s="3366">
        <f>IF(AND(J55="",J56=""),4,IF(项目基本情况!K6="上海银行",结果表!J56+1,结果表!J55+1))</f>
        <v>4</v>
      </c>
      <c r="K57" s="3366" t="s">
        <v>1367</v>
      </c>
      <c r="L57" s="2315" t="s">
        <v>1368</v>
      </c>
      <c r="M57" s="2316"/>
      <c r="N57" s="2317">
        <f ca="1">SUMIF(M52:M56,"&lt;9e307")</f>
        <v>5</v>
      </c>
      <c r="O57" s="2318"/>
      <c r="P57" s="2462">
        <f ca="1">N57/M49</f>
        <v>5.2132207277656131E-4</v>
      </c>
    </row>
    <row r="58" spans="1:35" ht="24.75">
      <c r="A58" s="2152" t="s">
        <v>1352</v>
      </c>
      <c r="B58" s="3327" t="s">
        <v>1369</v>
      </c>
      <c r="C58" s="3301"/>
      <c r="D58" s="12" t="e">
        <f ca="1">IF(H58="转让取得",C81,C97)</f>
        <v>#REF!</v>
      </c>
      <c r="E58" s="1256" t="s">
        <v>1364</v>
      </c>
      <c r="F58" s="294" t="s">
        <v>28</v>
      </c>
      <c r="G58" s="2339"/>
      <c r="H58" s="2342" t="s">
        <v>3507</v>
      </c>
      <c r="I58" s="1670"/>
      <c r="J58" s="3366"/>
      <c r="K58" s="3366"/>
      <c r="L58" s="2315" t="s">
        <v>1370</v>
      </c>
      <c r="M58" s="2319"/>
      <c r="N58" s="2320" t="str">
        <f ca="1">NUMBERSTRING(INT(N57*10000),2)&amp;"元整"</f>
        <v>伍万元整</v>
      </c>
      <c r="O58" s="2321"/>
    </row>
    <row r="59" spans="1:35" ht="24.75" thickBot="1">
      <c r="A59" s="3369" t="s">
        <v>1371</v>
      </c>
      <c r="B59" s="3370"/>
      <c r="C59" s="3370"/>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3508</v>
      </c>
      <c r="I59" s="2136" t="s">
        <v>2137</v>
      </c>
      <c r="J59" s="3367">
        <f>J57+1</f>
        <v>5</v>
      </c>
      <c r="K59" s="3366" t="s">
        <v>1372</v>
      </c>
      <c r="L59" s="2308" t="s">
        <v>1368</v>
      </c>
      <c r="M59" s="2322"/>
      <c r="N59" s="2323">
        <f ca="1">M49-N57</f>
        <v>9586</v>
      </c>
      <c r="O59" s="2324"/>
    </row>
    <row r="60" spans="1:35" ht="12" customHeight="1">
      <c r="A60" s="1671"/>
      <c r="B60" s="646"/>
      <c r="C60" s="646"/>
      <c r="D60" s="646"/>
      <c r="E60" s="1466"/>
      <c r="F60" s="1670"/>
      <c r="G60" s="1670"/>
      <c r="H60" s="151"/>
      <c r="I60" s="121"/>
      <c r="J60" s="3368"/>
      <c r="K60" s="3366"/>
      <c r="L60" s="2315" t="s">
        <v>1370</v>
      </c>
      <c r="M60" s="2319"/>
      <c r="N60" s="2320" t="str">
        <f ca="1">NUMBERSTRING(INT(N59*10000),2)&amp;"元整"</f>
        <v>玖仟伍佰捌拾陆万元整</v>
      </c>
      <c r="O60" s="2321"/>
    </row>
    <row r="61" spans="1:35" ht="13.5" thickBot="1">
      <c r="A61" s="3314" t="s">
        <v>1373</v>
      </c>
      <c r="B61" s="3314"/>
      <c r="C61" s="3314"/>
      <c r="D61" s="3314"/>
      <c r="E61" s="3314"/>
      <c r="F61" s="1670"/>
      <c r="G61" s="1670"/>
      <c r="H61" s="151"/>
      <c r="I61" s="121"/>
      <c r="J61" s="2308">
        <f>J59+1</f>
        <v>6</v>
      </c>
      <c r="K61" s="3366" t="s">
        <v>1374</v>
      </c>
      <c r="L61" s="3366"/>
      <c r="M61" s="2325"/>
      <c r="N61" s="2326">
        <f ca="1">ROUND(N59*10000/'数据-汇总表'!E3,0)</f>
        <v>25246</v>
      </c>
      <c r="O61" s="2327"/>
    </row>
    <row r="62" spans="1:35" ht="12.75">
      <c r="A62" s="3332" t="s">
        <v>1375</v>
      </c>
      <c r="B62" s="3333"/>
      <c r="C62" s="1865"/>
      <c r="D62" s="1865" t="s">
        <v>1376</v>
      </c>
      <c r="E62" s="158" t="s">
        <v>1377</v>
      </c>
      <c r="F62" s="1670"/>
      <c r="G62" s="1670"/>
      <c r="H62" s="151"/>
      <c r="I62" s="121"/>
    </row>
    <row r="63" spans="1:35" ht="12.75">
      <c r="A63" s="165" t="s">
        <v>330</v>
      </c>
      <c r="B63" s="159" t="s">
        <v>1378</v>
      </c>
      <c r="C63" s="2348">
        <f ca="1">ROUND((C64+C65)/(1+'数据-取费表'!C42),0)</f>
        <v>9134</v>
      </c>
      <c r="D63" s="159"/>
      <c r="E63" s="160"/>
      <c r="F63" s="1670"/>
      <c r="G63" s="1670"/>
      <c r="H63" s="151"/>
      <c r="I63" s="121"/>
      <c r="J63" s="3391" t="s">
        <v>1379</v>
      </c>
      <c r="K63" s="1245" t="s">
        <v>1380</v>
      </c>
      <c r="L63" s="1245">
        <f ca="1">IF(M49&gt;10000,M49*0.5%,IF(AND(M49&gt;1000,M49&lt;=10000),M49*1%,IF(AND(M49&gt;100,M49&lt;=1000),M49*3%,IF(AND(M49&gt;10,M49&lt;=100),M49*5%,M49*8%))))</f>
        <v>95.91</v>
      </c>
      <c r="M63" s="294">
        <f ca="1">ROUND(L63,1)</f>
        <v>95.9</v>
      </c>
      <c r="N63" s="2328"/>
      <c r="Z63" s="1623"/>
      <c r="AI63" s="1561"/>
    </row>
    <row r="64" spans="1:35" ht="14.25" customHeight="1">
      <c r="A64" s="161" t="s">
        <v>325</v>
      </c>
      <c r="B64" s="162" t="s">
        <v>1381</v>
      </c>
      <c r="C64" s="2349">
        <f ca="1">D45</f>
        <v>9591</v>
      </c>
      <c r="D64" s="162" t="s">
        <v>26</v>
      </c>
      <c r="E64" s="164"/>
      <c r="F64" s="1670"/>
      <c r="G64" s="1670"/>
      <c r="H64" s="151"/>
      <c r="I64" s="121"/>
      <c r="J64" s="3391"/>
      <c r="K64" s="1245" t="s">
        <v>1382</v>
      </c>
      <c r="L64" s="1245">
        <f ca="1">IF(M49&gt;2000,M49*0.5%,IF(AND(M49&gt;1000,M49&lt;=2000),M49*0.6%,IF(AND(M49&gt;500,M49&lt;=1000),M49*0.7%,IF(AND(M49&gt;200,M49&lt;=500),M49*0.8%,IF(AND(M49&gt;100,M49&lt;=200),M49*0.9%,IF(AND(M49&gt;50,M49&lt;=100),M49*1%,IF(AND(M49&gt;20,M49&lt;=50),M49*1.5%,IF(AND(M49&gt;10,M49&lt;=20),M49*2%,IF(AND(M49&gt;1,M49&lt;=10),M49*2.5%)))))))))</f>
        <v>47.954999999999998</v>
      </c>
      <c r="M64" s="294">
        <f t="shared" ref="M64:M65" ca="1" si="1">ROUND(L64,1)</f>
        <v>48</v>
      </c>
      <c r="N64" s="2329" t="s">
        <v>1383</v>
      </c>
      <c r="Z64" s="1623"/>
      <c r="AI64" s="1561"/>
    </row>
    <row r="65" spans="1:35" ht="14.25" customHeight="1">
      <c r="A65" s="161" t="s">
        <v>326</v>
      </c>
      <c r="B65" s="162" t="s">
        <v>1384</v>
      </c>
      <c r="C65" s="2350"/>
      <c r="D65" s="162"/>
      <c r="E65" s="164"/>
      <c r="F65" s="1670"/>
      <c r="G65" s="1670"/>
      <c r="H65" s="151"/>
      <c r="I65" s="121"/>
      <c r="J65" s="3391"/>
      <c r="K65" s="1245" t="s">
        <v>1385</v>
      </c>
      <c r="L65" s="1245">
        <f ca="1">IF(M49&gt;1000,M49*0.1%,IF(AND(M49&gt;500,M49&lt;=1000),M49*0.5%,IF(AND(M49&gt;50,M49&lt;=500),M49*1%,IF(AND(M49&gt;1,M49&lt;=50),M49*1.5%))))</f>
        <v>9.5910000000000011</v>
      </c>
      <c r="M65" s="294">
        <f t="shared" ca="1" si="1"/>
        <v>9.6</v>
      </c>
      <c r="N65" s="2329" t="s">
        <v>1383</v>
      </c>
      <c r="Z65" s="1623"/>
      <c r="AI65" s="1561"/>
    </row>
    <row r="66" spans="1:35" ht="14.25" customHeight="1">
      <c r="A66" s="165" t="s">
        <v>327</v>
      </c>
      <c r="B66" s="166" t="s">
        <v>1386</v>
      </c>
      <c r="C66" s="2351" t="e">
        <f>租赁合同明细!#REF!/10000/1.05</f>
        <v>#REF!</v>
      </c>
      <c r="D66" s="166" t="s">
        <v>26</v>
      </c>
      <c r="E66" s="1251" t="s">
        <v>671</v>
      </c>
      <c r="F66" s="1670"/>
      <c r="G66" s="1670"/>
      <c r="H66" s="151"/>
      <c r="I66" s="121"/>
      <c r="J66" s="3391"/>
      <c r="K66" s="1245" t="s">
        <v>1387</v>
      </c>
      <c r="L66" s="1245">
        <f ca="1">M49*0.5%</f>
        <v>47.954999999999998</v>
      </c>
      <c r="M66" s="294">
        <f ca="1">IF(L66&gt;0.5,0.5,ROUND(L66,0))</f>
        <v>0.5</v>
      </c>
      <c r="N66" s="2329" t="s">
        <v>1388</v>
      </c>
      <c r="Z66" s="1623"/>
      <c r="AI66" s="1561"/>
    </row>
    <row r="67" spans="1:35" ht="14.25" customHeight="1">
      <c r="A67" s="165" t="s">
        <v>328</v>
      </c>
      <c r="B67" s="166" t="s">
        <v>1389</v>
      </c>
      <c r="C67" s="2352" t="e">
        <f ca="1">C63-C66</f>
        <v>#REF!</v>
      </c>
      <c r="D67" s="162" t="s">
        <v>26</v>
      </c>
      <c r="E67" s="164"/>
      <c r="F67" s="1670"/>
      <c r="G67" s="1670"/>
      <c r="H67" s="151"/>
      <c r="I67" s="121"/>
      <c r="J67" s="3391"/>
      <c r="K67" s="1245" t="s">
        <v>1390</v>
      </c>
      <c r="L67" s="1245">
        <f ca="1">IF(M49&gt;=10000,(8.25+(M49-10000)*0.01%),IF(AND(M49&gt;=8000,M49&lt;10000),(7.85+(M49-8000)*0.02%),IF(AND(M49&gt;=5000,M49&lt;8000),(6.65+(M49-5000)*0.04%),IF(AND(M49&gt;=2000,M49&lt;5000),(4.25+(PM49-2000)*0.08%),IF(AND(M49&gt;=1000,M49&lt;2000),(2.75+(M49-1000)*0.15%),IF(AND(M49&gt;=100,M49&lt;1000),(0.5+(M49-100)*0.25%),IF(AND(M49&gt;0,M49&lt;100),M49*0.5%)))))))</f>
        <v>8.1681999999999988</v>
      </c>
      <c r="M67" s="294">
        <f ca="1">ROUND(L67*0.9,1)</f>
        <v>7.4</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91"/>
      <c r="K68" s="1245" t="s">
        <v>1392</v>
      </c>
      <c r="L68" s="1245">
        <f ca="1">IF(M49&gt;10000,M49*0.5%,IF(AND(M49&gt;5000,M49&lt;=10000),M49*1%,IF(AND(M49&gt;1000,M49&lt;=5000),M49*2%,IF(AND(M49&gt;200,M49&lt;=1000),M49*3%,M49*5%))))</f>
        <v>95.91</v>
      </c>
      <c r="M68" s="294">
        <f ca="1">ROUND(L68,1)</f>
        <v>95.9</v>
      </c>
      <c r="N68" s="2328"/>
      <c r="Z68" s="1623"/>
      <c r="AI68" s="1561"/>
    </row>
    <row r="69" spans="1:35" ht="16.5" customHeight="1">
      <c r="A69" s="1672"/>
      <c r="B69" s="1673"/>
      <c r="C69" s="1674"/>
      <c r="D69" s="1675"/>
      <c r="E69" s="1676"/>
      <c r="F69" s="1466"/>
      <c r="G69" s="1466"/>
      <c r="H69" s="1467"/>
      <c r="I69" s="646"/>
      <c r="J69" s="3391"/>
      <c r="K69" s="1245" t="s">
        <v>1393</v>
      </c>
      <c r="L69" s="1245"/>
      <c r="M69" s="294">
        <f ca="1">ROUND(SUM(M63:M68),0)</f>
        <v>257</v>
      </c>
      <c r="N69" s="2330">
        <f ca="1">M69/M49</f>
        <v>2.6795954540715254E-2</v>
      </c>
      <c r="Z69" s="1623"/>
      <c r="AI69" s="1561"/>
    </row>
    <row r="70" spans="1:35" s="642" customFormat="1" ht="15" thickBot="1">
      <c r="A70" s="3353" t="s">
        <v>1394</v>
      </c>
      <c r="B70" s="3354"/>
      <c r="C70" s="3354"/>
      <c r="D70" s="3354"/>
      <c r="E70" s="3354"/>
      <c r="F70" s="3354"/>
      <c r="G70" s="3354"/>
      <c r="H70" s="335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2" t="s">
        <v>1375</v>
      </c>
      <c r="B71" s="333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9134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t="e">
        <f>ROUND(IF(G77="2016年5月1日后购买",C75/(1+'数据-取费表'!C42)+C76+C77,C75+C76+C77),0)</f>
        <v>#REF!</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t="e">
        <f>租赁合同明细!#REF!/10000</f>
        <v>#REF!</v>
      </c>
      <c r="D75" s="162" t="s">
        <v>26</v>
      </c>
      <c r="E75" s="176" t="s">
        <v>1399</v>
      </c>
      <c r="F75" s="2356" t="s">
        <v>3509</v>
      </c>
      <c r="G75" s="176" t="s">
        <v>1400</v>
      </c>
      <c r="H75" s="2357">
        <f>2025-2024</f>
        <v>1</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t="e">
        <f>IF(F75="购房发票",ROUND(C75*H75*D76,0),0)</f>
        <v>#REF!</v>
      </c>
      <c r="D76" s="2358">
        <v>0.05</v>
      </c>
      <c r="E76" s="3327" t="s">
        <v>1402</v>
      </c>
      <c r="F76" s="3301"/>
      <c r="G76" s="3301"/>
      <c r="H76" s="335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t="e">
        <f>ROUND(IF(G77="个人住宅",0,IF(G77="2016年5月1日前购买",C75*D77,C75*D77/(1+'数据-取费表'!C42))),0)</f>
        <v>#REF!</v>
      </c>
      <c r="D77" s="2359">
        <f>'数据-取费表'!B48+'数据-取费表'!B49</f>
        <v>3.0499999999999999E-2</v>
      </c>
      <c r="E77" s="12" t="s">
        <v>1404</v>
      </c>
      <c r="F77" s="178"/>
      <c r="G77" s="1682" t="s">
        <v>3510</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55</v>
      </c>
      <c r="D78" s="2361">
        <f>'数据-取费表'!B43</f>
        <v>6.000000000000001E-3</v>
      </c>
      <c r="E78" s="3311" t="s">
        <v>1406</v>
      </c>
      <c r="F78" s="3312"/>
      <c r="G78" s="3312"/>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3" t="s">
        <v>1410</v>
      </c>
      <c r="B83" s="3354"/>
      <c r="C83" s="3354"/>
      <c r="D83" s="3354"/>
      <c r="E83" s="3354"/>
      <c r="F83" s="3354"/>
      <c r="G83" s="3354"/>
      <c r="H83" s="335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2" t="s">
        <v>1375</v>
      </c>
      <c r="B84" s="333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9134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55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393" t="s">
        <v>2129</v>
      </c>
      <c r="H90" s="339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1" t="s">
        <v>1422</v>
      </c>
      <c r="F92" s="3312"/>
      <c r="G92" s="3312"/>
      <c r="H92" s="332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55</v>
      </c>
      <c r="D93" s="2361">
        <f>'数据-取费表'!B43</f>
        <v>6.000000000000001E-3</v>
      </c>
      <c r="E93" s="3311" t="s">
        <v>1406</v>
      </c>
      <c r="F93" s="3312"/>
      <c r="G93" s="3312"/>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9079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165.07272727272726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5428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5" t="s">
        <v>1428</v>
      </c>
      <c r="B100" s="3296"/>
      <c r="C100" s="3296"/>
      <c r="D100" s="3313"/>
      <c r="E100" s="3296" t="s">
        <v>1429</v>
      </c>
      <c r="F100" s="3296"/>
      <c r="G100" s="3296"/>
      <c r="H100" s="3313"/>
      <c r="I100" s="121"/>
    </row>
    <row r="101" spans="1:35" ht="18.75" customHeight="1">
      <c r="A101" s="3374" t="s">
        <v>1430</v>
      </c>
      <c r="B101" s="3375"/>
      <c r="C101" s="2369" t="str">
        <f>C4</f>
        <v>成本法</v>
      </c>
      <c r="D101" s="2370" t="str">
        <f>D4</f>
        <v>收益法</v>
      </c>
      <c r="E101" s="3388" t="s">
        <v>1431</v>
      </c>
      <c r="F101" s="3345"/>
      <c r="G101" s="1687" t="s">
        <v>1432</v>
      </c>
      <c r="H101" s="2379">
        <f ca="1">H118</f>
        <v>9591</v>
      </c>
      <c r="I101" s="121"/>
    </row>
    <row r="102" spans="1:35" ht="18.75" customHeight="1">
      <c r="A102" s="3347" t="s">
        <v>1433</v>
      </c>
      <c r="B102" s="2368" t="s">
        <v>1432</v>
      </c>
      <c r="C102" s="2369">
        <f ca="1">IF(D32="楼面单价",ROUND(C19,0),C19)</f>
        <v>11029</v>
      </c>
      <c r="D102" s="2370">
        <f ca="1">IF(D32="楼面单价",ROUND(D19,0),D19)</f>
        <v>7434</v>
      </c>
      <c r="E102" s="3388"/>
      <c r="F102" s="3345"/>
      <c r="G102" s="1687" t="s">
        <v>1434</v>
      </c>
      <c r="H102" s="2339">
        <f ca="1">I118</f>
        <v>25259</v>
      </c>
      <c r="I102" s="121"/>
    </row>
    <row r="103" spans="1:35" ht="42.75" customHeight="1">
      <c r="A103" s="3347"/>
      <c r="B103" s="2368" t="s">
        <v>1434</v>
      </c>
      <c r="C103" s="2371">
        <f ca="1">C20</f>
        <v>29046</v>
      </c>
      <c r="D103" s="2372">
        <f ca="1">D20</f>
        <v>19578</v>
      </c>
      <c r="E103" s="3382" t="s">
        <v>1435</v>
      </c>
      <c r="F103" s="3383"/>
      <c r="G103" s="1688" t="s">
        <v>1436</v>
      </c>
      <c r="H103" s="2379">
        <f>IF(D36="正常操作",H104+H105+H106,H105+H106)</f>
        <v>0</v>
      </c>
      <c r="I103" s="121"/>
    </row>
    <row r="104" spans="1:35" ht="18.75" customHeight="1">
      <c r="A104" s="3347" t="s">
        <v>1437</v>
      </c>
      <c r="B104" s="2373" t="s">
        <v>1432</v>
      </c>
      <c r="C104" s="2374">
        <f ca="1">H118</f>
        <v>9591</v>
      </c>
      <c r="D104" s="2375"/>
      <c r="E104" s="1555" t="s">
        <v>1438</v>
      </c>
      <c r="F104" s="1548"/>
      <c r="G104" s="1688" t="s">
        <v>1436</v>
      </c>
      <c r="H104" s="2380">
        <f>IF(D36="同一抵押权人同一抵押物续贷",C36&amp;"（续贷，未扣减，详见特别提示）",C36)</f>
        <v>0</v>
      </c>
      <c r="I104" s="121"/>
    </row>
    <row r="105" spans="1:35" ht="18.75" customHeight="1" thickBot="1">
      <c r="A105" s="3348"/>
      <c r="B105" s="2376" t="s">
        <v>1434</v>
      </c>
      <c r="C105" s="2377">
        <f ca="1">I118</f>
        <v>25259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4" t="str">
        <f>IF(项目基本情况!E8="已注销","——","3.房地产抵押价值")</f>
        <v>3.房地产抵押价值</v>
      </c>
      <c r="F107" s="3345"/>
      <c r="G107" s="1687" t="s">
        <v>1432</v>
      </c>
      <c r="H107" s="2379">
        <f ca="1">IF(E107="——","——",H101-H103)</f>
        <v>9591</v>
      </c>
      <c r="I107" s="121"/>
    </row>
    <row r="108" spans="1:35" ht="18.75" customHeight="1">
      <c r="A108" s="121"/>
      <c r="B108" s="121"/>
      <c r="C108" s="121"/>
      <c r="D108" s="121"/>
      <c r="E108" s="3344"/>
      <c r="F108" s="3345"/>
      <c r="G108" s="1687" t="s">
        <v>1434</v>
      </c>
      <c r="H108" s="2339">
        <f ca="1">IF(H107=H101,H102,ROUND(H107*10000/'数据-汇总表'!E3,0))</f>
        <v>25259</v>
      </c>
      <c r="I108" s="121"/>
    </row>
    <row r="109" spans="1:35" ht="18.75" customHeight="1">
      <c r="A109" s="121"/>
      <c r="B109" s="121"/>
      <c r="C109" s="121"/>
      <c r="D109" s="121"/>
      <c r="E109" s="3344" t="str">
        <f>IF(项目基本情况!E8="已注销及未注销","4.抵押担保权已注销时的房地产抵押价值",IF(项目基本情况!E8="已注销","3.抵押担保权已注销时的房地产抵押价值","——"))</f>
        <v>——</v>
      </c>
      <c r="F109" s="3345"/>
      <c r="G109" s="1687" t="s">
        <v>1432</v>
      </c>
      <c r="H109" s="2382" t="str">
        <f>IF(E109="——","——",H101-H105-H106)</f>
        <v>——</v>
      </c>
      <c r="I109" s="121"/>
    </row>
    <row r="110" spans="1:35" ht="18.75" customHeight="1">
      <c r="A110" s="121"/>
      <c r="B110" s="121"/>
      <c r="C110" s="121"/>
      <c r="D110" s="121"/>
      <c r="E110" s="3344"/>
      <c r="F110" s="3345"/>
      <c r="G110" s="1687" t="s">
        <v>1434</v>
      </c>
      <c r="H110" s="2339" t="str">
        <f>IF(H109="——","——",ROUND(H109*10000/'数据-汇总表'!E3,0))</f>
        <v>——</v>
      </c>
      <c r="I110" s="121"/>
    </row>
    <row r="111" spans="1:35" ht="18.75" customHeight="1">
      <c r="A111" s="121"/>
      <c r="B111" s="121"/>
      <c r="C111" s="121"/>
      <c r="D111" s="121"/>
      <c r="E111" s="3376" t="str">
        <f>IF(项目基本情况!E9="抵押净值",IF(OR(项目基本情况!E8="已注销",项目基本情况!E8="房地产抵押价值"),"4.抵押净值","5.抵押净值"),"——")</f>
        <v>4.抵押净值</v>
      </c>
      <c r="F111" s="3346"/>
      <c r="G111" s="1687" t="s">
        <v>1432</v>
      </c>
      <c r="H111" s="2379">
        <f ca="1">IF(E111="——","——",N59)</f>
        <v>9586</v>
      </c>
      <c r="I111" s="121"/>
    </row>
    <row r="112" spans="1:35" ht="18.75" customHeight="1" thickBot="1">
      <c r="A112" s="121"/>
      <c r="B112" s="121"/>
      <c r="C112" s="121"/>
      <c r="D112" s="121"/>
      <c r="E112" s="3377"/>
      <c r="F112" s="3378"/>
      <c r="G112" s="1690" t="s">
        <v>1434</v>
      </c>
      <c r="H112" s="2383">
        <f ca="1">IF(E111="——","——",N61)</f>
        <v>25246</v>
      </c>
      <c r="I112" s="121"/>
    </row>
    <row r="113" spans="1:27" ht="18.75" customHeight="1">
      <c r="A113" s="121"/>
      <c r="B113" s="121"/>
      <c r="C113" s="121"/>
      <c r="D113" s="121"/>
      <c r="E113" s="3349" t="s">
        <v>1440</v>
      </c>
      <c r="F113" s="3349"/>
      <c r="G113" s="3349"/>
      <c r="H113" s="3349"/>
      <c r="I113" s="121"/>
    </row>
    <row r="114" spans="1:27" ht="3.75" customHeight="1">
      <c r="A114" s="646"/>
      <c r="B114" s="646"/>
      <c r="C114" s="646"/>
      <c r="D114" s="646"/>
      <c r="E114" s="1671"/>
      <c r="F114" s="1671"/>
      <c r="G114" s="1671"/>
      <c r="H114" s="1671"/>
      <c r="I114" s="646"/>
    </row>
    <row r="115" spans="1:27" ht="18.75" customHeight="1">
      <c r="A115" s="3359" t="s">
        <v>1442</v>
      </c>
      <c r="B115" s="3360"/>
      <c r="C115" s="3360"/>
      <c r="D115" s="3360"/>
      <c r="E115" s="3360"/>
      <c r="F115" s="3360"/>
      <c r="G115" s="3360"/>
      <c r="H115" s="3360"/>
      <c r="I115" s="3361"/>
    </row>
    <row r="116" spans="1:27" ht="27" customHeight="1">
      <c r="A116" s="3315" t="s">
        <v>1443</v>
      </c>
      <c r="B116" s="3350" t="s">
        <v>1444</v>
      </c>
      <c r="C116" s="3350" t="s">
        <v>1445</v>
      </c>
      <c r="D116" s="3363" t="s">
        <v>1446</v>
      </c>
      <c r="E116" s="3364"/>
      <c r="F116" s="3358" t="s">
        <v>1447</v>
      </c>
      <c r="G116" s="3358"/>
      <c r="H116" s="3315" t="s">
        <v>1448</v>
      </c>
      <c r="I116" s="3315"/>
    </row>
    <row r="117" spans="1:27" ht="18.75" customHeight="1">
      <c r="A117" s="3315"/>
      <c r="B117" s="3351"/>
      <c r="C117" s="3351"/>
      <c r="D117" s="2149" t="s">
        <v>1449</v>
      </c>
      <c r="E117" s="2149" t="s">
        <v>1450</v>
      </c>
      <c r="F117" s="2149" t="s">
        <v>1449</v>
      </c>
      <c r="G117" s="2149" t="s">
        <v>1451</v>
      </c>
      <c r="H117" s="2149" t="s">
        <v>1449</v>
      </c>
      <c r="I117" s="2149" t="s">
        <v>1451</v>
      </c>
    </row>
    <row r="118" spans="1:27" ht="24.75" customHeight="1">
      <c r="A118" s="2384" t="str">
        <f>项目基本情况!S2</f>
        <v>北京市朝阳区芍药居北里101号1幢5层601房地产</v>
      </c>
      <c r="B118" s="2149">
        <f>M18</f>
        <v>3797.1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9591</v>
      </c>
      <c r="I118" s="2149">
        <f ca="1">ROUND(IF(D32="楼面单价",C32,H118*10000/B118),0)</f>
        <v>25259</v>
      </c>
    </row>
    <row r="119" spans="1:27" ht="18.75" customHeight="1">
      <c r="A119" s="3315" t="s">
        <v>1452</v>
      </c>
      <c r="B119" s="3315"/>
      <c r="C119" s="3315"/>
      <c r="D119" s="3355" t="str">
        <f>NUMBERSTRING(INT(D118*10000),2)&amp;"元整"</f>
        <v>零元整</v>
      </c>
      <c r="E119" s="3357"/>
      <c r="F119" s="3355" t="str">
        <f>NUMBERSTRING(INT(F118*10000),2)&amp;"元整"</f>
        <v>零元整</v>
      </c>
      <c r="G119" s="3357"/>
      <c r="H119" s="3355" t="str">
        <f ca="1">NUMBERSTRING(INT(H118*10000),2)&amp;"元整"</f>
        <v>玖仟伍佰玖拾壹万元整</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5" t="s">
        <v>1452</v>
      </c>
      <c r="B121" s="3356"/>
      <c r="C121" s="3357"/>
      <c r="D121" s="3355" t="str">
        <f>IF(D120=0,"零元整",NUMBERSTRING(INT(D120*10000),2)&amp;"元整")</f>
        <v>零元整</v>
      </c>
      <c r="E121" s="3356"/>
      <c r="F121" s="3356"/>
      <c r="G121" s="3356"/>
      <c r="H121" s="3356"/>
      <c r="I121" s="3357"/>
      <c r="AA121" s="684"/>
    </row>
    <row r="122" spans="1:27" ht="18.75" customHeight="1">
      <c r="A122" s="3346" t="str">
        <f>IF(项目基本情况!B9="房地产市场价值","",MID(E107,3,LEN(E107)-2))</f>
        <v>房地产抵押价值</v>
      </c>
      <c r="B122" s="3346"/>
      <c r="C122" s="3346"/>
      <c r="D122" s="3379">
        <f ca="1">H107</f>
        <v>9591</v>
      </c>
      <c r="E122" s="3380"/>
      <c r="F122" s="3380"/>
      <c r="G122" s="3380"/>
      <c r="H122" s="3380"/>
      <c r="I122" s="3381"/>
      <c r="AA122" s="684"/>
    </row>
    <row r="123" spans="1:27" ht="18.75" customHeight="1">
      <c r="A123" s="3315" t="s">
        <v>1452</v>
      </c>
      <c r="B123" s="3315"/>
      <c r="C123" s="3315"/>
      <c r="D123" s="3355" t="str">
        <f ca="1">NUMBERSTRING(INT(D122*10000),2)&amp;"元整"</f>
        <v>玖仟伍佰玖拾壹万元整</v>
      </c>
      <c r="E123" s="3356"/>
      <c r="F123" s="3356"/>
      <c r="G123" s="3356"/>
      <c r="H123" s="3356"/>
      <c r="I123" s="3357"/>
      <c r="AA123" s="684"/>
    </row>
    <row r="124" spans="1:27" ht="18.75" customHeight="1">
      <c r="A124" s="3346" t="str">
        <f>IF(项目基本情况!B9="房地产市场价值","",MID(E109,3,LEN(E109)-2))</f>
        <v/>
      </c>
      <c r="B124" s="3346"/>
      <c r="C124" s="3346"/>
      <c r="D124" s="3379" t="str">
        <f>H109</f>
        <v>——</v>
      </c>
      <c r="E124" s="3380"/>
      <c r="F124" s="3380"/>
      <c r="G124" s="3380"/>
      <c r="H124" s="3380"/>
      <c r="I124" s="3381"/>
      <c r="AA124" s="684"/>
    </row>
    <row r="125" spans="1:27" ht="18.75" customHeight="1">
      <c r="A125" s="3315" t="s">
        <v>1452</v>
      </c>
      <c r="B125" s="3315"/>
      <c r="C125" s="3315"/>
      <c r="D125" s="3355" t="e">
        <f>NUMBERSTRING(INT(D124*10000),2)&amp;"元整"</f>
        <v>#VALUE!</v>
      </c>
      <c r="E125" s="3356"/>
      <c r="F125" s="3356"/>
      <c r="G125" s="3356"/>
      <c r="H125" s="3356"/>
      <c r="I125" s="3357"/>
      <c r="AA125" s="684"/>
    </row>
    <row r="126" spans="1:27" ht="18.75" customHeight="1">
      <c r="A126" s="3346" t="str">
        <f>IF(项目基本情况!B9="房地产市场价值","",MID(E111,3,LEN(E111)-2))</f>
        <v>抵押净值</v>
      </c>
      <c r="B126" s="3346"/>
      <c r="C126" s="3346"/>
      <c r="D126" s="3379">
        <f ca="1">H111</f>
        <v>9586</v>
      </c>
      <c r="E126" s="3380"/>
      <c r="F126" s="3380"/>
      <c r="G126" s="3380"/>
      <c r="H126" s="3380"/>
      <c r="I126" s="3381"/>
      <c r="AA126" s="684"/>
    </row>
    <row r="127" spans="1:27" ht="18.75" customHeight="1">
      <c r="A127" s="3315" t="s">
        <v>1452</v>
      </c>
      <c r="B127" s="3315"/>
      <c r="C127" s="3315"/>
      <c r="D127" s="3355" t="str">
        <f ca="1">NUMBERSTRING(INT(D126*10000),2)&amp;"元整"</f>
        <v>玖仟伍佰捌拾陆万元整</v>
      </c>
      <c r="E127" s="3356"/>
      <c r="F127" s="3356"/>
      <c r="G127" s="3356"/>
      <c r="H127" s="3356"/>
      <c r="I127" s="3357"/>
      <c r="AA127" s="684"/>
    </row>
    <row r="128" spans="1:27" ht="21.75" customHeight="1">
      <c r="A128" s="3362" t="s">
        <v>1453</v>
      </c>
      <c r="B128" s="3362"/>
      <c r="C128" s="3362"/>
      <c r="D128" s="3362"/>
      <c r="E128" s="3362"/>
      <c r="F128" s="3362"/>
      <c r="G128" s="3362"/>
      <c r="H128" s="3362"/>
      <c r="I128" s="336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R50" sqref="R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11029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29046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6879</v>
      </c>
      <c r="D5" s="203" t="s">
        <v>1469</v>
      </c>
      <c r="E5" s="204" t="s">
        <v>1470</v>
      </c>
      <c r="F5" s="204" t="s">
        <v>1471</v>
      </c>
      <c r="G5" s="205"/>
    </row>
    <row r="6" spans="1:9" s="206" customFormat="1" ht="13.5" customHeight="1">
      <c r="A6" s="732" t="s">
        <v>1472</v>
      </c>
      <c r="B6" s="207" t="s">
        <v>1473</v>
      </c>
      <c r="C6" s="208">
        <f>基准地价修正!E33</f>
        <v>6602</v>
      </c>
      <c r="D6" s="209"/>
      <c r="E6" s="210"/>
      <c r="F6" s="210"/>
      <c r="G6" s="211"/>
    </row>
    <row r="7" spans="1:9" s="206" customFormat="1" ht="13.5" customHeight="1">
      <c r="A7" s="732" t="s">
        <v>1474</v>
      </c>
      <c r="B7" s="207" t="s">
        <v>1475</v>
      </c>
      <c r="C7" s="212">
        <f>ROUND(C6*F7,0)</f>
        <v>201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76</v>
      </c>
      <c r="D8" s="214"/>
      <c r="E8" s="212"/>
      <c r="F8" s="213"/>
      <c r="G8" s="1714" t="s">
        <v>3493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3495</v>
      </c>
      <c r="H9" s="1070"/>
      <c r="I9" s="1716" t="s">
        <v>1479</v>
      </c>
    </row>
    <row r="10" spans="1:9" s="206" customFormat="1" ht="13.5" customHeight="1">
      <c r="A10" s="733" t="s">
        <v>356</v>
      </c>
      <c r="B10" s="216" t="s">
        <v>1480</v>
      </c>
      <c r="C10" s="217">
        <f ca="1">ROUND(D10*E10/10000,0)</f>
        <v>76</v>
      </c>
      <c r="D10" s="795">
        <f ca="1">IF(B1="",'数据-汇总表'!E6,IF(INDIRECT("'数据-取费表'!c"&amp;$G$1)="住宅",INDIRECT("'数据-取费表'!s"&amp;$G$1),INDIRECT("'数据-取费表'!k"&amp;$G$1)+INDIRECT("'数据-取费表'!s"&amp;$G$1)))</f>
        <v>3797.1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3797.1</v>
      </c>
      <c r="E19" s="203">
        <f>'数据-取费表'!B31</f>
        <v>200</v>
      </c>
      <c r="F19" s="223"/>
      <c r="G19" s="1714" t="s">
        <v>3494</v>
      </c>
    </row>
    <row r="20" spans="1:7" s="206" customFormat="1" ht="13.5" customHeight="1">
      <c r="A20" s="247" t="s">
        <v>1493</v>
      </c>
      <c r="B20" s="202" t="s">
        <v>1494</v>
      </c>
      <c r="C20" s="224">
        <f ca="1">ROUND((C5+C19)*F20,0)</f>
        <v>138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437</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433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1053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1053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9216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1709</v>
      </c>
      <c r="D34" s="209"/>
      <c r="E34" s="212"/>
      <c r="F34" s="249">
        <f ca="1">IF('数据-取费表'!B24=0,1,IF(B1="",'数据-取费表'!N16,INDIRECT("'数据-取费表'!n"&amp;$G$1)))</f>
        <v>1</v>
      </c>
      <c r="G34" s="211" t="s">
        <v>1526</v>
      </c>
    </row>
    <row r="35" spans="1:7" ht="13.5" customHeight="1">
      <c r="A35" s="734" t="s">
        <v>351</v>
      </c>
      <c r="B35" s="207" t="s">
        <v>1527</v>
      </c>
      <c r="C35" s="212">
        <f ca="1">ROUND(C34*F35,0)</f>
        <v>85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76</v>
      </c>
      <c r="D37" s="209">
        <f ca="1">D19</f>
        <v>3797.1</v>
      </c>
      <c r="E37" s="241">
        <f>'数据-取费表'!B35</f>
        <v>200</v>
      </c>
      <c r="F37" s="251"/>
      <c r="G37" s="253" t="s">
        <v>1532</v>
      </c>
    </row>
    <row r="38" spans="1:7" ht="13.5" customHeight="1">
      <c r="A38" s="734" t="s">
        <v>354</v>
      </c>
      <c r="B38" s="207" t="s">
        <v>1533</v>
      </c>
      <c r="C38" s="212">
        <f ca="1">ROUND(C34*F38,0)</f>
        <v>34</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59</v>
      </c>
      <c r="D42" s="230"/>
      <c r="E42" s="230"/>
      <c r="F42" s="231"/>
      <c r="G42" s="3395" t="s">
        <v>1544</v>
      </c>
    </row>
    <row r="43" spans="1:7" ht="13.5" customHeight="1">
      <c r="A43" s="734" t="s">
        <v>347</v>
      </c>
      <c r="B43" s="207" t="s">
        <v>1545</v>
      </c>
      <c r="C43" s="230">
        <f ca="1">ROUND(IF('数据-取费表'!B22&lt;=1,C39*F22*'数据-取费表'!B21/2,C39*(POWER((1+F22),'数据-取费表'!B21/2)-1)),0)</f>
        <v>1</v>
      </c>
      <c r="D43" s="230"/>
      <c r="E43" s="230"/>
      <c r="F43" s="231"/>
      <c r="G43" s="3396"/>
    </row>
    <row r="44" spans="1:7" ht="13.5" customHeight="1">
      <c r="A44" s="734" t="s">
        <v>348</v>
      </c>
      <c r="B44" s="207" t="s">
        <v>1546</v>
      </c>
      <c r="C44" s="230">
        <f ca="1">ROUND(IF('数据-取费表'!B22&lt;=1,C40*F22*'数据-取费表'!B21/2,C40*(POWER((1+F22),'数据-取费表'!B21/2)-1)),4)</f>
        <v>5.9999999999999995E-4</v>
      </c>
      <c r="D44" s="230"/>
      <c r="E44" s="230"/>
      <c r="F44" s="231"/>
      <c r="G44" s="3397"/>
    </row>
    <row r="45" spans="1:7" s="206" customFormat="1" ht="13.5" customHeight="1">
      <c r="A45" s="247" t="s">
        <v>1547</v>
      </c>
      <c r="B45" s="236" t="s">
        <v>1513</v>
      </c>
      <c r="C45" s="237">
        <f ca="1">C46</f>
        <v>291</v>
      </c>
      <c r="D45" s="227">
        <f ca="1">C47</f>
        <v>3.0000000000000001E-3</v>
      </c>
      <c r="E45" s="228" t="s">
        <v>1539</v>
      </c>
      <c r="F45" s="238">
        <f ca="1">F27</f>
        <v>0.15</v>
      </c>
      <c r="G45" s="239" t="s">
        <v>1548</v>
      </c>
    </row>
    <row r="46" spans="1:7" s="206" customFormat="1" ht="13.5" customHeight="1">
      <c r="A46" s="734" t="s">
        <v>346</v>
      </c>
      <c r="B46" s="240" t="s">
        <v>1549</v>
      </c>
      <c r="C46" s="241">
        <f ca="1">ROUND((C33+C39)*F27,0)</f>
        <v>291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2484</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1813</v>
      </c>
      <c r="D51" s="224"/>
      <c r="E51" s="224"/>
      <c r="F51" s="256"/>
      <c r="G51" s="226" t="s">
        <v>1560</v>
      </c>
    </row>
    <row r="52" spans="1:7" s="200" customFormat="1" ht="16.5" thickBot="1">
      <c r="A52" s="257" t="s">
        <v>1561</v>
      </c>
      <c r="B52" s="258"/>
      <c r="C52" s="259">
        <f ca="1">C31+C51</f>
        <v>11029</v>
      </c>
      <c r="D52" s="258"/>
      <c r="E52" s="258"/>
      <c r="F52" s="258"/>
      <c r="G52" s="260"/>
    </row>
    <row r="55" spans="1:7" ht="15">
      <c r="B55" s="262" t="s">
        <v>1562</v>
      </c>
      <c r="C55" s="263"/>
    </row>
    <row r="56" spans="1:7">
      <c r="B56" s="265" t="s">
        <v>802</v>
      </c>
      <c r="C56" s="267">
        <f ca="1">1-C57</f>
        <v>0.83599999999999997</v>
      </c>
    </row>
    <row r="57" spans="1:7">
      <c r="B57" s="265" t="s">
        <v>803</v>
      </c>
      <c r="C57" s="266">
        <f ca="1">ROUND(C51/C52,3)</f>
        <v>0.16400000000000001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3" t="str">
        <f>项目基本情况!B1</f>
        <v>北京市朝阳区芍药居北里101号1幢5层601房地产抵押价值预评估</v>
      </c>
      <c r="C37" s="3213"/>
      <c r="D37" s="3213"/>
      <c r="E37" s="3213"/>
      <c r="F37" s="3213"/>
      <c r="G37" s="3213"/>
      <c r="H37" s="3213"/>
      <c r="I37" s="321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2017.5045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759420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759420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759420</v>
      </c>
      <c r="D10" s="795">
        <f ca="1">IF(B1="",'数据-汇总表'!E6,IF(INDIRECT("'数据-取费表'!c"&amp;$G$1)="住宅",INDIRECT("'数据-取费表'!s"&amp;$G$1),INDIRECT("'数据-取费表'!k"&amp;$G$1)+INDIRECT("'数据-取费表'!s"&amp;$G$1)))</f>
        <v>3797.1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759420</v>
      </c>
      <c r="D19" s="204">
        <f ca="1">D9+D10</f>
        <v>3797.1</v>
      </c>
      <c r="E19" s="203">
        <f>'数据-取费表'!B31</f>
        <v>200</v>
      </c>
      <c r="F19" s="223"/>
      <c r="G19" s="1714"/>
    </row>
    <row r="20" spans="1:7" s="206" customFormat="1" ht="13.5" customHeight="1">
      <c r="A20" s="247" t="s">
        <v>1574</v>
      </c>
      <c r="B20" s="202" t="s">
        <v>1575</v>
      </c>
      <c r="C20" s="224">
        <f ca="1">ROUND((C5+C19)*F20,0)</f>
        <v>30377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96570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47814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47814</v>
      </c>
      <c r="D24" s="230"/>
      <c r="E24" s="230"/>
      <c r="F24" s="231"/>
      <c r="G24" s="232" t="s">
        <v>1586</v>
      </c>
    </row>
    <row r="25" spans="1:7" s="206" customFormat="1" ht="24">
      <c r="A25" s="734" t="s">
        <v>1476</v>
      </c>
      <c r="B25" s="207" t="s">
        <v>1587</v>
      </c>
      <c r="C25" s="230">
        <f ca="1">ROUND(IF('数据-取费表'!B22&lt;=1,C20*F22*'数据-取费表'!B22/2,C20*(POWER((1+F22),'数据-取费表'!B22/2)-1)),0)</f>
        <v>942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232383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232383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2034633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19042457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17086950</v>
      </c>
      <c r="D34" s="209"/>
      <c r="E34" s="212"/>
      <c r="F34" s="249"/>
      <c r="G34" s="211"/>
    </row>
    <row r="35" spans="1:7" ht="13.5" customHeight="1">
      <c r="A35" s="734" t="s">
        <v>351</v>
      </c>
      <c r="B35" s="207" t="s">
        <v>1527</v>
      </c>
      <c r="C35" s="212">
        <f ca="1">ROUND(C34*F35,0)</f>
        <v>854348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759420</v>
      </c>
      <c r="D37" s="209">
        <f ca="1">D19</f>
        <v>3797.1</v>
      </c>
      <c r="E37" s="241">
        <f>'数据-取费表'!B35</f>
        <v>200</v>
      </c>
      <c r="F37" s="251"/>
      <c r="G37" s="253"/>
    </row>
    <row r="38" spans="1:7" ht="13.5" customHeight="1">
      <c r="A38" s="734" t="s">
        <v>354</v>
      </c>
      <c r="B38" s="207" t="s">
        <v>1533</v>
      </c>
      <c r="C38" s="212">
        <f ca="1">ROUND(C34*F38,0)</f>
        <v>341739</v>
      </c>
      <c r="D38" s="212"/>
      <c r="E38" s="212"/>
      <c r="F38" s="251">
        <f>'数据-取费表'!B36</f>
        <v>0.02</v>
      </c>
      <c r="G38" s="211" t="s">
        <v>1528</v>
      </c>
    </row>
    <row r="39" spans="1:7" s="206" customFormat="1" ht="13.5" customHeight="1">
      <c r="A39" s="247" t="s">
        <v>1534</v>
      </c>
      <c r="B39" s="202" t="s">
        <v>1535</v>
      </c>
      <c r="C39" s="224">
        <f ca="1">ROUND(C33*F20,0)</f>
        <v>380849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602122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590316</v>
      </c>
      <c r="D42" s="230"/>
      <c r="E42" s="230"/>
      <c r="F42" s="231"/>
      <c r="G42" s="3395" t="s">
        <v>1591</v>
      </c>
    </row>
    <row r="43" spans="1:7" ht="13.5" customHeight="1">
      <c r="A43" s="734" t="s">
        <v>347</v>
      </c>
      <c r="B43" s="207" t="s">
        <v>1545</v>
      </c>
      <c r="C43" s="230">
        <f ca="1">ROUND(IF('数据-取费表'!B22&lt;=1,C39*F22*'数据-取费表'!B20/2,C39*(POWER((1+F22),'数据-取费表'!B20/2)-1)),0)</f>
        <v>11806</v>
      </c>
      <c r="D43" s="230"/>
      <c r="E43" s="230"/>
      <c r="F43" s="231"/>
      <c r="G43" s="3396"/>
    </row>
    <row r="44" spans="1:7" ht="13.5" customHeight="1">
      <c r="A44" s="734" t="s">
        <v>348</v>
      </c>
      <c r="B44" s="207" t="s">
        <v>1546</v>
      </c>
      <c r="C44" s="230">
        <f ca="1">ROUND(IF('数据-取费表'!B22&lt;=1,C40*F22*'数据-取费表'!B20/2,C40*(POWER((1+F22),'数据-取费表'!B20/2)-1)),4)</f>
        <v>5.9999999999999995E-4</v>
      </c>
      <c r="D44" s="230"/>
      <c r="E44" s="230"/>
      <c r="F44" s="231"/>
      <c r="G44" s="3397"/>
    </row>
    <row r="45" spans="1:7" s="206" customFormat="1" ht="13.5" customHeight="1">
      <c r="A45" s="247" t="s">
        <v>1547</v>
      </c>
      <c r="B45" s="236" t="s">
        <v>1513</v>
      </c>
      <c r="C45" s="237">
        <f ca="1">C46</f>
        <v>2913496</v>
      </c>
      <c r="D45" s="227">
        <f ca="1">C47</f>
        <v>3.0000000000000001E-3</v>
      </c>
      <c r="E45" s="228" t="s">
        <v>1539</v>
      </c>
      <c r="F45" s="238">
        <f ca="1">F27</f>
        <v>0.15</v>
      </c>
      <c r="G45" s="239" t="s">
        <v>1548</v>
      </c>
    </row>
    <row r="46" spans="1:7" s="206" customFormat="1" ht="13.5" customHeight="1">
      <c r="A46" s="734" t="s">
        <v>346</v>
      </c>
      <c r="B46" s="240" t="s">
        <v>1549</v>
      </c>
      <c r="C46" s="241">
        <f ca="1">ROUND((C33+C39)*F27,0)</f>
        <v>2913496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24849880</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18140412</v>
      </c>
      <c r="D51" s="224"/>
      <c r="E51" s="224"/>
      <c r="F51" s="256"/>
      <c r="G51" s="226" t="s">
        <v>1560</v>
      </c>
    </row>
    <row r="52" spans="1:7" s="200" customFormat="1" ht="16.5" thickBot="1">
      <c r="A52" s="257" t="s">
        <v>1561</v>
      </c>
      <c r="B52" s="258"/>
      <c r="C52" s="259">
        <f ca="1">C31+C51</f>
        <v>20175045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3797.1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3797.1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76</v>
      </c>
      <c r="D20" s="796">
        <f ca="1">IF(C1="",'数据-汇总表'!E6,IF(INDIRECT("'数据-取费表'!c"&amp;$K$1)="住宅",INDIRECT("'数据-取费表'!s"&amp;$K$1),INDIRECT("'数据-取费表'!k"&amp;$K$1)+INDIRECT("'数据-取费表'!s"&amp;$K$1)))</f>
        <v>3797.1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29.31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7434</v>
      </c>
      <c r="C2" s="1289" t="s">
        <v>805</v>
      </c>
      <c r="D2" s="1289"/>
      <c r="E2" s="1295"/>
      <c r="F2" s="1296"/>
      <c r="G2" s="2476"/>
      <c r="H2" s="2466"/>
      <c r="I2" s="2466"/>
      <c r="J2" s="2466"/>
      <c r="K2" s="2467"/>
      <c r="L2" s="2466"/>
      <c r="M2" s="2466"/>
    </row>
    <row r="3" spans="1:37" ht="18" customHeight="1" thickBot="1">
      <c r="A3" s="1297" t="s">
        <v>806</v>
      </c>
      <c r="B3" s="1298">
        <f ca="1">IF(ISERROR(B2*10000/F43),0,ROUND(B2*10000/F43,0))</f>
        <v>19578</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564</v>
      </c>
      <c r="D5" s="1273" t="s">
        <v>693</v>
      </c>
      <c r="E5" s="1008"/>
      <c r="F5" s="1009"/>
      <c r="G5" s="1292"/>
      <c r="H5" s="291">
        <v>1</v>
      </c>
      <c r="I5" s="292" t="s">
        <v>692</v>
      </c>
      <c r="J5" s="1007">
        <f ca="1">J6+J10+J12</f>
        <v>641</v>
      </c>
      <c r="K5" s="1273" t="s">
        <v>693</v>
      </c>
      <c r="L5" s="1008"/>
      <c r="M5" s="1009"/>
    </row>
    <row r="6" spans="1:37" ht="18" customHeight="1">
      <c r="A6" s="1006" t="s">
        <v>398</v>
      </c>
      <c r="B6" s="3400" t="s">
        <v>694</v>
      </c>
      <c r="C6" s="1011">
        <f ca="1">ROUND(F6*F8*F7*(1-F9)/10000,0)</f>
        <v>563</v>
      </c>
      <c r="D6" s="147" t="s">
        <v>2109</v>
      </c>
      <c r="E6" s="294" t="s">
        <v>696</v>
      </c>
      <c r="F6" s="295">
        <f ca="1">INDIRECT("'数据-取费表'!u"&amp;$G$1)</f>
        <v>4.0599999999999996</v>
      </c>
      <c r="G6" s="1292"/>
      <c r="H6" s="1006" t="s">
        <v>398</v>
      </c>
      <c r="I6" s="3400" t="s">
        <v>694</v>
      </c>
      <c r="J6" s="293">
        <f ca="1">ROUND(M6*M8*M7*(1-M9)/10000,0)</f>
        <v>640</v>
      </c>
      <c r="K6" s="147" t="s">
        <v>2108</v>
      </c>
      <c r="L6" s="294" t="s">
        <v>696</v>
      </c>
      <c r="M6" s="295">
        <f ca="1">INDIRECT("'数据-取费表'!z"&amp;$G$1)</f>
        <v>5.13</v>
      </c>
    </row>
    <row r="7" spans="1:37" ht="18" customHeight="1">
      <c r="A7" s="1010"/>
      <c r="B7" s="3401"/>
      <c r="C7" s="1012"/>
      <c r="D7" s="299"/>
      <c r="E7" s="1013" t="s">
        <v>697</v>
      </c>
      <c r="F7" s="295">
        <f ca="1">IF(INDIRECT("'数据-取费表'!ah"&amp;$G$1)="",INDIRECT("'数据-取费表'!k"&amp;$G$1),INDIRECT("'数据-取费表'!ah"&amp;$G$1))</f>
        <v>3797.1</v>
      </c>
      <c r="G7" s="1292"/>
      <c r="H7" s="296"/>
      <c r="I7" s="3401"/>
      <c r="J7" s="298"/>
      <c r="K7" s="299"/>
      <c r="L7" s="294" t="s">
        <v>697</v>
      </c>
      <c r="M7" s="295">
        <f ca="1">F7</f>
        <v>3797.1</v>
      </c>
    </row>
    <row r="8" spans="1:37" ht="18" customHeight="1">
      <c r="A8" s="296"/>
      <c r="B8" s="3401"/>
      <c r="C8" s="298"/>
      <c r="D8" s="299"/>
      <c r="E8" s="294" t="s">
        <v>698</v>
      </c>
      <c r="F8" s="295">
        <f ca="1">INDIRECT("'数据-取费表'!ai"&amp;$G$1)</f>
        <v>365</v>
      </c>
      <c r="G8" s="1292"/>
      <c r="H8" s="296"/>
      <c r="I8" s="3401"/>
      <c r="J8" s="298"/>
      <c r="K8" s="299"/>
      <c r="L8" s="294" t="s">
        <v>698</v>
      </c>
      <c r="M8" s="295">
        <f ca="1">INDIRECT("'数据-取费表'!ai"&amp;$G$1)</f>
        <v>365</v>
      </c>
    </row>
    <row r="9" spans="1:37" ht="18" customHeight="1">
      <c r="A9" s="296"/>
      <c r="B9" s="3402"/>
      <c r="C9" s="298"/>
      <c r="D9" s="299"/>
      <c r="E9" s="294" t="s">
        <v>699</v>
      </c>
      <c r="F9" s="304">
        <f ca="1">INDIRECT("'数据-取费表'!w"&amp;$G$1)</f>
        <v>0</v>
      </c>
      <c r="G9" s="1292"/>
      <c r="H9" s="296"/>
      <c r="I9" s="3402"/>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3497</v>
      </c>
      <c r="G10" s="1292"/>
      <c r="H10" s="1006" t="s">
        <v>402</v>
      </c>
      <c r="I10" s="1274" t="s">
        <v>700</v>
      </c>
      <c r="J10" s="293">
        <f ca="1">ROUND(IF(M10="押一",J6/12*M11,IF(M10="押二",J6/12*2*M11,IF(M10="押三",J6/12*3*M11,J11*M11))),0)</f>
        <v>1</v>
      </c>
      <c r="K10" s="150" t="s">
        <v>2116</v>
      </c>
      <c r="L10" s="305" t="s">
        <v>701</v>
      </c>
      <c r="M10" s="1053" t="s">
        <v>3498</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1813</v>
      </c>
      <c r="D13" s="1018" t="s">
        <v>705</v>
      </c>
      <c r="E13" s="1018" t="s">
        <v>706</v>
      </c>
      <c r="F13" s="1019">
        <f ca="1">INDIRECT("'数据-取费表'!y"&amp;$G$1)</f>
        <v>0.73</v>
      </c>
      <c r="G13" s="1292"/>
      <c r="H13" s="1016">
        <v>2</v>
      </c>
      <c r="I13" s="1017" t="s">
        <v>704</v>
      </c>
      <c r="J13" s="1005">
        <f ca="1">ROUND(J14*J15,0)</f>
        <v>1317</v>
      </c>
      <c r="K13" s="1024" t="s">
        <v>705</v>
      </c>
      <c r="L13" s="1299"/>
      <c r="M13" s="1300"/>
    </row>
    <row r="14" spans="1:37" ht="18" customHeight="1">
      <c r="A14" s="928" t="s">
        <v>397</v>
      </c>
      <c r="B14" s="294" t="s">
        <v>707</v>
      </c>
      <c r="C14" s="310">
        <f ca="1">INDIRECT("'数据-取费表'!m"&amp;$G$1)+INDIRECT("'数据-取费表'!t"&amp;$G$1)</f>
        <v>1709</v>
      </c>
      <c r="D14" s="1257" t="s">
        <v>708</v>
      </c>
      <c r="E14" s="1255"/>
      <c r="F14" s="311"/>
      <c r="G14" s="1292"/>
      <c r="H14" s="928" t="s">
        <v>398</v>
      </c>
      <c r="I14" s="294" t="s">
        <v>709</v>
      </c>
      <c r="J14" s="21">
        <f ca="1">C29</f>
        <v>2484</v>
      </c>
      <c r="K14" s="12"/>
      <c r="L14" s="759"/>
      <c r="M14" s="760"/>
    </row>
    <row r="15" spans="1:37" s="1304" customFormat="1" ht="18" customHeight="1" thickBot="1">
      <c r="A15" s="928" t="s">
        <v>399</v>
      </c>
      <c r="B15" s="294" t="s">
        <v>710</v>
      </c>
      <c r="C15" s="21">
        <f ca="1">ROUND(C14*F15,0)</f>
        <v>85</v>
      </c>
      <c r="D15" s="312" t="s">
        <v>711</v>
      </c>
      <c r="E15" s="312" t="s">
        <v>712</v>
      </c>
      <c r="F15" s="313">
        <f>'数据-取费表'!B33</f>
        <v>0.05</v>
      </c>
      <c r="G15" s="1303"/>
      <c r="H15" s="1026" t="s">
        <v>402</v>
      </c>
      <c r="I15" s="1027" t="s">
        <v>706</v>
      </c>
      <c r="J15" s="1036">
        <f ca="1">INDIRECT("'数据-取费表'!ad"&amp;$G$1)</f>
        <v>0.53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127</v>
      </c>
      <c r="K16" s="1024" t="s">
        <v>715</v>
      </c>
      <c r="L16" s="1025"/>
      <c r="M16" s="1009"/>
    </row>
    <row r="17" spans="1:37" s="1304" customFormat="1" ht="18" customHeight="1">
      <c r="A17" s="928" t="s">
        <v>681</v>
      </c>
      <c r="B17" s="294" t="s">
        <v>716</v>
      </c>
      <c r="C17" s="21">
        <f ca="1">ROUND(F17*(F43+INDIRECT("'数据-取费表'!S"&amp;$G$1))/10000,0)</f>
        <v>76</v>
      </c>
      <c r="D17" s="294" t="s">
        <v>717</v>
      </c>
      <c r="E17" s="294" t="s">
        <v>718</v>
      </c>
      <c r="F17" s="23">
        <f>'数据-取费表'!B35</f>
        <v>200</v>
      </c>
      <c r="G17" s="1303"/>
      <c r="H17" s="928" t="s">
        <v>398</v>
      </c>
      <c r="I17" s="294" t="s">
        <v>719</v>
      </c>
      <c r="J17" s="2139">
        <f ca="1">ROUND(IF(AND(项目基本情况!B11="自然人",项目基本情况!B10="北京市"),J6*M17/(1+'数据-取费表'!C42),J18+J19+J20),2)</f>
        <v>107.27</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v>
      </c>
      <c r="D18" s="294" t="s">
        <v>711</v>
      </c>
      <c r="E18" s="294" t="s">
        <v>712</v>
      </c>
      <c r="F18" s="314">
        <f>'数据-取费表'!B36</f>
        <v>0.02</v>
      </c>
      <c r="G18" s="1303"/>
      <c r="H18" s="928" t="s">
        <v>397</v>
      </c>
      <c r="I18" s="294" t="s">
        <v>723</v>
      </c>
      <c r="J18" s="21">
        <f ca="1">ROUND(J6*M18/(1+'数据-取费表'!C42),2)</f>
        <v>34.130000000000003</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1904</v>
      </c>
      <c r="D19" s="123" t="s">
        <v>726</v>
      </c>
      <c r="E19" s="1269"/>
      <c r="F19" s="23"/>
      <c r="G19" s="1292"/>
      <c r="H19" s="928" t="s">
        <v>399</v>
      </c>
      <c r="I19" s="294" t="s">
        <v>727</v>
      </c>
      <c r="J19" s="21">
        <f ca="1">IF(K19="按租金收入计税",ROUND(J6*M19/(1+'数据-取费表'!C42),2),ROUND(C29*M19*0.7,2))</f>
        <v>73.14</v>
      </c>
      <c r="K19" s="1278" t="s">
        <v>3335</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12.42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1.32</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6.41</v>
      </c>
      <c r="K24" s="1029" t="s">
        <v>748</v>
      </c>
      <c r="L24" s="1027" t="s">
        <v>744</v>
      </c>
      <c r="M24" s="1023">
        <f ca="1">INDIRECT("'数据-取费表'!Am"&amp;$G$1)</f>
        <v>0.01</v>
      </c>
      <c r="N24" s="1303">
        <f ca="1">J25/J5</f>
        <v>0.80187207488299528</v>
      </c>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514</v>
      </c>
      <c r="K25" s="1032" t="s">
        <v>753</v>
      </c>
      <c r="L25" s="1033"/>
      <c r="M25" s="1034"/>
    </row>
    <row r="26" spans="1:37">
      <c r="A26" s="928" t="s">
        <v>397</v>
      </c>
      <c r="B26" s="294" t="s">
        <v>754</v>
      </c>
      <c r="C26" s="21">
        <f ca="1">ROUND((C19+C20)*F26,0)</f>
        <v>291</v>
      </c>
      <c r="D26" s="315" t="s">
        <v>755</v>
      </c>
      <c r="E26" s="305" t="s">
        <v>756</v>
      </c>
      <c r="F26" s="304">
        <f ca="1">INDIRECT("'数据-取费表'!q"&amp;$G$1)</f>
        <v>0.15</v>
      </c>
      <c r="G26" s="1292"/>
      <c r="H26" s="291" t="s">
        <v>395</v>
      </c>
      <c r="I26" s="292" t="s">
        <v>757</v>
      </c>
      <c r="J26" s="293">
        <f ca="1">IF(J5&lt;&gt;0,ROUND(J25*(1-((1+M28)/(1+M26))^M27)/(M26-M28),0),0)</f>
        <v>6551</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17.509999999999998</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2484</v>
      </c>
      <c r="D29" s="1029"/>
      <c r="E29" s="1027"/>
      <c r="F29" s="1030"/>
      <c r="G29" s="1303"/>
      <c r="H29" s="325" t="s">
        <v>396</v>
      </c>
      <c r="I29" s="326" t="s">
        <v>768</v>
      </c>
      <c r="J29" s="327">
        <f ca="1">ROUND(J26/(1+F40)^F41,0)</f>
        <v>3483</v>
      </c>
      <c r="K29" s="328" t="s">
        <v>769</v>
      </c>
      <c r="L29" s="329"/>
      <c r="M29" s="330">
        <f ca="1">INDIRECT("'数据-取费表'!k"&amp;$G$1)</f>
        <v>3797.1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94.37</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30.03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64.34</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12.42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1.81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5.64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450</v>
      </c>
      <c r="D39" s="1032" t="s">
        <v>773</v>
      </c>
      <c r="E39" s="1033"/>
      <c r="F39" s="1034"/>
      <c r="G39" s="1292"/>
      <c r="H39" s="2471"/>
      <c r="I39" s="1305"/>
      <c r="J39" s="1306"/>
      <c r="K39" s="2469"/>
      <c r="L39" s="2471"/>
      <c r="M39" s="2471"/>
    </row>
    <row r="40" spans="1:18" ht="18" customHeight="1">
      <c r="A40" s="291" t="s">
        <v>395</v>
      </c>
      <c r="B40" s="292" t="s">
        <v>774</v>
      </c>
      <c r="C40" s="293">
        <f ca="1">ROUND(C39*(1-((1+F42)/(1+F40))^F41)/(F40-F42),0)</f>
        <v>3832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11.8</v>
      </c>
      <c r="G41" s="1292"/>
      <c r="H41" s="121">
        <f ca="1">C39/C5</f>
        <v>0.7978723404255319</v>
      </c>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10092</v>
      </c>
      <c r="D43" s="328" t="s">
        <v>777</v>
      </c>
      <c r="E43" s="329" t="s">
        <v>778</v>
      </c>
      <c r="F43" s="330">
        <f ca="1">INDIRECT("'数据-取费表'!k"&amp;$G$1)</f>
        <v>3797.1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-3951</v>
      </c>
      <c r="D46" s="1313" t="str">
        <f>C2</f>
        <v>万元</v>
      </c>
      <c r="E46" s="1307"/>
      <c r="F46" s="1307"/>
      <c r="I46" s="1314" t="s">
        <v>810</v>
      </c>
      <c r="J46" s="1315"/>
      <c r="K46" s="1316"/>
      <c r="L46" s="1317">
        <f ca="1">IF(M47="住宅",0,IF(L48&gt;J51,L60,J60))</f>
        <v>119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3485</v>
      </c>
      <c r="K47" s="1323" t="s">
        <v>816</v>
      </c>
      <c r="L47" s="1324">
        <f ca="1">INDIRECT("'数据-取费表'!d"&amp;$G$1)</f>
        <v>40</v>
      </c>
      <c r="M47" s="1288" t="str">
        <f>IF(ISNUMBER(FIND("住宅",C1)),"住宅","非住宅")</f>
        <v>非住宅</v>
      </c>
      <c r="O47" s="1325" t="s">
        <v>403</v>
      </c>
      <c r="P47" s="1326" t="s">
        <v>817</v>
      </c>
      <c r="Q47" s="1327">
        <f ca="1">C40+J29</f>
        <v>7315</v>
      </c>
      <c r="R47" s="1327" t="s">
        <v>818</v>
      </c>
    </row>
    <row r="48" spans="1:18" s="1292" customFormat="1" ht="28.5" thickBot="1">
      <c r="A48" s="1047" t="s">
        <v>438</v>
      </c>
      <c r="B48" s="292" t="s">
        <v>692</v>
      </c>
      <c r="C48" s="1268">
        <f ca="1">C49+C53+C55</f>
        <v>0</v>
      </c>
      <c r="D48" s="1049"/>
      <c r="E48" s="1050"/>
      <c r="F48" s="908"/>
      <c r="G48" s="681"/>
      <c r="H48" s="682"/>
      <c r="I48" s="1328" t="s">
        <v>819</v>
      </c>
      <c r="J48" s="1329" t="s">
        <v>3496</v>
      </c>
      <c r="K48" s="1330" t="s">
        <v>820</v>
      </c>
      <c r="L48" s="1331">
        <f ca="1">INDIRECT("'数据-取费表'!f"&amp;$G$1)</f>
        <v>29.31</v>
      </c>
      <c r="O48" s="1325" t="s">
        <v>404</v>
      </c>
      <c r="P48" s="1326" t="s">
        <v>821</v>
      </c>
      <c r="Q48" s="1327">
        <f ca="1">J60</f>
        <v>119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2009</v>
      </c>
      <c r="K49" s="1330" t="s">
        <v>824</v>
      </c>
      <c r="L49" s="1333"/>
      <c r="O49" s="1334" t="s">
        <v>405</v>
      </c>
      <c r="P49" s="1326" t="s">
        <v>825</v>
      </c>
      <c r="Q49" s="1327">
        <f ca="1">C29</f>
        <v>2484</v>
      </c>
      <c r="R49" s="1327" t="s">
        <v>818</v>
      </c>
    </row>
    <row r="50" spans="1:18" s="1292" customFormat="1" ht="13.5" thickBot="1">
      <c r="A50" s="922"/>
      <c r="B50" s="925"/>
      <c r="C50" s="1055"/>
      <c r="D50" s="899"/>
      <c r="E50" s="993" t="s">
        <v>697</v>
      </c>
      <c r="F50" s="994">
        <f ca="1">F7</f>
        <v>3797.1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5707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29.31</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29.31</v>
      </c>
      <c r="K53" s="3398" t="s">
        <v>837</v>
      </c>
      <c r="L53" s="3399"/>
      <c r="O53" s="1325" t="s">
        <v>409</v>
      </c>
      <c r="P53" s="1326" t="s">
        <v>838</v>
      </c>
      <c r="Q53" s="1327">
        <f ca="1">Q47+Q48</f>
        <v>7434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0.245</v>
      </c>
      <c r="K55" s="1350" t="s">
        <v>841</v>
      </c>
      <c r="L55" s="1351"/>
      <c r="O55" s="1318" t="s">
        <v>811</v>
      </c>
      <c r="P55" s="1319" t="s">
        <v>812</v>
      </c>
      <c r="Q55" s="1320" t="s">
        <v>813</v>
      </c>
      <c r="R55" s="1320" t="s">
        <v>814</v>
      </c>
    </row>
    <row r="56" spans="1:18" s="1292" customFormat="1" ht="25.5" thickTop="1" thickBot="1">
      <c r="A56" s="903">
        <v>2</v>
      </c>
      <c r="B56" s="904" t="s">
        <v>704</v>
      </c>
      <c r="C56" s="224">
        <f ca="1">C13</f>
        <v>1813</v>
      </c>
      <c r="D56" s="1352"/>
      <c r="E56" s="1353"/>
      <c r="F56" s="1345"/>
      <c r="I56" s="1354" t="s">
        <v>842</v>
      </c>
      <c r="J56" s="1355" t="s">
        <v>3419</v>
      </c>
      <c r="K56" s="1328" t="s">
        <v>843</v>
      </c>
      <c r="L56" s="1331" t="str">
        <f ca="1">IF(L48&lt;J51,"——",L48-J53)</f>
        <v>——</v>
      </c>
      <c r="O56" s="1325" t="s">
        <v>403</v>
      </c>
      <c r="P56" s="1326" t="s">
        <v>817</v>
      </c>
      <c r="Q56" s="1327">
        <f ca="1">C40+J29</f>
        <v>7315</v>
      </c>
      <c r="R56" s="1327" t="s">
        <v>818</v>
      </c>
    </row>
    <row r="57" spans="1:18" s="1292" customFormat="1" ht="24.75" thickBot="1">
      <c r="A57" s="1356"/>
      <c r="B57" s="896" t="s">
        <v>767</v>
      </c>
      <c r="C57" s="230">
        <f ca="1">C29</f>
        <v>2484</v>
      </c>
      <c r="D57" s="1357"/>
      <c r="E57" s="1358"/>
      <c r="F57" s="1359"/>
      <c r="I57" s="1360" t="s">
        <v>844</v>
      </c>
      <c r="J57" s="1361">
        <f ca="1">IF(OR(M47="住宅",J51&lt;L48,J56="是"),"——",J51-L48)</f>
        <v>14.690000000000001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994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7315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12.42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1.81</v>
      </c>
      <c r="D65" s="910" t="s">
        <v>743</v>
      </c>
      <c r="E65" s="896" t="s">
        <v>744</v>
      </c>
      <c r="F65" s="321">
        <f t="shared" ca="1" si="0"/>
        <v>1E-3</v>
      </c>
      <c r="I65" s="1367" t="s">
        <v>867</v>
      </c>
      <c r="J65" s="610">
        <v>40</v>
      </c>
      <c r="K65" s="610">
        <v>30</v>
      </c>
      <c r="L65" s="610">
        <v>50</v>
      </c>
      <c r="M65" s="1369">
        <v>0.02</v>
      </c>
      <c r="O65" s="1325" t="s">
        <v>403</v>
      </c>
      <c r="P65" s="1326" t="s">
        <v>868</v>
      </c>
      <c r="Q65" s="1327">
        <f ca="1">C40+J29</f>
        <v>7315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-14</v>
      </c>
      <c r="D67" s="909" t="s">
        <v>753</v>
      </c>
      <c r="E67" s="914"/>
      <c r="F67" s="915"/>
      <c r="O67" s="1334" t="s">
        <v>405</v>
      </c>
      <c r="P67" s="1326" t="s">
        <v>850</v>
      </c>
      <c r="Q67" s="1370">
        <f ca="1">L51</f>
        <v>5707</v>
      </c>
      <c r="R67" s="1327" t="s">
        <v>870</v>
      </c>
    </row>
    <row r="68" spans="1:18" s="1292" customFormat="1" ht="16.5" thickBot="1">
      <c r="A68" s="893" t="s">
        <v>395</v>
      </c>
      <c r="B68" s="894" t="s">
        <v>774</v>
      </c>
      <c r="C68" s="293">
        <f ca="1">ROUND(C67*(1-((1+F70)/(1+F68))^F69)/(F68-F70),0)</f>
        <v>-119</v>
      </c>
      <c r="D68" s="911" t="s">
        <v>758</v>
      </c>
      <c r="E68" s="896" t="s">
        <v>759</v>
      </c>
      <c r="F68" s="304">
        <f ca="1">F40</f>
        <v>5.5E-2</v>
      </c>
      <c r="O68" s="1334" t="s">
        <v>406</v>
      </c>
      <c r="P68" s="1371" t="s">
        <v>871</v>
      </c>
      <c r="Q68" s="1327">
        <f ca="1">ROUND(Q69-Q70*Q71,0)</f>
        <v>323</v>
      </c>
      <c r="R68" s="1327" t="s">
        <v>414</v>
      </c>
    </row>
    <row r="69" spans="1:18" s="1292" customFormat="1" ht="13.5" thickBot="1">
      <c r="A69" s="897"/>
      <c r="B69" s="898"/>
      <c r="C69" s="298"/>
      <c r="D69" s="916" t="s">
        <v>762</v>
      </c>
      <c r="E69" s="896" t="s">
        <v>763</v>
      </c>
      <c r="F69" s="324">
        <f ca="1">F41</f>
        <v>11.8</v>
      </c>
      <c r="O69" s="1334" t="s">
        <v>411</v>
      </c>
      <c r="P69" s="1371" t="s">
        <v>872</v>
      </c>
      <c r="Q69" s="1327">
        <f ca="1">C39</f>
        <v>450</v>
      </c>
      <c r="R69" s="1327" t="s">
        <v>818</v>
      </c>
    </row>
    <row r="70" spans="1:18" s="1292" customFormat="1" ht="13.5" thickBot="1">
      <c r="A70" s="900"/>
      <c r="B70" s="901"/>
      <c r="C70" s="302"/>
      <c r="D70" s="912"/>
      <c r="E70" s="896" t="s">
        <v>766</v>
      </c>
      <c r="F70" s="991"/>
      <c r="O70" s="1334" t="s">
        <v>412</v>
      </c>
      <c r="P70" s="1371" t="s">
        <v>873</v>
      </c>
      <c r="Q70" s="1327">
        <f ca="1">C13</f>
        <v>1813</v>
      </c>
      <c r="R70" s="1327" t="s">
        <v>818</v>
      </c>
    </row>
    <row r="71" spans="1:18" s="1292" customFormat="1" ht="13.5" thickBot="1">
      <c r="A71" s="917" t="s">
        <v>396</v>
      </c>
      <c r="B71" s="918" t="s">
        <v>776</v>
      </c>
      <c r="C71" s="327">
        <f ca="1">ROUND(C68*10000/F71,0)</f>
        <v>-313</v>
      </c>
      <c r="D71" s="919" t="s">
        <v>777</v>
      </c>
      <c r="E71" s="920" t="s">
        <v>778</v>
      </c>
      <c r="F71" s="330">
        <f ca="1">F43</f>
        <v>3797.1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127</v>
      </c>
      <c r="D75" s="1292"/>
      <c r="E75" s="1292"/>
      <c r="F75" s="1292"/>
      <c r="K75" s="1309"/>
      <c r="L75" s="1292"/>
      <c r="O75" s="1325" t="s">
        <v>409</v>
      </c>
      <c r="P75" s="1326" t="s">
        <v>838</v>
      </c>
      <c r="Q75" s="1327">
        <f ca="1">Q65+Q66</f>
        <v>7315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0.71799999999999997</v>
      </c>
    </row>
    <row r="80" spans="1:18">
      <c r="B80" s="331" t="s">
        <v>800</v>
      </c>
      <c r="C80" s="266">
        <f ca="1">ROUND(C75/C39,3)</f>
        <v>0.28199999999999997</v>
      </c>
    </row>
    <row r="81" spans="2:3">
      <c r="B81" s="262" t="s">
        <v>801</v>
      </c>
      <c r="C81" s="230"/>
    </row>
    <row r="82" spans="2:3">
      <c r="B82" s="265" t="s">
        <v>802</v>
      </c>
      <c r="C82" s="267">
        <f ca="1">1-C83</f>
        <v>0.52700000000000002</v>
      </c>
    </row>
    <row r="83" spans="2:3">
      <c r="B83" s="265" t="s">
        <v>803</v>
      </c>
      <c r="C83" s="266">
        <f ca="1">ROUND(C13/C40,3)</f>
        <v>0.47299999999999998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0" t="s">
        <v>694</v>
      </c>
      <c r="C6" s="1011">
        <f ca="1">ROUND(F6*F8*F7*(1-F9),0)</f>
        <v>0</v>
      </c>
      <c r="D6" s="147" t="s">
        <v>2106</v>
      </c>
      <c r="E6" s="294" t="s">
        <v>696</v>
      </c>
      <c r="F6" s="295">
        <f ca="1">INDIRECT("'数据-取费表'!u"&amp;$G$1)</f>
        <v>0</v>
      </c>
      <c r="G6" s="1292"/>
      <c r="H6" s="1006" t="s">
        <v>398</v>
      </c>
      <c r="I6" s="3400" t="s">
        <v>694</v>
      </c>
      <c r="J6" s="293">
        <f ca="1">ROUND(M6*M8*M7*(1-M9),0)</f>
        <v>0</v>
      </c>
      <c r="K6" s="1284" t="s">
        <v>2107</v>
      </c>
      <c r="L6" s="294" t="s">
        <v>696</v>
      </c>
      <c r="M6" s="295">
        <f ca="1">INDIRECT("'数据-取费表'!z"&amp;$G$1)</f>
        <v>0</v>
      </c>
    </row>
    <row r="7" spans="1:37" ht="18" customHeight="1">
      <c r="A7" s="1010"/>
      <c r="B7" s="3401"/>
      <c r="C7" s="1012"/>
      <c r="D7" s="299"/>
      <c r="E7" s="1013" t="s">
        <v>697</v>
      </c>
      <c r="F7" s="295">
        <f ca="1">IF(INDIRECT("'数据-取费表'!ah"&amp;$G$1)="",INDIRECT("'数据-取费表'!k"&amp;$G$1),INDIRECT("'数据-取费表'!ah"&amp;$G$1))</f>
        <v>0</v>
      </c>
      <c r="G7" s="1292"/>
      <c r="H7" s="296"/>
      <c r="I7" s="3401"/>
      <c r="J7" s="298"/>
      <c r="K7" s="299"/>
      <c r="L7" s="294" t="s">
        <v>697</v>
      </c>
      <c r="M7" s="295">
        <f ca="1">F7</f>
        <v>0</v>
      </c>
    </row>
    <row r="8" spans="1:37" ht="18" customHeight="1">
      <c r="A8" s="296"/>
      <c r="B8" s="3401"/>
      <c r="C8" s="298"/>
      <c r="D8" s="299"/>
      <c r="E8" s="294" t="s">
        <v>698</v>
      </c>
      <c r="F8" s="295">
        <f ca="1">INDIRECT("'数据-取费表'!ai"&amp;$G$1)</f>
        <v>0</v>
      </c>
      <c r="G8" s="1292"/>
      <c r="H8" s="296"/>
      <c r="I8" s="3401"/>
      <c r="J8" s="298"/>
      <c r="K8" s="299"/>
      <c r="L8" s="294" t="s">
        <v>698</v>
      </c>
      <c r="M8" s="295">
        <f ca="1">INDIRECT("'数据-取费表'!ai"&amp;$G$1)</f>
        <v>0</v>
      </c>
    </row>
    <row r="9" spans="1:37" ht="18" customHeight="1">
      <c r="A9" s="296"/>
      <c r="B9" s="3402"/>
      <c r="C9" s="298"/>
      <c r="D9" s="299"/>
      <c r="E9" s="294" t="s">
        <v>699</v>
      </c>
      <c r="F9" s="304">
        <f ca="1">INDIRECT("'数据-取费表'!w"&amp;$G$1)</f>
        <v>0</v>
      </c>
      <c r="G9" s="1292"/>
      <c r="H9" s="296"/>
      <c r="I9" s="340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t="e">
        <f ca="1">ROUND((C68-C40)/10000,4)</f>
        <v>#DIV/0!</v>
      </c>
      <c r="D45" s="3128"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98" t="s">
        <v>837</v>
      </c>
      <c r="L53" s="339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3358</v>
      </c>
      <c r="E2" s="3137"/>
      <c r="F2" s="2595"/>
      <c r="G2" s="2596"/>
      <c r="H2" s="2597"/>
      <c r="I2" s="2598"/>
      <c r="J2" s="3409" t="s">
        <v>2317</v>
      </c>
      <c r="K2" s="3410"/>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11" t="s">
        <v>2327</v>
      </c>
      <c r="K3" s="3412"/>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11" t="s">
        <v>2329</v>
      </c>
      <c r="K4" s="3412"/>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17" t="s">
        <v>2333</v>
      </c>
      <c r="B6" s="3418"/>
      <c r="C6" s="3419"/>
      <c r="D6" s="2619"/>
      <c r="E6" s="2620"/>
      <c r="F6" s="2621"/>
      <c r="G6" s="2622"/>
      <c r="H6" s="2597"/>
      <c r="I6" s="2598"/>
      <c r="J6" s="3403">
        <v>1</v>
      </c>
      <c r="K6" s="340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403"/>
      <c r="K7" s="3405"/>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20" t="s">
        <v>2347</v>
      </c>
      <c r="C8" s="3421"/>
      <c r="D8" s="2638" t="s">
        <v>2348</v>
      </c>
      <c r="E8" s="2639" t="s">
        <v>2349</v>
      </c>
      <c r="F8" s="2640" t="s">
        <v>2350</v>
      </c>
      <c r="G8" s="2641"/>
      <c r="H8" s="2597"/>
      <c r="I8" s="2598"/>
      <c r="J8" s="3403"/>
      <c r="K8" s="3405"/>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20" t="s">
        <v>2353</v>
      </c>
      <c r="C9" s="3421"/>
      <c r="D9" s="2638">
        <f>ROUND(D6*E9,0)</f>
        <v>0</v>
      </c>
      <c r="E9" s="2642"/>
      <c r="F9" s="2643" t="s">
        <v>2354</v>
      </c>
      <c r="G9" s="2622"/>
      <c r="H9" s="2597"/>
      <c r="I9" s="2598"/>
      <c r="J9" s="3403"/>
      <c r="K9" s="3405"/>
      <c r="L9" s="2632" t="s">
        <v>2355</v>
      </c>
      <c r="M9" s="2633"/>
      <c r="N9" s="2609"/>
      <c r="O9" s="2634"/>
      <c r="P9" s="2634"/>
      <c r="Q9" s="2635">
        <v>365</v>
      </c>
      <c r="R9" s="2636">
        <f t="shared" si="0"/>
        <v>0</v>
      </c>
      <c r="S9" s="2590"/>
      <c r="T9" s="2590"/>
      <c r="U9" s="2590"/>
      <c r="V9" s="2598"/>
    </row>
    <row r="10" spans="1:22" s="2602" customFormat="1" ht="13.15" customHeight="1">
      <c r="A10" s="2637">
        <v>2</v>
      </c>
      <c r="B10" s="3420" t="s">
        <v>2356</v>
      </c>
      <c r="C10" s="3421"/>
      <c r="D10" s="2638">
        <f>ROUND(D6*E10,0)</f>
        <v>0</v>
      </c>
      <c r="E10" s="2642"/>
      <c r="F10" s="2643" t="s">
        <v>2357</v>
      </c>
      <c r="G10" s="2622"/>
      <c r="H10" s="2597"/>
      <c r="I10" s="2598"/>
      <c r="J10" s="3403"/>
      <c r="K10" s="3405"/>
      <c r="L10" s="2632" t="s">
        <v>2358</v>
      </c>
      <c r="M10" s="2633"/>
      <c r="N10" s="2609"/>
      <c r="O10" s="2634"/>
      <c r="P10" s="2634"/>
      <c r="Q10" s="2635">
        <v>365</v>
      </c>
      <c r="R10" s="2636">
        <f t="shared" si="0"/>
        <v>0</v>
      </c>
      <c r="S10" s="2590"/>
      <c r="T10" s="2590"/>
      <c r="U10" s="2590"/>
      <c r="V10" s="2598"/>
    </row>
    <row r="11" spans="1:22" s="2602" customFormat="1" ht="13.15" customHeight="1">
      <c r="A11" s="2637">
        <v>3</v>
      </c>
      <c r="B11" s="3420" t="s">
        <v>2359</v>
      </c>
      <c r="C11" s="3421"/>
      <c r="D11" s="2638">
        <f>D12+D14+D15+D16</f>
        <v>0</v>
      </c>
      <c r="E11" s="2644" t="e">
        <f>D11/D6</f>
        <v>#DIV/0!</v>
      </c>
      <c r="F11" s="2640"/>
      <c r="G11" s="2641"/>
      <c r="H11" s="2597"/>
      <c r="I11" s="2598"/>
      <c r="J11" s="3403"/>
      <c r="K11" s="3405"/>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13" t="s">
        <v>2362</v>
      </c>
      <c r="C12" s="3414"/>
      <c r="D12" s="2646">
        <f>ROUND(D13*1.2%*(1-30%),0)</f>
        <v>0</v>
      </c>
      <c r="E12" s="2647">
        <v>1.2E-2</v>
      </c>
      <c r="F12" s="2640" t="s">
        <v>2363</v>
      </c>
      <c r="G12" s="2641"/>
      <c r="H12" s="2597"/>
      <c r="I12" s="2598"/>
      <c r="J12" s="3403"/>
      <c r="K12" s="3405"/>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403"/>
      <c r="K13" s="3405"/>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13" t="s">
        <v>2368</v>
      </c>
      <c r="C14" s="3414"/>
      <c r="D14" s="2646">
        <f>ROUND(E14*B5/10000,0)</f>
        <v>0</v>
      </c>
      <c r="E14" s="2635"/>
      <c r="F14" s="2640" t="s">
        <v>2369</v>
      </c>
      <c r="G14" s="2641"/>
      <c r="H14" s="2597"/>
      <c r="I14" s="2598"/>
      <c r="J14" s="3403"/>
      <c r="K14" s="340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13" t="s">
        <v>2372</v>
      </c>
      <c r="C15" s="3414"/>
      <c r="D15" s="2646">
        <f>ROUND(D6*E15,0)</f>
        <v>0</v>
      </c>
      <c r="E15" s="2647">
        <v>5.5E-2</v>
      </c>
      <c r="F15" s="2640" t="s">
        <v>2373</v>
      </c>
      <c r="G15" s="2622"/>
      <c r="H15" s="2597"/>
      <c r="I15" s="2598"/>
      <c r="J15" s="3403">
        <v>2</v>
      </c>
      <c r="K15" s="340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13" t="s">
        <v>2381</v>
      </c>
      <c r="C16" s="3414"/>
      <c r="D16" s="2657">
        <f>D6*E16</f>
        <v>0</v>
      </c>
      <c r="E16" s="2658"/>
      <c r="F16" s="2643" t="s">
        <v>2382</v>
      </c>
      <c r="G16" s="2622"/>
      <c r="H16" s="2597"/>
      <c r="I16" s="2598"/>
      <c r="J16" s="3403"/>
      <c r="K16" s="3405"/>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15" t="s">
        <v>2384</v>
      </c>
      <c r="C17" s="3416"/>
      <c r="D17" s="2660">
        <f>ROUND(D6*E17,0)</f>
        <v>0</v>
      </c>
      <c r="E17" s="2661"/>
      <c r="F17" s="2662" t="s">
        <v>2385</v>
      </c>
      <c r="G17" s="2622"/>
      <c r="H17" s="2597"/>
      <c r="I17" s="2598"/>
      <c r="J17" s="3403"/>
      <c r="K17" s="3405"/>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403"/>
      <c r="K18" s="3405"/>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403"/>
      <c r="K19" s="340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3">
        <v>3</v>
      </c>
      <c r="K20" s="340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403"/>
      <c r="K21" s="3405"/>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403"/>
      <c r="K22" s="3405"/>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403"/>
      <c r="K23" s="3405"/>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403"/>
      <c r="K24" s="340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07">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0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09" t="s">
        <v>2317</v>
      </c>
      <c r="K32" s="3410"/>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11" t="s">
        <v>2327</v>
      </c>
      <c r="K33" s="3412"/>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11" t="s">
        <v>2329</v>
      </c>
      <c r="K34" s="341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403">
        <v>1</v>
      </c>
      <c r="K36" s="3404"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403"/>
      <c r="K37" s="3405"/>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3"/>
      <c r="K38" s="3405"/>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403"/>
      <c r="K39" s="3405"/>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403"/>
      <c r="K40" s="3406"/>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7">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0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7434</v>
      </c>
      <c r="C2" s="1729" t="s">
        <v>1651</v>
      </c>
      <c r="D2" s="1730" t="s">
        <v>1652</v>
      </c>
      <c r="E2" s="2391">
        <f>SUM(E6:E13)</f>
        <v>3797.1</v>
      </c>
      <c r="F2" s="2477"/>
      <c r="G2" s="459"/>
      <c r="H2" s="459"/>
      <c r="I2" s="459"/>
      <c r="J2" s="459"/>
      <c r="K2" s="459"/>
      <c r="L2" s="459"/>
      <c r="M2" s="459"/>
      <c r="N2" s="459"/>
      <c r="O2" s="459"/>
      <c r="P2" s="459"/>
      <c r="Q2" s="459"/>
      <c r="R2" s="459"/>
      <c r="S2" s="459"/>
    </row>
    <row r="3" spans="1:22" ht="15.75">
      <c r="A3" s="1728" t="s">
        <v>686</v>
      </c>
      <c r="B3" s="2385">
        <f ca="1">ROUND(B2*10000/E2,0)</f>
        <v>19578</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22" t="s">
        <v>1654</v>
      </c>
      <c r="C5" s="3423"/>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7434</v>
      </c>
      <c r="C6" s="1729" t="s">
        <v>1651</v>
      </c>
      <c r="D6" s="2477"/>
      <c r="E6" s="2390">
        <f>IF(OR(A6=0,F6="否"),0,'数据-取费表'!K6+'数据-取费表'!S6)</f>
        <v>3797.1</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3797.1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42" t="s">
        <v>1667</v>
      </c>
      <c r="D4" s="3443"/>
      <c r="E4" s="3444" t="s">
        <v>1668</v>
      </c>
      <c r="F4" s="3445"/>
      <c r="G4" s="3442" t="s">
        <v>1669</v>
      </c>
      <c r="H4" s="3443"/>
      <c r="I4" s="3442" t="s">
        <v>1670</v>
      </c>
      <c r="J4" s="3443"/>
      <c r="K4" s="1744" t="s">
        <v>1671</v>
      </c>
      <c r="L4" s="2484"/>
      <c r="M4" s="2485"/>
      <c r="N4" s="2485"/>
      <c r="O4" s="2485"/>
      <c r="P4" s="3446" t="s">
        <v>1672</v>
      </c>
      <c r="Q4" s="3447"/>
      <c r="R4" s="3452" t="s">
        <v>1668</v>
      </c>
      <c r="S4" s="3453"/>
      <c r="T4" s="3452" t="s">
        <v>1669</v>
      </c>
      <c r="U4" s="3453"/>
      <c r="V4" s="3428" t="s">
        <v>1670</v>
      </c>
      <c r="W4" s="3428"/>
      <c r="X4" s="1265"/>
      <c r="Y4" s="3452" t="s">
        <v>1672</v>
      </c>
      <c r="Z4" s="3453"/>
      <c r="AA4" s="3439" t="s">
        <v>1668</v>
      </c>
      <c r="AB4" s="3439" t="s">
        <v>1669</v>
      </c>
      <c r="AC4" s="3439" t="s">
        <v>1670</v>
      </c>
    </row>
    <row r="5" spans="1:29" ht="15">
      <c r="A5" s="348"/>
      <c r="B5" s="349"/>
      <c r="C5" s="3460" t="s">
        <v>1673</v>
      </c>
      <c r="D5" s="3461"/>
      <c r="E5" s="3467" t="s">
        <v>1674</v>
      </c>
      <c r="F5" s="3468"/>
      <c r="G5" s="3460" t="s">
        <v>1675</v>
      </c>
      <c r="H5" s="3461"/>
      <c r="I5" s="3460" t="s">
        <v>1676</v>
      </c>
      <c r="J5" s="3461"/>
      <c r="K5" s="1745"/>
      <c r="L5" s="2484"/>
      <c r="M5" s="2485"/>
      <c r="N5" s="2485"/>
      <c r="O5" s="2485"/>
      <c r="P5" s="3448"/>
      <c r="Q5" s="3449"/>
      <c r="R5" s="3454"/>
      <c r="S5" s="3455"/>
      <c r="T5" s="3454"/>
      <c r="U5" s="3455"/>
      <c r="V5" s="3428"/>
      <c r="W5" s="3428"/>
      <c r="X5" s="1265"/>
      <c r="Y5" s="3454"/>
      <c r="Z5" s="3455"/>
      <c r="AA5" s="3440"/>
      <c r="AB5" s="3440"/>
      <c r="AC5" s="3440"/>
    </row>
    <row r="6" spans="1:29" ht="15.75" thickBot="1">
      <c r="A6" s="350"/>
      <c r="B6" s="351"/>
      <c r="C6" s="3458" t="s">
        <v>1677</v>
      </c>
      <c r="D6" s="3459"/>
      <c r="E6" s="3465" t="s">
        <v>1677</v>
      </c>
      <c r="F6" s="3466"/>
      <c r="G6" s="3458" t="s">
        <v>1677</v>
      </c>
      <c r="H6" s="3459"/>
      <c r="I6" s="3458" t="s">
        <v>1677</v>
      </c>
      <c r="J6" s="3459"/>
      <c r="K6" s="1745" t="s">
        <v>1678</v>
      </c>
      <c r="L6" s="2484"/>
      <c r="M6" s="2485"/>
      <c r="N6" s="2485"/>
      <c r="O6" s="2485"/>
      <c r="P6" s="3450"/>
      <c r="Q6" s="3451"/>
      <c r="R6" s="3454"/>
      <c r="S6" s="3455"/>
      <c r="T6" s="3456"/>
      <c r="U6" s="3457"/>
      <c r="V6" s="3428"/>
      <c r="W6" s="3428"/>
      <c r="X6" s="1265"/>
      <c r="Y6" s="3456"/>
      <c r="Z6" s="3457"/>
      <c r="AA6" s="3441"/>
      <c r="AB6" s="3441"/>
      <c r="AC6" s="3441"/>
    </row>
    <row r="7" spans="1:29" s="102" customFormat="1" ht="15.7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62" t="s">
        <v>1680</v>
      </c>
      <c r="Q7" s="3464"/>
      <c r="R7" s="664" t="s">
        <v>20</v>
      </c>
      <c r="S7" s="665">
        <f t="shared" ref="S7:S15" si="0">F7</f>
        <v>0</v>
      </c>
      <c r="T7" s="664" t="s">
        <v>20</v>
      </c>
      <c r="U7" s="665">
        <f t="shared" ref="U7:U15" si="1">H7</f>
        <v>0</v>
      </c>
      <c r="V7" s="664" t="s">
        <v>20</v>
      </c>
      <c r="W7" s="665">
        <f t="shared" ref="W7:W15" si="2">J7</f>
        <v>0</v>
      </c>
      <c r="X7" s="666"/>
      <c r="Y7" s="3462" t="s">
        <v>1680</v>
      </c>
      <c r="Z7" s="346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62" t="s">
        <v>1683</v>
      </c>
      <c r="Q8" s="3463"/>
      <c r="R8" s="664" t="s">
        <v>20</v>
      </c>
      <c r="S8" s="665">
        <f t="shared" si="0"/>
        <v>100</v>
      </c>
      <c r="T8" s="664" t="s">
        <v>20</v>
      </c>
      <c r="U8" s="665">
        <f t="shared" si="1"/>
        <v>100</v>
      </c>
      <c r="V8" s="664" t="s">
        <v>20</v>
      </c>
      <c r="W8" s="665">
        <f t="shared" si="2"/>
        <v>100</v>
      </c>
      <c r="X8" s="666"/>
      <c r="Y8" s="3462" t="s">
        <v>1683</v>
      </c>
      <c r="Z8" s="346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8"/>
      <c r="Q11" s="530" t="str">
        <f t="shared" si="6"/>
        <v>容积率</v>
      </c>
      <c r="R11" s="664" t="s">
        <v>18</v>
      </c>
      <c r="S11" s="665" t="e">
        <f t="shared" si="0"/>
        <v>#N/A</v>
      </c>
      <c r="T11" s="664" t="s">
        <v>18</v>
      </c>
      <c r="U11" s="665" t="e">
        <f t="shared" si="1"/>
        <v>#N/A</v>
      </c>
      <c r="V11" s="664" t="s">
        <v>18</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8"/>
      <c r="Q12" s="530">
        <f t="shared" si="6"/>
        <v>111</v>
      </c>
      <c r="R12" s="664" t="s">
        <v>18</v>
      </c>
      <c r="S12" s="665">
        <f t="shared" si="0"/>
        <v>100</v>
      </c>
      <c r="T12" s="664" t="s">
        <v>18</v>
      </c>
      <c r="U12" s="665">
        <f t="shared" si="1"/>
        <v>100</v>
      </c>
      <c r="V12" s="664" t="s">
        <v>18</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8"/>
      <c r="Q13" s="530">
        <f t="shared" si="6"/>
        <v>111</v>
      </c>
      <c r="R13" s="664" t="s">
        <v>18</v>
      </c>
      <c r="S13" s="665">
        <f t="shared" si="0"/>
        <v>100</v>
      </c>
      <c r="T13" s="664" t="s">
        <v>18</v>
      </c>
      <c r="U13" s="665">
        <f t="shared" si="1"/>
        <v>100</v>
      </c>
      <c r="V13" s="664" t="s">
        <v>18</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8"/>
      <c r="Q14" s="530">
        <f t="shared" si="6"/>
        <v>111</v>
      </c>
      <c r="R14" s="664" t="s">
        <v>18</v>
      </c>
      <c r="S14" s="665">
        <f t="shared" si="0"/>
        <v>100</v>
      </c>
      <c r="T14" s="664" t="s">
        <v>18</v>
      </c>
      <c r="U14" s="665">
        <f t="shared" si="1"/>
        <v>100</v>
      </c>
      <c r="V14" s="664" t="s">
        <v>18</v>
      </c>
      <c r="W14" s="665">
        <f t="shared" si="2"/>
        <v>100</v>
      </c>
      <c r="X14" s="666"/>
      <c r="Y14" s="330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6" t="s">
        <v>1691</v>
      </c>
      <c r="Q15" s="1263" t="str">
        <f t="shared" si="6"/>
        <v>居住社区成熟度</v>
      </c>
      <c r="R15" s="667" t="s">
        <v>18</v>
      </c>
      <c r="S15" s="668">
        <f t="shared" si="0"/>
        <v>100</v>
      </c>
      <c r="T15" s="667" t="s">
        <v>18</v>
      </c>
      <c r="U15" s="668">
        <f t="shared" si="1"/>
        <v>100</v>
      </c>
      <c r="V15" s="667" t="s">
        <v>18</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7"/>
      <c r="Q16" s="1263"/>
      <c r="R16" s="667"/>
      <c r="S16" s="668"/>
      <c r="T16" s="667"/>
      <c r="U16" s="668"/>
      <c r="V16" s="667"/>
      <c r="W16" s="668"/>
      <c r="X16" s="1265"/>
      <c r="Y16" s="343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7"/>
      <c r="Q17" s="1263" t="str">
        <f>B17</f>
        <v>交通便捷度</v>
      </c>
      <c r="R17" s="667" t="s">
        <v>18</v>
      </c>
      <c r="S17" s="668">
        <f>F17</f>
        <v>100</v>
      </c>
      <c r="T17" s="667" t="s">
        <v>18</v>
      </c>
      <c r="U17" s="668">
        <f>H17</f>
        <v>100</v>
      </c>
      <c r="V17" s="667" t="s">
        <v>18</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7"/>
      <c r="Q18" s="1263"/>
      <c r="R18" s="667"/>
      <c r="S18" s="668"/>
      <c r="T18" s="667"/>
      <c r="U18" s="668"/>
      <c r="V18" s="667"/>
      <c r="W18" s="668"/>
      <c r="X18" s="1265"/>
      <c r="Y18" s="343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7"/>
      <c r="Q19" s="1263" t="str">
        <f>B19</f>
        <v>公共配套设施</v>
      </c>
      <c r="R19" s="667" t="s">
        <v>18</v>
      </c>
      <c r="S19" s="668">
        <f>F19</f>
        <v>100</v>
      </c>
      <c r="T19" s="667" t="s">
        <v>18</v>
      </c>
      <c r="U19" s="668">
        <f>H19</f>
        <v>100</v>
      </c>
      <c r="V19" s="667" t="s">
        <v>18</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7"/>
      <c r="Q20" s="1263"/>
      <c r="R20" s="667"/>
      <c r="S20" s="668"/>
      <c r="T20" s="667"/>
      <c r="U20" s="668"/>
      <c r="V20" s="667"/>
      <c r="W20" s="668"/>
      <c r="X20" s="1265"/>
      <c r="Y20" s="343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7"/>
      <c r="Q22" s="1263"/>
      <c r="R22" s="667"/>
      <c r="S22" s="668"/>
      <c r="T22" s="667"/>
      <c r="U22" s="668"/>
      <c r="V22" s="667"/>
      <c r="W22" s="668"/>
      <c r="X22" s="1265"/>
      <c r="Y22" s="343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7"/>
      <c r="Q23" s="1263" t="str">
        <f>B23</f>
        <v>自然及人文环境</v>
      </c>
      <c r="R23" s="667" t="s">
        <v>18</v>
      </c>
      <c r="S23" s="668">
        <f>F23</f>
        <v>100</v>
      </c>
      <c r="T23" s="667" t="s">
        <v>18</v>
      </c>
      <c r="U23" s="668">
        <f>H23</f>
        <v>100</v>
      </c>
      <c r="V23" s="667" t="s">
        <v>18</v>
      </c>
      <c r="W23" s="668">
        <f>J23</f>
        <v>100</v>
      </c>
      <c r="X23" s="1265"/>
      <c r="Y23" s="34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7"/>
      <c r="Q24" s="1263"/>
      <c r="R24" s="667"/>
      <c r="S24" s="668"/>
      <c r="T24" s="667"/>
      <c r="U24" s="668"/>
      <c r="V24" s="667"/>
      <c r="W24" s="668"/>
      <c r="X24" s="1265"/>
      <c r="Y24" s="343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7"/>
      <c r="Q26" s="1263" t="str">
        <f t="shared" si="11"/>
        <v>朝向</v>
      </c>
      <c r="R26" s="667" t="s">
        <v>18</v>
      </c>
      <c r="S26" s="668">
        <f t="shared" si="12"/>
        <v>100</v>
      </c>
      <c r="T26" s="667" t="s">
        <v>18</v>
      </c>
      <c r="U26" s="668">
        <f t="shared" si="13"/>
        <v>100</v>
      </c>
      <c r="V26" s="667" t="s">
        <v>18</v>
      </c>
      <c r="W26" s="668">
        <f t="shared" si="14"/>
        <v>100</v>
      </c>
      <c r="X26" s="1265"/>
      <c r="Y26" s="34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7"/>
      <c r="Q28" s="1263">
        <f t="shared" si="11"/>
        <v>111</v>
      </c>
      <c r="R28" s="667" t="s">
        <v>18</v>
      </c>
      <c r="S28" s="668">
        <f t="shared" si="12"/>
        <v>100</v>
      </c>
      <c r="T28" s="667" t="s">
        <v>18</v>
      </c>
      <c r="U28" s="668">
        <f t="shared" si="13"/>
        <v>100</v>
      </c>
      <c r="V28" s="667" t="s">
        <v>18</v>
      </c>
      <c r="W28" s="668">
        <f t="shared" si="14"/>
        <v>100</v>
      </c>
      <c r="X28" s="1265"/>
      <c r="Y28" s="34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7"/>
      <c r="Q29" s="1263">
        <f t="shared" si="11"/>
        <v>111</v>
      </c>
      <c r="R29" s="667" t="s">
        <v>18</v>
      </c>
      <c r="S29" s="668">
        <f t="shared" si="12"/>
        <v>100</v>
      </c>
      <c r="T29" s="667" t="s">
        <v>18</v>
      </c>
      <c r="U29" s="668">
        <f t="shared" si="13"/>
        <v>100</v>
      </c>
      <c r="V29" s="667" t="s">
        <v>18</v>
      </c>
      <c r="W29" s="668">
        <f t="shared" si="14"/>
        <v>100</v>
      </c>
      <c r="X29" s="1265"/>
      <c r="Y29" s="34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7"/>
      <c r="Q30" s="1263">
        <f t="shared" si="11"/>
        <v>111</v>
      </c>
      <c r="R30" s="667" t="s">
        <v>18</v>
      </c>
      <c r="S30" s="668">
        <f t="shared" si="12"/>
        <v>100</v>
      </c>
      <c r="T30" s="667" t="s">
        <v>18</v>
      </c>
      <c r="U30" s="668">
        <f t="shared" si="13"/>
        <v>100</v>
      </c>
      <c r="V30" s="667" t="s">
        <v>18</v>
      </c>
      <c r="W30" s="668">
        <f t="shared" si="14"/>
        <v>100</v>
      </c>
      <c r="X30" s="1265"/>
      <c r="Y30" s="34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7"/>
      <c r="Q31" s="1263">
        <f t="shared" si="11"/>
        <v>111</v>
      </c>
      <c r="R31" s="667" t="s">
        <v>18</v>
      </c>
      <c r="S31" s="668">
        <f t="shared" si="12"/>
        <v>100</v>
      </c>
      <c r="T31" s="667" t="s">
        <v>18</v>
      </c>
      <c r="U31" s="668">
        <f t="shared" si="13"/>
        <v>100</v>
      </c>
      <c r="V31" s="667" t="s">
        <v>18</v>
      </c>
      <c r="W31" s="668">
        <f t="shared" si="14"/>
        <v>100</v>
      </c>
      <c r="X31" s="1265"/>
      <c r="Y31" s="343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1" t="s">
        <v>1696</v>
      </c>
      <c r="Q32" s="1263" t="str">
        <f t="shared" si="11"/>
        <v>建筑类型</v>
      </c>
      <c r="R32" s="667" t="s">
        <v>18</v>
      </c>
      <c r="S32" s="668">
        <f t="shared" si="12"/>
        <v>100</v>
      </c>
      <c r="T32" s="667" t="s">
        <v>18</v>
      </c>
      <c r="U32" s="668">
        <f t="shared" si="13"/>
        <v>100</v>
      </c>
      <c r="V32" s="667" t="s">
        <v>18</v>
      </c>
      <c r="W32" s="668">
        <f t="shared" si="14"/>
        <v>100</v>
      </c>
      <c r="X32" s="1265"/>
      <c r="Y32" s="34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2"/>
      <c r="Q34" s="1263" t="str">
        <f t="shared" si="11"/>
        <v>建筑结构</v>
      </c>
      <c r="R34" s="667" t="s">
        <v>18</v>
      </c>
      <c r="S34" s="668">
        <f t="shared" si="12"/>
        <v>100</v>
      </c>
      <c r="T34" s="667" t="s">
        <v>18</v>
      </c>
      <c r="U34" s="668">
        <f t="shared" si="13"/>
        <v>100</v>
      </c>
      <c r="V34" s="667" t="s">
        <v>18</v>
      </c>
      <c r="W34" s="668">
        <f t="shared" si="14"/>
        <v>100</v>
      </c>
      <c r="X34" s="1265"/>
      <c r="Y34" s="34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2"/>
      <c r="Q35" s="1263" t="str">
        <f t="shared" si="11"/>
        <v>建筑品质</v>
      </c>
      <c r="R35" s="667" t="s">
        <v>18</v>
      </c>
      <c r="S35" s="668">
        <f t="shared" si="12"/>
        <v>100</v>
      </c>
      <c r="T35" s="667" t="s">
        <v>18</v>
      </c>
      <c r="U35" s="668">
        <f t="shared" si="13"/>
        <v>100</v>
      </c>
      <c r="V35" s="667" t="s">
        <v>18</v>
      </c>
      <c r="W35" s="668">
        <f t="shared" si="14"/>
        <v>100</v>
      </c>
      <c r="X35" s="1265"/>
      <c r="Y35" s="34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2"/>
      <c r="Q36" s="1263" t="str">
        <f t="shared" si="11"/>
        <v>公共部分装修</v>
      </c>
      <c r="R36" s="667" t="s">
        <v>18</v>
      </c>
      <c r="S36" s="668">
        <f t="shared" si="12"/>
        <v>100</v>
      </c>
      <c r="T36" s="667" t="s">
        <v>18</v>
      </c>
      <c r="U36" s="668">
        <f t="shared" si="13"/>
        <v>100</v>
      </c>
      <c r="V36" s="667" t="s">
        <v>18</v>
      </c>
      <c r="W36" s="668">
        <f t="shared" si="14"/>
        <v>100</v>
      </c>
      <c r="X36" s="1265"/>
      <c r="Y36" s="34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2" t="s">
        <v>1696</v>
      </c>
      <c r="Q38" s="1263" t="str">
        <f t="shared" si="11"/>
        <v>物业管理</v>
      </c>
      <c r="R38" s="667" t="s">
        <v>18</v>
      </c>
      <c r="S38" s="668">
        <f t="shared" si="12"/>
        <v>100</v>
      </c>
      <c r="T38" s="667" t="s">
        <v>18</v>
      </c>
      <c r="U38" s="668">
        <f t="shared" si="13"/>
        <v>100</v>
      </c>
      <c r="V38" s="667" t="s">
        <v>18</v>
      </c>
      <c r="W38" s="668">
        <f t="shared" si="14"/>
        <v>100</v>
      </c>
      <c r="X38" s="1265"/>
      <c r="Y38" s="34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2"/>
      <c r="Q39" s="1263" t="str">
        <f t="shared" si="11"/>
        <v>市政基础设施</v>
      </c>
      <c r="R39" s="667" t="s">
        <v>18</v>
      </c>
      <c r="S39" s="668">
        <f t="shared" si="12"/>
        <v>100</v>
      </c>
      <c r="T39" s="667" t="s">
        <v>18</v>
      </c>
      <c r="U39" s="668">
        <f t="shared" si="13"/>
        <v>100</v>
      </c>
      <c r="V39" s="667" t="s">
        <v>18</v>
      </c>
      <c r="W39" s="668">
        <f t="shared" si="14"/>
        <v>100</v>
      </c>
      <c r="X39" s="1265"/>
      <c r="Y39" s="34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2"/>
      <c r="Q40" s="1263" t="str">
        <f t="shared" si="11"/>
        <v>房型</v>
      </c>
      <c r="R40" s="667" t="s">
        <v>18</v>
      </c>
      <c r="S40" s="668">
        <f t="shared" si="12"/>
        <v>100</v>
      </c>
      <c r="T40" s="667" t="s">
        <v>18</v>
      </c>
      <c r="U40" s="668">
        <f t="shared" si="13"/>
        <v>100</v>
      </c>
      <c r="V40" s="667" t="s">
        <v>18</v>
      </c>
      <c r="W40" s="668">
        <f t="shared" si="14"/>
        <v>100</v>
      </c>
      <c r="X40" s="1265"/>
      <c r="Y40" s="343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2"/>
      <c r="Q42" s="1263" t="str">
        <f t="shared" si="11"/>
        <v>内部装修</v>
      </c>
      <c r="R42" s="667" t="s">
        <v>18</v>
      </c>
      <c r="S42" s="668">
        <f t="shared" si="12"/>
        <v>100</v>
      </c>
      <c r="T42" s="667" t="s">
        <v>18</v>
      </c>
      <c r="U42" s="668">
        <f t="shared" si="13"/>
        <v>100</v>
      </c>
      <c r="V42" s="667" t="s">
        <v>18</v>
      </c>
      <c r="W42" s="668">
        <f t="shared" si="14"/>
        <v>100</v>
      </c>
      <c r="X42" s="1265"/>
      <c r="Y42" s="343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2"/>
      <c r="Q43" s="1263" t="str">
        <f t="shared" si="11"/>
        <v>内部装修维护情况</v>
      </c>
      <c r="R43" s="667" t="s">
        <v>18</v>
      </c>
      <c r="S43" s="668">
        <f t="shared" si="12"/>
        <v>100</v>
      </c>
      <c r="T43" s="667" t="s">
        <v>18</v>
      </c>
      <c r="U43" s="668">
        <f t="shared" si="13"/>
        <v>100</v>
      </c>
      <c r="V43" s="667" t="s">
        <v>18</v>
      </c>
      <c r="W43" s="668">
        <f t="shared" si="14"/>
        <v>100</v>
      </c>
      <c r="X43" s="1265"/>
      <c r="Y43" s="34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2"/>
      <c r="Q45" s="1263">
        <f t="shared" si="11"/>
        <v>111</v>
      </c>
      <c r="R45" s="667" t="s">
        <v>18</v>
      </c>
      <c r="S45" s="668">
        <f t="shared" si="12"/>
        <v>100</v>
      </c>
      <c r="T45" s="667" t="s">
        <v>18</v>
      </c>
      <c r="U45" s="668">
        <f t="shared" si="13"/>
        <v>100</v>
      </c>
      <c r="V45" s="667" t="s">
        <v>18</v>
      </c>
      <c r="W45" s="668">
        <f t="shared" si="14"/>
        <v>100</v>
      </c>
      <c r="X45" s="1265"/>
      <c r="Y45" s="34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3"/>
      <c r="Q46" s="1263">
        <f t="shared" si="11"/>
        <v>111</v>
      </c>
      <c r="R46" s="667" t="s">
        <v>17</v>
      </c>
      <c r="S46" s="668">
        <f t="shared" si="12"/>
        <v>100</v>
      </c>
      <c r="T46" s="667" t="s">
        <v>17</v>
      </c>
      <c r="U46" s="668">
        <f t="shared" si="13"/>
        <v>100</v>
      </c>
      <c r="V46" s="667" t="s">
        <v>17</v>
      </c>
      <c r="W46" s="668">
        <f t="shared" si="14"/>
        <v>100</v>
      </c>
      <c r="X46" s="1265"/>
      <c r="Y46" s="343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27" t="str">
        <f>A47</f>
        <v>成交单价（元/平方米）</v>
      </c>
      <c r="Q47" s="3427"/>
      <c r="R47" s="3428">
        <f>E47</f>
        <v>0</v>
      </c>
      <c r="S47" s="3428"/>
      <c r="T47" s="3428">
        <f>G47</f>
        <v>0</v>
      </c>
      <c r="U47" s="3428"/>
      <c r="V47" s="3428">
        <f>I47</f>
        <v>0</v>
      </c>
      <c r="W47" s="3428"/>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3797.1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42" t="s">
        <v>1770</v>
      </c>
      <c r="D4" s="3443"/>
      <c r="E4" s="3444" t="s">
        <v>1771</v>
      </c>
      <c r="F4" s="3445"/>
      <c r="G4" s="3442" t="s">
        <v>1772</v>
      </c>
      <c r="H4" s="3443"/>
      <c r="I4" s="3442" t="s">
        <v>1773</v>
      </c>
      <c r="J4" s="3443"/>
      <c r="K4" s="537" t="s">
        <v>1774</v>
      </c>
      <c r="L4" s="2484"/>
      <c r="M4" s="2485"/>
      <c r="N4" s="2485"/>
      <c r="O4" s="2485"/>
      <c r="P4" s="3446" t="s">
        <v>1775</v>
      </c>
      <c r="Q4" s="3447"/>
      <c r="R4" s="3452" t="s">
        <v>1771</v>
      </c>
      <c r="S4" s="3453"/>
      <c r="T4" s="3452" t="s">
        <v>1772</v>
      </c>
      <c r="U4" s="3453"/>
      <c r="V4" s="3428" t="s">
        <v>1773</v>
      </c>
      <c r="W4" s="3428"/>
      <c r="X4" s="1265"/>
      <c r="Y4" s="3452" t="s">
        <v>1775</v>
      </c>
      <c r="Z4" s="3453"/>
      <c r="AA4" s="3439" t="s">
        <v>1771</v>
      </c>
      <c r="AB4" s="3428" t="s">
        <v>1772</v>
      </c>
      <c r="AC4" s="3439" t="s">
        <v>1773</v>
      </c>
    </row>
    <row r="5" spans="1:29" ht="15">
      <c r="A5" s="348"/>
      <c r="B5" s="349"/>
      <c r="C5" s="3460" t="s">
        <v>1673</v>
      </c>
      <c r="D5" s="3461"/>
      <c r="E5" s="3467" t="s">
        <v>1674</v>
      </c>
      <c r="F5" s="3468"/>
      <c r="G5" s="3460" t="s">
        <v>1675</v>
      </c>
      <c r="H5" s="3461"/>
      <c r="I5" s="3460" t="s">
        <v>1676</v>
      </c>
      <c r="J5" s="3461"/>
      <c r="K5" s="537"/>
      <c r="L5" s="2484"/>
      <c r="M5" s="2485"/>
      <c r="N5" s="2485"/>
      <c r="O5" s="2485"/>
      <c r="P5" s="3448"/>
      <c r="Q5" s="3449"/>
      <c r="R5" s="3454"/>
      <c r="S5" s="3455"/>
      <c r="T5" s="3454"/>
      <c r="U5" s="3455"/>
      <c r="V5" s="3428"/>
      <c r="W5" s="3428"/>
      <c r="X5" s="1265"/>
      <c r="Y5" s="3454"/>
      <c r="Z5" s="3455"/>
      <c r="AA5" s="3440"/>
      <c r="AB5" s="3428"/>
      <c r="AC5" s="3440"/>
    </row>
    <row r="6" spans="1:29" ht="15.75" thickBot="1">
      <c r="A6" s="350"/>
      <c r="B6" s="351"/>
      <c r="C6" s="3458" t="s">
        <v>1677</v>
      </c>
      <c r="D6" s="3459"/>
      <c r="E6" s="3465" t="s">
        <v>1677</v>
      </c>
      <c r="F6" s="3466"/>
      <c r="G6" s="3458" t="s">
        <v>1677</v>
      </c>
      <c r="H6" s="3459"/>
      <c r="I6" s="3458" t="s">
        <v>1677</v>
      </c>
      <c r="J6" s="3459"/>
      <c r="K6" s="537" t="s">
        <v>1678</v>
      </c>
      <c r="L6" s="2484"/>
      <c r="M6" s="2485"/>
      <c r="N6" s="2485"/>
      <c r="O6" s="2485"/>
      <c r="P6" s="3450"/>
      <c r="Q6" s="3451"/>
      <c r="R6" s="3454"/>
      <c r="S6" s="3455"/>
      <c r="T6" s="3456"/>
      <c r="U6" s="3457"/>
      <c r="V6" s="3428"/>
      <c r="W6" s="3428"/>
      <c r="X6" s="1265"/>
      <c r="Y6" s="3456"/>
      <c r="Z6" s="3457"/>
      <c r="AA6" s="3441"/>
      <c r="AB6" s="3428"/>
      <c r="AC6" s="3441"/>
    </row>
    <row r="7" spans="1:29" s="102" customFormat="1" ht="15.7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38"/>
      <c r="L7" s="2486"/>
      <c r="M7" s="2438"/>
      <c r="N7" s="2438"/>
      <c r="O7" s="2438"/>
      <c r="P7" s="3462" t="s">
        <v>1680</v>
      </c>
      <c r="Q7" s="3464"/>
      <c r="R7" s="664" t="s">
        <v>14</v>
      </c>
      <c r="S7" s="665">
        <f t="shared" ref="S7:S15" si="0">F7</f>
        <v>0</v>
      </c>
      <c r="T7" s="664" t="s">
        <v>14</v>
      </c>
      <c r="U7" s="665">
        <f t="shared" ref="U7:U15" si="1">H7</f>
        <v>0</v>
      </c>
      <c r="V7" s="664" t="s">
        <v>14</v>
      </c>
      <c r="W7" s="665">
        <f t="shared" ref="W7:W15" si="2">J7</f>
        <v>0</v>
      </c>
      <c r="X7" s="666"/>
      <c r="Y7" s="3462" t="s">
        <v>1680</v>
      </c>
      <c r="Z7" s="346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62" t="s">
        <v>1683</v>
      </c>
      <c r="Q8" s="3463"/>
      <c r="R8" s="664" t="s">
        <v>14</v>
      </c>
      <c r="S8" s="665">
        <f t="shared" si="0"/>
        <v>100</v>
      </c>
      <c r="T8" s="664" t="s">
        <v>14</v>
      </c>
      <c r="U8" s="665">
        <f t="shared" si="1"/>
        <v>100</v>
      </c>
      <c r="V8" s="664" t="s">
        <v>14</v>
      </c>
      <c r="W8" s="665">
        <f t="shared" si="2"/>
        <v>100</v>
      </c>
      <c r="X8" s="666"/>
      <c r="Y8" s="3462" t="s">
        <v>1683</v>
      </c>
      <c r="Z8" s="346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8"/>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8"/>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8"/>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6" t="s">
        <v>1691</v>
      </c>
      <c r="Q15" s="1263" t="str">
        <f t="shared" si="6"/>
        <v>商业繁华度</v>
      </c>
      <c r="R15" s="667" t="s">
        <v>14</v>
      </c>
      <c r="S15" s="668">
        <f t="shared" si="0"/>
        <v>100</v>
      </c>
      <c r="T15" s="667" t="s">
        <v>14</v>
      </c>
      <c r="U15" s="668">
        <f t="shared" si="1"/>
        <v>100</v>
      </c>
      <c r="V15" s="667" t="s">
        <v>14</v>
      </c>
      <c r="W15" s="668">
        <f t="shared" si="2"/>
        <v>100</v>
      </c>
      <c r="X15" s="1265"/>
      <c r="Y15" s="342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7"/>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7"/>
      <c r="Q18" s="1263"/>
      <c r="R18" s="667"/>
      <c r="S18" s="668"/>
      <c r="T18" s="667"/>
      <c r="U18" s="668"/>
      <c r="V18" s="667"/>
      <c r="W18" s="668"/>
      <c r="X18" s="1265"/>
      <c r="Y18" s="343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7"/>
      <c r="Q20" s="1263"/>
      <c r="R20" s="667"/>
      <c r="S20" s="668"/>
      <c r="T20" s="667"/>
      <c r="U20" s="668"/>
      <c r="V20" s="667"/>
      <c r="W20" s="668"/>
      <c r="X20" s="1265"/>
      <c r="Y20" s="343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7"/>
      <c r="Q22" s="1263"/>
      <c r="R22" s="667"/>
      <c r="S22" s="668"/>
      <c r="T22" s="667"/>
      <c r="U22" s="668"/>
      <c r="V22" s="667"/>
      <c r="W22" s="668"/>
      <c r="X22" s="1265"/>
      <c r="Y22" s="343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7"/>
      <c r="Q23" s="1263" t="str">
        <f>B23</f>
        <v>自然及人文环境</v>
      </c>
      <c r="R23" s="667" t="s">
        <v>14</v>
      </c>
      <c r="S23" s="668">
        <f>F23</f>
        <v>100</v>
      </c>
      <c r="T23" s="667" t="s">
        <v>14</v>
      </c>
      <c r="U23" s="668">
        <f>H23</f>
        <v>100</v>
      </c>
      <c r="V23" s="667" t="s">
        <v>14</v>
      </c>
      <c r="W23" s="668">
        <f>J23</f>
        <v>100</v>
      </c>
      <c r="X23" s="1265"/>
      <c r="Y23" s="34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7"/>
      <c r="Q24" s="1263"/>
      <c r="R24" s="667"/>
      <c r="S24" s="668"/>
      <c r="T24" s="667"/>
      <c r="U24" s="668"/>
      <c r="V24" s="667"/>
      <c r="W24" s="668"/>
      <c r="X24" s="1265"/>
      <c r="Y24" s="343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7"/>
      <c r="Q25" s="1263" t="str">
        <f t="shared" ref="Q25:Q46" si="11">B25</f>
        <v>临街状况</v>
      </c>
      <c r="R25" s="667" t="s">
        <v>14</v>
      </c>
      <c r="S25" s="668">
        <f>F25</f>
        <v>100</v>
      </c>
      <c r="T25" s="667" t="s">
        <v>14</v>
      </c>
      <c r="U25" s="668">
        <f>H25</f>
        <v>100</v>
      </c>
      <c r="V25" s="667" t="s">
        <v>14</v>
      </c>
      <c r="W25" s="668">
        <f>J25</f>
        <v>100</v>
      </c>
      <c r="X25" s="1265"/>
      <c r="Y25" s="343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7"/>
      <c r="Q26" s="1263" t="str">
        <f t="shared" si="11"/>
        <v>平面位置/可视性</v>
      </c>
      <c r="R26" s="667" t="s">
        <v>14</v>
      </c>
      <c r="S26" s="668">
        <f>F26</f>
        <v>100</v>
      </c>
      <c r="T26" s="667" t="s">
        <v>14</v>
      </c>
      <c r="U26" s="668">
        <f>H26</f>
        <v>100</v>
      </c>
      <c r="V26" s="667" t="s">
        <v>14</v>
      </c>
      <c r="W26" s="668">
        <f>J26</f>
        <v>100</v>
      </c>
      <c r="X26" s="1265"/>
      <c r="Y26" s="343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7"/>
      <c r="Q27" s="530" t="str">
        <f t="shared" si="11"/>
        <v>人流量</v>
      </c>
      <c r="R27" s="664" t="s">
        <v>14</v>
      </c>
      <c r="S27" s="665">
        <f>F27</f>
        <v>100</v>
      </c>
      <c r="T27" s="664" t="s">
        <v>14</v>
      </c>
      <c r="U27" s="665">
        <f>H27</f>
        <v>100</v>
      </c>
      <c r="V27" s="664" t="s">
        <v>14</v>
      </c>
      <c r="W27" s="665">
        <f>J27</f>
        <v>100</v>
      </c>
      <c r="X27" s="666"/>
      <c r="Y27" s="343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7"/>
      <c r="Q29" s="1263">
        <f t="shared" si="11"/>
        <v>111</v>
      </c>
      <c r="R29" s="667" t="s">
        <v>14</v>
      </c>
      <c r="S29" s="668">
        <f t="shared" si="12"/>
        <v>100</v>
      </c>
      <c r="T29" s="667" t="s">
        <v>14</v>
      </c>
      <c r="U29" s="668">
        <f t="shared" si="13"/>
        <v>100</v>
      </c>
      <c r="V29" s="667" t="s">
        <v>14</v>
      </c>
      <c r="W29" s="668">
        <f t="shared" si="14"/>
        <v>100</v>
      </c>
      <c r="X29" s="1265"/>
      <c r="Y29" s="34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1" t="s">
        <v>1696</v>
      </c>
      <c r="Q32" s="1263" t="str">
        <f t="shared" si="11"/>
        <v>商业类型</v>
      </c>
      <c r="R32" s="667" t="s">
        <v>14</v>
      </c>
      <c r="S32" s="668">
        <f t="shared" si="12"/>
        <v>100</v>
      </c>
      <c r="T32" s="667" t="s">
        <v>14</v>
      </c>
      <c r="U32" s="668">
        <f t="shared" si="13"/>
        <v>100</v>
      </c>
      <c r="V32" s="667" t="s">
        <v>14</v>
      </c>
      <c r="W32" s="668">
        <f t="shared" si="14"/>
        <v>100</v>
      </c>
      <c r="X32" s="1265"/>
      <c r="Y32" s="343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2"/>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2"/>
      <c r="Q34" s="1263" t="str">
        <f t="shared" si="11"/>
        <v>建筑结构</v>
      </c>
      <c r="R34" s="667" t="s">
        <v>14</v>
      </c>
      <c r="S34" s="668">
        <f t="shared" si="12"/>
        <v>100</v>
      </c>
      <c r="T34" s="667" t="s">
        <v>14</v>
      </c>
      <c r="U34" s="668">
        <f t="shared" si="13"/>
        <v>100</v>
      </c>
      <c r="V34" s="667" t="s">
        <v>14</v>
      </c>
      <c r="W34" s="668">
        <f t="shared" si="14"/>
        <v>100</v>
      </c>
      <c r="X34" s="1265"/>
      <c r="Y34" s="343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2"/>
      <c r="Q35" s="1263" t="str">
        <f t="shared" si="11"/>
        <v>公共部分装修</v>
      </c>
      <c r="R35" s="667" t="s">
        <v>14</v>
      </c>
      <c r="S35" s="668">
        <f t="shared" si="12"/>
        <v>100</v>
      </c>
      <c r="T35" s="667" t="s">
        <v>14</v>
      </c>
      <c r="U35" s="668">
        <f t="shared" si="13"/>
        <v>100</v>
      </c>
      <c r="V35" s="667" t="s">
        <v>14</v>
      </c>
      <c r="W35" s="668">
        <f t="shared" si="14"/>
        <v>100</v>
      </c>
      <c r="X35" s="1265"/>
      <c r="Y35" s="343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2"/>
      <c r="Q36" s="1263" t="str">
        <f t="shared" si="11"/>
        <v>成新度</v>
      </c>
      <c r="R36" s="667" t="s">
        <v>14</v>
      </c>
      <c r="S36" s="668" t="e">
        <f t="shared" si="12"/>
        <v>#N/A</v>
      </c>
      <c r="T36" s="667" t="s">
        <v>14</v>
      </c>
      <c r="U36" s="668" t="e">
        <f t="shared" si="13"/>
        <v>#N/A</v>
      </c>
      <c r="V36" s="667" t="s">
        <v>14</v>
      </c>
      <c r="W36" s="668" t="e">
        <f t="shared" si="14"/>
        <v>#N/A</v>
      </c>
      <c r="X36" s="1265"/>
      <c r="Y36" s="343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2" t="s">
        <v>1696</v>
      </c>
      <c r="Q38" s="1263" t="str">
        <f t="shared" si="11"/>
        <v>业态</v>
      </c>
      <c r="R38" s="667" t="s">
        <v>14</v>
      </c>
      <c r="S38" s="668">
        <f t="shared" si="12"/>
        <v>100</v>
      </c>
      <c r="T38" s="667" t="s">
        <v>14</v>
      </c>
      <c r="U38" s="668">
        <f t="shared" si="13"/>
        <v>100</v>
      </c>
      <c r="V38" s="667" t="s">
        <v>14</v>
      </c>
      <c r="W38" s="668">
        <f t="shared" si="14"/>
        <v>100</v>
      </c>
      <c r="X38" s="1265"/>
      <c r="Y38" s="343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2"/>
      <c r="Q39" s="1263" t="str">
        <f t="shared" si="11"/>
        <v>层高</v>
      </c>
      <c r="R39" s="667" t="s">
        <v>14</v>
      </c>
      <c r="S39" s="668">
        <f t="shared" si="12"/>
        <v>100</v>
      </c>
      <c r="T39" s="667" t="s">
        <v>14</v>
      </c>
      <c r="U39" s="668">
        <f t="shared" si="13"/>
        <v>100</v>
      </c>
      <c r="V39" s="667" t="s">
        <v>14</v>
      </c>
      <c r="W39" s="668">
        <f t="shared" si="14"/>
        <v>100</v>
      </c>
      <c r="X39" s="1265"/>
      <c r="Y39" s="34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2"/>
      <c r="Q40" s="1263" t="str">
        <f t="shared" si="11"/>
        <v>单套建筑面积</v>
      </c>
      <c r="R40" s="667" t="s">
        <v>14</v>
      </c>
      <c r="S40" s="668">
        <f t="shared" si="12"/>
        <v>100</v>
      </c>
      <c r="T40" s="667" t="s">
        <v>14</v>
      </c>
      <c r="U40" s="668">
        <f t="shared" si="13"/>
        <v>100</v>
      </c>
      <c r="V40" s="667" t="s">
        <v>14</v>
      </c>
      <c r="W40" s="668">
        <f t="shared" si="14"/>
        <v>100</v>
      </c>
      <c r="X40" s="1265"/>
      <c r="Y40" s="343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2"/>
      <c r="Q42" s="1263" t="str">
        <f t="shared" si="11"/>
        <v>内部装修</v>
      </c>
      <c r="R42" s="667" t="s">
        <v>14</v>
      </c>
      <c r="S42" s="668">
        <f t="shared" si="12"/>
        <v>100</v>
      </c>
      <c r="T42" s="667" t="s">
        <v>14</v>
      </c>
      <c r="U42" s="668">
        <f t="shared" si="13"/>
        <v>100</v>
      </c>
      <c r="V42" s="667" t="s">
        <v>14</v>
      </c>
      <c r="W42" s="668">
        <f t="shared" si="14"/>
        <v>100</v>
      </c>
      <c r="X42" s="1265"/>
      <c r="Y42" s="343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2"/>
      <c r="Q43" s="1263" t="str">
        <f t="shared" si="11"/>
        <v>内部装修维护情况</v>
      </c>
      <c r="R43" s="667" t="s">
        <v>14</v>
      </c>
      <c r="S43" s="668">
        <f t="shared" si="12"/>
        <v>100</v>
      </c>
      <c r="T43" s="667" t="s">
        <v>14</v>
      </c>
      <c r="U43" s="668">
        <f t="shared" si="13"/>
        <v>100</v>
      </c>
      <c r="V43" s="667" t="s">
        <v>14</v>
      </c>
      <c r="W43" s="668">
        <f t="shared" si="14"/>
        <v>100</v>
      </c>
      <c r="X43" s="1265"/>
      <c r="Y43" s="34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2"/>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2"/>
      <c r="Q45" s="1263">
        <f t="shared" si="11"/>
        <v>111</v>
      </c>
      <c r="R45" s="667" t="s">
        <v>14</v>
      </c>
      <c r="S45" s="668">
        <f t="shared" si="12"/>
        <v>100</v>
      </c>
      <c r="T45" s="667" t="s">
        <v>14</v>
      </c>
      <c r="U45" s="668">
        <f t="shared" si="13"/>
        <v>100</v>
      </c>
      <c r="V45" s="667" t="s">
        <v>14</v>
      </c>
      <c r="W45" s="668">
        <f t="shared" si="14"/>
        <v>100</v>
      </c>
      <c r="X45" s="1265"/>
      <c r="Y45" s="34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27" t="str">
        <f>A47</f>
        <v>成交单价（元/平方米）</v>
      </c>
      <c r="Q47" s="3427"/>
      <c r="R47" s="3428">
        <f>E47</f>
        <v>0</v>
      </c>
      <c r="S47" s="3428"/>
      <c r="T47" s="3428">
        <f>G47</f>
        <v>0</v>
      </c>
      <c r="U47" s="3428"/>
      <c r="V47" s="3428">
        <f>I47</f>
        <v>0</v>
      </c>
      <c r="W47" s="342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3797.1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42" t="s">
        <v>1770</v>
      </c>
      <c r="D4" s="3443"/>
      <c r="E4" s="3444" t="s">
        <v>1771</v>
      </c>
      <c r="F4" s="3445"/>
      <c r="G4" s="3442" t="s">
        <v>1772</v>
      </c>
      <c r="H4" s="3443"/>
      <c r="I4" s="3442" t="s">
        <v>1773</v>
      </c>
      <c r="J4" s="3443"/>
      <c r="K4" s="537" t="s">
        <v>1774</v>
      </c>
      <c r="L4" s="2484"/>
      <c r="M4" s="2485"/>
      <c r="N4" s="2485"/>
      <c r="O4" s="2485"/>
      <c r="P4" s="3475" t="s">
        <v>1775</v>
      </c>
      <c r="Q4" s="3476"/>
      <c r="R4" s="3479" t="s">
        <v>1771</v>
      </c>
      <c r="S4" s="3480"/>
      <c r="T4" s="3479" t="s">
        <v>1772</v>
      </c>
      <c r="U4" s="3480"/>
      <c r="V4" s="3481" t="s">
        <v>1773</v>
      </c>
      <c r="W4" s="3481"/>
      <c r="X4" s="1809"/>
      <c r="Y4" s="3479" t="s">
        <v>1775</v>
      </c>
      <c r="Z4" s="3480"/>
      <c r="AA4" s="3483" t="s">
        <v>1771</v>
      </c>
      <c r="AB4" s="3483" t="s">
        <v>1772</v>
      </c>
      <c r="AC4" s="3472" t="s">
        <v>1773</v>
      </c>
    </row>
    <row r="5" spans="1:29" ht="15">
      <c r="A5" s="348"/>
      <c r="B5" s="349"/>
      <c r="C5" s="3460" t="s">
        <v>1673</v>
      </c>
      <c r="D5" s="3461"/>
      <c r="E5" s="3467" t="s">
        <v>1674</v>
      </c>
      <c r="F5" s="3468"/>
      <c r="G5" s="3460" t="s">
        <v>1675</v>
      </c>
      <c r="H5" s="3461"/>
      <c r="I5" s="3460" t="s">
        <v>1676</v>
      </c>
      <c r="J5" s="3461"/>
      <c r="K5" s="537"/>
      <c r="L5" s="2484"/>
      <c r="M5" s="2485"/>
      <c r="N5" s="2485"/>
      <c r="O5" s="2485"/>
      <c r="P5" s="3477"/>
      <c r="Q5" s="3449"/>
      <c r="R5" s="3454"/>
      <c r="S5" s="3455"/>
      <c r="T5" s="3454"/>
      <c r="U5" s="3455"/>
      <c r="V5" s="3428"/>
      <c r="W5" s="3428"/>
      <c r="X5" s="1265"/>
      <c r="Y5" s="3454"/>
      <c r="Z5" s="3455"/>
      <c r="AA5" s="3440"/>
      <c r="AB5" s="3440"/>
      <c r="AC5" s="3473"/>
    </row>
    <row r="6" spans="1:29" ht="15.75" thickBot="1">
      <c r="A6" s="350"/>
      <c r="B6" s="351"/>
      <c r="C6" s="3458" t="s">
        <v>1677</v>
      </c>
      <c r="D6" s="3459"/>
      <c r="E6" s="3465" t="s">
        <v>1677</v>
      </c>
      <c r="F6" s="3466"/>
      <c r="G6" s="3458" t="s">
        <v>1677</v>
      </c>
      <c r="H6" s="3459"/>
      <c r="I6" s="3458" t="s">
        <v>1677</v>
      </c>
      <c r="J6" s="3459"/>
      <c r="K6" s="537" t="s">
        <v>1678</v>
      </c>
      <c r="L6" s="2484"/>
      <c r="M6" s="2485"/>
      <c r="N6" s="2485"/>
      <c r="O6" s="2485"/>
      <c r="P6" s="3478"/>
      <c r="Q6" s="3451"/>
      <c r="R6" s="3454"/>
      <c r="S6" s="3455"/>
      <c r="T6" s="3456"/>
      <c r="U6" s="3457"/>
      <c r="V6" s="3428"/>
      <c r="W6" s="3428"/>
      <c r="X6" s="1265"/>
      <c r="Y6" s="3456"/>
      <c r="Z6" s="3457"/>
      <c r="AA6" s="3441"/>
      <c r="AB6" s="3441"/>
      <c r="AC6" s="3474"/>
    </row>
    <row r="7" spans="1:29" s="102" customFormat="1" ht="15.75" thickBot="1">
      <c r="A7" s="352" t="s">
        <v>1679</v>
      </c>
      <c r="B7" s="353"/>
      <c r="C7" s="354">
        <f>'数据-取费表'!B2</f>
        <v>45791</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2" t="s">
        <v>1680</v>
      </c>
      <c r="Q7" s="3464"/>
      <c r="R7" s="664" t="s">
        <v>14</v>
      </c>
      <c r="S7" s="665">
        <f t="shared" ref="S7:S15" si="0">F7</f>
        <v>0</v>
      </c>
      <c r="T7" s="664" t="s">
        <v>14</v>
      </c>
      <c r="U7" s="665">
        <f t="shared" ref="U7:U15" si="1">H7</f>
        <v>0</v>
      </c>
      <c r="V7" s="664" t="s">
        <v>14</v>
      </c>
      <c r="W7" s="665">
        <f t="shared" ref="W7:W15" si="2">J7</f>
        <v>0</v>
      </c>
      <c r="X7" s="666"/>
      <c r="Y7" s="3462" t="s">
        <v>1680</v>
      </c>
      <c r="Z7" s="346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2" t="s">
        <v>1683</v>
      </c>
      <c r="Q8" s="3463"/>
      <c r="R8" s="664" t="s">
        <v>14</v>
      </c>
      <c r="S8" s="665">
        <f t="shared" si="0"/>
        <v>100</v>
      </c>
      <c r="T8" s="664" t="s">
        <v>14</v>
      </c>
      <c r="U8" s="665">
        <f t="shared" si="1"/>
        <v>100</v>
      </c>
      <c r="V8" s="664" t="s">
        <v>14</v>
      </c>
      <c r="W8" s="665">
        <f t="shared" si="2"/>
        <v>100</v>
      </c>
      <c r="X8" s="666"/>
      <c r="Y8" s="3462" t="s">
        <v>1683</v>
      </c>
      <c r="Z8" s="346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38"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8"/>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8"/>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8"/>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8"/>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8"/>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6" t="s">
        <v>1691</v>
      </c>
      <c r="Q15" s="1263" t="str">
        <f t="shared" si="6"/>
        <v>办公集聚程度</v>
      </c>
      <c r="R15" s="667" t="s">
        <v>14</v>
      </c>
      <c r="S15" s="668">
        <f t="shared" si="0"/>
        <v>100</v>
      </c>
      <c r="T15" s="667" t="s">
        <v>14</v>
      </c>
      <c r="U15" s="668">
        <f t="shared" si="1"/>
        <v>100</v>
      </c>
      <c r="V15" s="667" t="s">
        <v>14</v>
      </c>
      <c r="W15" s="668">
        <f t="shared" si="2"/>
        <v>100</v>
      </c>
      <c r="X15" s="1265"/>
      <c r="Y15" s="342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37"/>
      <c r="Q16" s="1263"/>
      <c r="R16" s="667"/>
      <c r="S16" s="668"/>
      <c r="T16" s="667"/>
      <c r="U16" s="668"/>
      <c r="V16" s="667"/>
      <c r="W16" s="668"/>
      <c r="X16" s="1265"/>
      <c r="Y16" s="343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37"/>
      <c r="Q18" s="1263"/>
      <c r="R18" s="667"/>
      <c r="S18" s="668"/>
      <c r="T18" s="667"/>
      <c r="U18" s="668"/>
      <c r="V18" s="667"/>
      <c r="W18" s="668"/>
      <c r="X18" s="1265"/>
      <c r="Y18" s="343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37"/>
      <c r="Q20" s="1263"/>
      <c r="R20" s="667"/>
      <c r="S20" s="668"/>
      <c r="T20" s="667"/>
      <c r="U20" s="668"/>
      <c r="V20" s="667"/>
      <c r="W20" s="668"/>
      <c r="X20" s="1265"/>
      <c r="Y20" s="343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37"/>
      <c r="Q22" s="1263"/>
      <c r="R22" s="667"/>
      <c r="S22" s="668"/>
      <c r="T22" s="667"/>
      <c r="U22" s="668"/>
      <c r="V22" s="667"/>
      <c r="W22" s="668"/>
      <c r="X22" s="1265"/>
      <c r="Y22" s="343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7"/>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37"/>
      <c r="Q24" s="1263"/>
      <c r="R24" s="667"/>
      <c r="S24" s="668"/>
      <c r="T24" s="667"/>
      <c r="U24" s="668"/>
      <c r="V24" s="667"/>
      <c r="W24" s="668"/>
      <c r="X24" s="1265"/>
      <c r="Y24" s="343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7"/>
      <c r="Q25" s="1263" t="str">
        <f>B25</f>
        <v>毗邻道路的类型与等级</v>
      </c>
      <c r="R25" s="667" t="s">
        <v>14</v>
      </c>
      <c r="S25" s="668">
        <f>F25</f>
        <v>100</v>
      </c>
      <c r="T25" s="667" t="s">
        <v>14</v>
      </c>
      <c r="U25" s="668">
        <f>H25</f>
        <v>100</v>
      </c>
      <c r="V25" s="667" t="s">
        <v>14</v>
      </c>
      <c r="W25" s="668">
        <f>J25</f>
        <v>100</v>
      </c>
      <c r="X25" s="1265"/>
      <c r="Y25" s="34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7"/>
      <c r="Q26" s="1263"/>
      <c r="R26" s="667"/>
      <c r="S26" s="668"/>
      <c r="T26" s="667"/>
      <c r="U26" s="668"/>
      <c r="V26" s="667"/>
      <c r="W26" s="668"/>
      <c r="X26" s="1265"/>
      <c r="Y26" s="343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7"/>
      <c r="Q27" s="1263" t="str">
        <f t="shared" ref="Q27:Q47" si="11">B27</f>
        <v>楼层</v>
      </c>
      <c r="R27" s="667" t="s">
        <v>14</v>
      </c>
      <c r="S27" s="668">
        <f>F27</f>
        <v>100</v>
      </c>
      <c r="T27" s="667" t="s">
        <v>14</v>
      </c>
      <c r="U27" s="668">
        <f>H27</f>
        <v>100</v>
      </c>
      <c r="V27" s="667" t="s">
        <v>14</v>
      </c>
      <c r="W27" s="668">
        <f>J27</f>
        <v>100</v>
      </c>
      <c r="X27" s="1265"/>
      <c r="Y27" s="343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7"/>
      <c r="Q28" s="530" t="str">
        <f t="shared" si="11"/>
        <v>朝向</v>
      </c>
      <c r="R28" s="664" t="s">
        <v>14</v>
      </c>
      <c r="S28" s="665">
        <f>F28</f>
        <v>100</v>
      </c>
      <c r="T28" s="664" t="s">
        <v>14</v>
      </c>
      <c r="U28" s="665">
        <f>H28</f>
        <v>100</v>
      </c>
      <c r="V28" s="664" t="s">
        <v>14</v>
      </c>
      <c r="W28" s="665">
        <f>J28</f>
        <v>100</v>
      </c>
      <c r="X28" s="666"/>
      <c r="Y28" s="34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7"/>
      <c r="Q29" s="1263">
        <f t="shared" si="11"/>
        <v>111</v>
      </c>
      <c r="R29" s="667" t="s">
        <v>14</v>
      </c>
      <c r="S29" s="668">
        <f t="shared" ref="S29:S47" si="12">F29</f>
        <v>100</v>
      </c>
      <c r="T29" s="667" t="s">
        <v>14</v>
      </c>
      <c r="U29" s="668">
        <f t="shared" ref="U29:U47" si="13">H29</f>
        <v>100</v>
      </c>
      <c r="V29" s="667" t="s">
        <v>14</v>
      </c>
      <c r="W29" s="668">
        <f t="shared" ref="W29:W47" si="14">J29</f>
        <v>100</v>
      </c>
      <c r="X29" s="1265"/>
      <c r="Y29" s="34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7"/>
      <c r="Q32" s="1263">
        <f t="shared" si="11"/>
        <v>111</v>
      </c>
      <c r="R32" s="667" t="s">
        <v>14</v>
      </c>
      <c r="S32" s="668">
        <f t="shared" si="12"/>
        <v>100</v>
      </c>
      <c r="T32" s="667" t="s">
        <v>14</v>
      </c>
      <c r="U32" s="668">
        <f t="shared" si="13"/>
        <v>100</v>
      </c>
      <c r="V32" s="667" t="s">
        <v>14</v>
      </c>
      <c r="W32" s="668">
        <f t="shared" si="14"/>
        <v>100</v>
      </c>
      <c r="X32" s="1265"/>
      <c r="Y32" s="343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31" t="s">
        <v>1696</v>
      </c>
      <c r="Q33" s="1263" t="str">
        <f t="shared" si="11"/>
        <v>建筑类型</v>
      </c>
      <c r="R33" s="667" t="s">
        <v>14</v>
      </c>
      <c r="S33" s="668">
        <f t="shared" si="12"/>
        <v>100</v>
      </c>
      <c r="T33" s="667" t="s">
        <v>14</v>
      </c>
      <c r="U33" s="668">
        <f t="shared" si="13"/>
        <v>100</v>
      </c>
      <c r="V33" s="667" t="s">
        <v>14</v>
      </c>
      <c r="W33" s="668">
        <f t="shared" si="14"/>
        <v>100</v>
      </c>
      <c r="X33" s="1265"/>
      <c r="Y33" s="343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2"/>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2"/>
      <c r="Q35" s="1263" t="str">
        <f t="shared" si="11"/>
        <v>建筑结构</v>
      </c>
      <c r="R35" s="667" t="s">
        <v>14</v>
      </c>
      <c r="S35" s="668">
        <f t="shared" si="12"/>
        <v>100</v>
      </c>
      <c r="T35" s="667" t="s">
        <v>14</v>
      </c>
      <c r="U35" s="668">
        <f t="shared" si="13"/>
        <v>100</v>
      </c>
      <c r="V35" s="667" t="s">
        <v>14</v>
      </c>
      <c r="W35" s="668">
        <f t="shared" si="14"/>
        <v>100</v>
      </c>
      <c r="X35" s="1265"/>
      <c r="Y35" s="34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2"/>
      <c r="Q36" s="1263" t="str">
        <f t="shared" si="11"/>
        <v>公共部分装修</v>
      </c>
      <c r="R36" s="667" t="s">
        <v>14</v>
      </c>
      <c r="S36" s="668">
        <f t="shared" si="12"/>
        <v>100</v>
      </c>
      <c r="T36" s="667" t="s">
        <v>14</v>
      </c>
      <c r="U36" s="668">
        <f t="shared" si="13"/>
        <v>100</v>
      </c>
      <c r="V36" s="667" t="s">
        <v>14</v>
      </c>
      <c r="W36" s="668">
        <f t="shared" si="14"/>
        <v>100</v>
      </c>
      <c r="X36" s="1265"/>
      <c r="Y36" s="343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2"/>
      <c r="Q37" s="1263" t="str">
        <f t="shared" si="11"/>
        <v>成新度</v>
      </c>
      <c r="R37" s="667" t="s">
        <v>14</v>
      </c>
      <c r="S37" s="668" t="e">
        <f t="shared" si="12"/>
        <v>#N/A</v>
      </c>
      <c r="T37" s="667" t="s">
        <v>14</v>
      </c>
      <c r="U37" s="668" t="e">
        <f t="shared" si="13"/>
        <v>#N/A</v>
      </c>
      <c r="V37" s="667" t="s">
        <v>14</v>
      </c>
      <c r="W37" s="668" t="e">
        <f t="shared" si="14"/>
        <v>#N/A</v>
      </c>
      <c r="X37" s="1265"/>
      <c r="Y37" s="343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2" t="s">
        <v>1696</v>
      </c>
      <c r="Q39" s="1263" t="str">
        <f t="shared" si="11"/>
        <v>物业管理</v>
      </c>
      <c r="R39" s="667" t="s">
        <v>14</v>
      </c>
      <c r="S39" s="668">
        <f t="shared" si="12"/>
        <v>100</v>
      </c>
      <c r="T39" s="667" t="s">
        <v>14</v>
      </c>
      <c r="U39" s="668">
        <f t="shared" si="13"/>
        <v>100</v>
      </c>
      <c r="V39" s="667" t="s">
        <v>14</v>
      </c>
      <c r="W39" s="668">
        <f t="shared" si="14"/>
        <v>100</v>
      </c>
      <c r="X39" s="1265"/>
      <c r="Y39" s="343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2"/>
      <c r="Q40" s="1263" t="str">
        <f t="shared" si="11"/>
        <v>市政基础设施</v>
      </c>
      <c r="R40" s="667" t="s">
        <v>14</v>
      </c>
      <c r="S40" s="668">
        <f t="shared" si="12"/>
        <v>100</v>
      </c>
      <c r="T40" s="667" t="s">
        <v>14</v>
      </c>
      <c r="U40" s="668">
        <f t="shared" si="13"/>
        <v>100</v>
      </c>
      <c r="V40" s="667" t="s">
        <v>14</v>
      </c>
      <c r="W40" s="668">
        <f t="shared" si="14"/>
        <v>100</v>
      </c>
      <c r="X40" s="1265"/>
      <c r="Y40" s="343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2"/>
      <c r="Q41" s="1263" t="str">
        <f t="shared" si="11"/>
        <v>层高</v>
      </c>
      <c r="R41" s="667" t="s">
        <v>14</v>
      </c>
      <c r="S41" s="668">
        <f t="shared" si="12"/>
        <v>100</v>
      </c>
      <c r="T41" s="667" t="s">
        <v>14</v>
      </c>
      <c r="U41" s="668">
        <f t="shared" si="13"/>
        <v>100</v>
      </c>
      <c r="V41" s="667" t="s">
        <v>14</v>
      </c>
      <c r="W41" s="668">
        <f t="shared" si="14"/>
        <v>100</v>
      </c>
      <c r="X41" s="1265"/>
      <c r="Y41" s="34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2"/>
      <c r="Q43" s="1263" t="str">
        <f t="shared" si="11"/>
        <v>内部装修</v>
      </c>
      <c r="R43" s="667" t="s">
        <v>14</v>
      </c>
      <c r="S43" s="668">
        <f t="shared" si="12"/>
        <v>100</v>
      </c>
      <c r="T43" s="667" t="s">
        <v>14</v>
      </c>
      <c r="U43" s="668">
        <f t="shared" si="13"/>
        <v>100</v>
      </c>
      <c r="V43" s="667" t="s">
        <v>14</v>
      </c>
      <c r="W43" s="668">
        <f t="shared" si="14"/>
        <v>100</v>
      </c>
      <c r="X43" s="1265"/>
      <c r="Y43" s="343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32"/>
      <c r="Q44" s="1263" t="str">
        <f t="shared" si="11"/>
        <v>内部装修维护情况</v>
      </c>
      <c r="R44" s="667" t="s">
        <v>14</v>
      </c>
      <c r="S44" s="668">
        <f t="shared" si="12"/>
        <v>100</v>
      </c>
      <c r="T44" s="667" t="s">
        <v>14</v>
      </c>
      <c r="U44" s="668">
        <f t="shared" si="13"/>
        <v>100</v>
      </c>
      <c r="V44" s="667" t="s">
        <v>14</v>
      </c>
      <c r="W44" s="668">
        <f t="shared" si="14"/>
        <v>100</v>
      </c>
      <c r="X44" s="1265"/>
      <c r="Y44" s="34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3"/>
      <c r="Q47" s="1263">
        <f t="shared" si="11"/>
        <v>111</v>
      </c>
      <c r="R47" s="667" t="s">
        <v>14</v>
      </c>
      <c r="S47" s="668">
        <f t="shared" si="12"/>
        <v>100</v>
      </c>
      <c r="T47" s="667" t="s">
        <v>14</v>
      </c>
      <c r="U47" s="668">
        <f t="shared" si="13"/>
        <v>100</v>
      </c>
      <c r="V47" s="667" t="s">
        <v>14</v>
      </c>
      <c r="W47" s="668">
        <f t="shared" si="14"/>
        <v>100</v>
      </c>
      <c r="X47" s="1265"/>
      <c r="Y47" s="343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438" t="str">
        <f>A48</f>
        <v>成交单价（元/平方米）</v>
      </c>
      <c r="Q48" s="3427"/>
      <c r="R48" s="3428">
        <f>E48</f>
        <v>0</v>
      </c>
      <c r="S48" s="3428"/>
      <c r="T48" s="3428">
        <f>G48</f>
        <v>0</v>
      </c>
      <c r="U48" s="3428"/>
      <c r="V48" s="3428">
        <f>I48</f>
        <v>0</v>
      </c>
      <c r="W48" s="342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38" t="str">
        <f>A49</f>
        <v>比较价值（元/平方米）</v>
      </c>
      <c r="Q49" s="3427"/>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3797.1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2" t="s">
        <v>1770</v>
      </c>
      <c r="D4" s="3443"/>
      <c r="E4" s="3444" t="s">
        <v>1771</v>
      </c>
      <c r="F4" s="3445"/>
      <c r="G4" s="3442" t="s">
        <v>1772</v>
      </c>
      <c r="H4" s="3443"/>
      <c r="I4" s="3442" t="s">
        <v>1773</v>
      </c>
      <c r="J4" s="3443"/>
      <c r="K4" s="537" t="s">
        <v>1774</v>
      </c>
      <c r="L4" s="860"/>
      <c r="M4" s="861"/>
      <c r="N4" s="861"/>
      <c r="O4" s="861"/>
      <c r="P4" s="3446" t="s">
        <v>1775</v>
      </c>
      <c r="Q4" s="3447"/>
      <c r="R4" s="3452" t="s">
        <v>1771</v>
      </c>
      <c r="S4" s="3453"/>
      <c r="T4" s="3452" t="s">
        <v>1772</v>
      </c>
      <c r="U4" s="3453"/>
      <c r="V4" s="3428" t="s">
        <v>1773</v>
      </c>
      <c r="W4" s="3428"/>
      <c r="X4" s="1265"/>
      <c r="Y4" s="3452" t="s">
        <v>1775</v>
      </c>
      <c r="Z4" s="3453"/>
      <c r="AA4" s="3439" t="s">
        <v>1771</v>
      </c>
      <c r="AB4" s="3440" t="s">
        <v>1772</v>
      </c>
      <c r="AC4" s="3439" t="s">
        <v>1773</v>
      </c>
    </row>
    <row r="5" spans="1:29" ht="15">
      <c r="A5" s="348"/>
      <c r="B5" s="349"/>
      <c r="C5" s="3460" t="s">
        <v>1673</v>
      </c>
      <c r="D5" s="3461"/>
      <c r="E5" s="3467" t="s">
        <v>1674</v>
      </c>
      <c r="F5" s="3468"/>
      <c r="G5" s="3460" t="s">
        <v>1675</v>
      </c>
      <c r="H5" s="3461"/>
      <c r="I5" s="3460" t="s">
        <v>1676</v>
      </c>
      <c r="J5" s="3461"/>
      <c r="K5" s="537"/>
      <c r="L5" s="860"/>
      <c r="M5" s="861"/>
      <c r="N5" s="861"/>
      <c r="O5" s="861"/>
      <c r="P5" s="3448"/>
      <c r="Q5" s="3449"/>
      <c r="R5" s="3454"/>
      <c r="S5" s="3455"/>
      <c r="T5" s="3454"/>
      <c r="U5" s="3455"/>
      <c r="V5" s="3428"/>
      <c r="W5" s="3428"/>
      <c r="X5" s="1265"/>
      <c r="Y5" s="3454"/>
      <c r="Z5" s="3455"/>
      <c r="AA5" s="3440"/>
      <c r="AB5" s="3440"/>
      <c r="AC5" s="3440"/>
    </row>
    <row r="6" spans="1:29" ht="15.75" thickBot="1">
      <c r="A6" s="350"/>
      <c r="B6" s="351"/>
      <c r="C6" s="3458" t="s">
        <v>1677</v>
      </c>
      <c r="D6" s="3459"/>
      <c r="E6" s="3465" t="s">
        <v>1677</v>
      </c>
      <c r="F6" s="3466"/>
      <c r="G6" s="3458" t="s">
        <v>1677</v>
      </c>
      <c r="H6" s="3459"/>
      <c r="I6" s="3458" t="s">
        <v>1677</v>
      </c>
      <c r="J6" s="3459"/>
      <c r="K6" s="537" t="s">
        <v>1678</v>
      </c>
      <c r="L6" s="860"/>
      <c r="M6" s="861"/>
      <c r="N6" s="861"/>
      <c r="O6" s="861"/>
      <c r="P6" s="3450"/>
      <c r="Q6" s="3451"/>
      <c r="R6" s="3454"/>
      <c r="S6" s="3455"/>
      <c r="T6" s="3456"/>
      <c r="U6" s="3457"/>
      <c r="V6" s="3428"/>
      <c r="W6" s="3428"/>
      <c r="X6" s="1265"/>
      <c r="Y6" s="3456"/>
      <c r="Z6" s="3457"/>
      <c r="AA6" s="3441"/>
      <c r="AB6" s="3441"/>
      <c r="AC6" s="3441"/>
    </row>
    <row r="7" spans="1:29" s="102" customFormat="1" ht="15.75" thickBot="1">
      <c r="A7" s="352" t="s">
        <v>1679</v>
      </c>
      <c r="B7" s="353"/>
      <c r="C7" s="354">
        <f>'数据-取费表'!B2</f>
        <v>45791</v>
      </c>
      <c r="D7" s="355">
        <v>100</v>
      </c>
      <c r="E7" s="356"/>
      <c r="F7" s="357">
        <f>SUMIF(52:52,YEAR(E7)&amp;"-"&amp;MONTH(E7),53:53)</f>
        <v>0</v>
      </c>
      <c r="G7" s="356"/>
      <c r="H7" s="355">
        <f>SUMIF(52:52,YEAR(G7)&amp;"-"&amp;MONTH(G7),53:53)</f>
        <v>0</v>
      </c>
      <c r="I7" s="356"/>
      <c r="J7" s="355">
        <f>SUMIF(52:52,YEAR(I7)&amp;"-"&amp;MONTH(I7),53:53)</f>
        <v>0</v>
      </c>
      <c r="K7" s="38"/>
      <c r="L7" s="862"/>
      <c r="M7" s="863"/>
      <c r="N7" s="863"/>
      <c r="O7" s="863"/>
      <c r="P7" s="3462" t="s">
        <v>1680</v>
      </c>
      <c r="Q7" s="3464"/>
      <c r="R7" s="664" t="s">
        <v>14</v>
      </c>
      <c r="S7" s="665">
        <f t="shared" ref="S7:S15" si="0">F7</f>
        <v>0</v>
      </c>
      <c r="T7" s="664" t="s">
        <v>14</v>
      </c>
      <c r="U7" s="665">
        <f t="shared" ref="U7:U15" si="1">H7</f>
        <v>0</v>
      </c>
      <c r="V7" s="664" t="s">
        <v>14</v>
      </c>
      <c r="W7" s="665">
        <f t="shared" ref="W7:W15" si="2">J7</f>
        <v>0</v>
      </c>
      <c r="X7" s="666"/>
      <c r="Y7" s="3462" t="s">
        <v>1680</v>
      </c>
      <c r="Z7" s="346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2" t="s">
        <v>1683</v>
      </c>
      <c r="Q8" s="3463"/>
      <c r="R8" s="664" t="s">
        <v>14</v>
      </c>
      <c r="S8" s="665">
        <f t="shared" si="0"/>
        <v>100</v>
      </c>
      <c r="T8" s="664" t="s">
        <v>14</v>
      </c>
      <c r="U8" s="665">
        <f t="shared" si="1"/>
        <v>100</v>
      </c>
      <c r="V8" s="664" t="s">
        <v>14</v>
      </c>
      <c r="W8" s="665">
        <f t="shared" si="2"/>
        <v>100</v>
      </c>
      <c r="X8" s="666"/>
      <c r="Y8" s="3462" t="s">
        <v>1683</v>
      </c>
      <c r="Z8" s="346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0"/>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0"/>
      <c r="Q18" s="1263"/>
      <c r="R18" s="667"/>
      <c r="S18" s="668"/>
      <c r="T18" s="667"/>
      <c r="U18" s="668"/>
      <c r="V18" s="667"/>
      <c r="W18" s="668"/>
      <c r="X18" s="1265"/>
      <c r="Y18" s="343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0"/>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0"/>
      <c r="Q20" s="1263"/>
      <c r="R20" s="667"/>
      <c r="S20" s="668"/>
      <c r="T20" s="667"/>
      <c r="U20" s="668"/>
      <c r="V20" s="667"/>
      <c r="W20" s="668"/>
      <c r="X20" s="1265"/>
      <c r="Y20" s="343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0"/>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0"/>
      <c r="Q22" s="1263"/>
      <c r="R22" s="667"/>
      <c r="S22" s="668"/>
      <c r="T22" s="667"/>
      <c r="U22" s="668"/>
      <c r="V22" s="667"/>
      <c r="W22" s="668"/>
      <c r="X22" s="1265"/>
      <c r="Y22" s="343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0"/>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0"/>
      <c r="Q24" s="1263"/>
      <c r="R24" s="667"/>
      <c r="S24" s="668"/>
      <c r="T24" s="667"/>
      <c r="U24" s="668"/>
      <c r="V24" s="667"/>
      <c r="W24" s="668"/>
      <c r="X24" s="1265"/>
      <c r="Y24" s="34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0"/>
      <c r="Q25" s="1263">
        <f>B25</f>
        <v>111</v>
      </c>
      <c r="R25" s="667" t="s">
        <v>14</v>
      </c>
      <c r="S25" s="668">
        <f>F25</f>
        <v>100</v>
      </c>
      <c r="T25" s="667" t="s">
        <v>14</v>
      </c>
      <c r="U25" s="668">
        <f>H25</f>
        <v>100</v>
      </c>
      <c r="V25" s="667" t="s">
        <v>14</v>
      </c>
      <c r="W25" s="668">
        <f>J25</f>
        <v>100</v>
      </c>
      <c r="X25" s="1265"/>
      <c r="Y25" s="34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0"/>
      <c r="Q26" s="1263">
        <f t="shared" ref="Q26:Q40" si="11">B26</f>
        <v>111</v>
      </c>
      <c r="R26" s="667" t="s">
        <v>14</v>
      </c>
      <c r="S26" s="668">
        <f>F26</f>
        <v>100</v>
      </c>
      <c r="T26" s="667" t="s">
        <v>14</v>
      </c>
      <c r="U26" s="668">
        <f>H26</f>
        <v>100</v>
      </c>
      <c r="V26" s="667" t="s">
        <v>14</v>
      </c>
      <c r="W26" s="668">
        <f>J26</f>
        <v>100</v>
      </c>
      <c r="X26" s="1265"/>
      <c r="Y26" s="34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0"/>
      <c r="Q27" s="530">
        <f t="shared" si="11"/>
        <v>111</v>
      </c>
      <c r="R27" s="664" t="s">
        <v>14</v>
      </c>
      <c r="S27" s="665">
        <f>F27</f>
        <v>100</v>
      </c>
      <c r="T27" s="664" t="s">
        <v>14</v>
      </c>
      <c r="U27" s="665">
        <f>H27</f>
        <v>100</v>
      </c>
      <c r="V27" s="664" t="s">
        <v>14</v>
      </c>
      <c r="W27" s="665">
        <f>J27</f>
        <v>100</v>
      </c>
      <c r="X27" s="666"/>
      <c r="Y27" s="34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0"/>
      <c r="Q28" s="1263">
        <f t="shared" si="11"/>
        <v>111</v>
      </c>
      <c r="R28" s="667" t="s">
        <v>14</v>
      </c>
      <c r="S28" s="668">
        <f t="shared" ref="S28:S40" si="12">F28</f>
        <v>100</v>
      </c>
      <c r="T28" s="667" t="s">
        <v>14</v>
      </c>
      <c r="U28" s="668">
        <f t="shared" ref="U28:U40" si="13">H28</f>
        <v>100</v>
      </c>
      <c r="V28" s="667" t="s">
        <v>14</v>
      </c>
      <c r="W28" s="668">
        <f t="shared" ref="W28:W40" si="14">J28</f>
        <v>100</v>
      </c>
      <c r="X28" s="1265"/>
      <c r="Y28" s="343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4"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4"/>
      <c r="Q33" s="1263" t="str">
        <f t="shared" si="11"/>
        <v>成新度</v>
      </c>
      <c r="R33" s="667" t="s">
        <v>14</v>
      </c>
      <c r="S33" s="668" t="e">
        <f t="shared" si="12"/>
        <v>#N/A</v>
      </c>
      <c r="T33" s="667" t="s">
        <v>14</v>
      </c>
      <c r="U33" s="668" t="e">
        <f t="shared" si="13"/>
        <v>#N/A</v>
      </c>
      <c r="V33" s="667" t="s">
        <v>14</v>
      </c>
      <c r="W33" s="668" t="e">
        <f t="shared" si="14"/>
        <v>#N/A</v>
      </c>
      <c r="X33" s="1265"/>
      <c r="Y33" s="343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4"/>
      <c r="Q36" s="1263" t="str">
        <f t="shared" si="11"/>
        <v>内部装修</v>
      </c>
      <c r="R36" s="667" t="s">
        <v>14</v>
      </c>
      <c r="S36" s="668">
        <f t="shared" si="12"/>
        <v>100</v>
      </c>
      <c r="T36" s="667" t="s">
        <v>14</v>
      </c>
      <c r="U36" s="668">
        <f t="shared" si="13"/>
        <v>100</v>
      </c>
      <c r="V36" s="667" t="s">
        <v>14</v>
      </c>
      <c r="W36" s="668">
        <f t="shared" si="14"/>
        <v>100</v>
      </c>
      <c r="X36" s="1265"/>
      <c r="Y36" s="343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7" t="str">
        <f>A41</f>
        <v>成交单价（元/平方米）</v>
      </c>
      <c r="Q41" s="3427"/>
      <c r="R41" s="3428">
        <f>E41</f>
        <v>0</v>
      </c>
      <c r="S41" s="3428"/>
      <c r="T41" s="3428">
        <f>G41</f>
        <v>0</v>
      </c>
      <c r="U41" s="3428"/>
      <c r="V41" s="3428">
        <f>I41</f>
        <v>0</v>
      </c>
      <c r="W41" s="342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7" t="str">
        <f>A42</f>
        <v>比较价值（元/平方米）</v>
      </c>
      <c r="Q42" s="342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受贵公司委托，我公司对北京市朝阳区芍药居北里101号1幢5层601房地产抵押价值进行了预评估。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估价对象为北京市朝阳区芍药居北里101号1幢5层601房地产，为北京亦蜂亦客科技有限公司所有。根据《国有土地使用证》[]，估价对象（分摊）出让国有建设用地使用权面积为0平方米，建筑面积为3797.1平方米。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42" t="s">
        <v>1770</v>
      </c>
      <c r="D4" s="3443"/>
      <c r="E4" s="3444" t="s">
        <v>1771</v>
      </c>
      <c r="F4" s="3445"/>
      <c r="G4" s="3442" t="s">
        <v>1772</v>
      </c>
      <c r="H4" s="3443"/>
      <c r="I4" s="3442" t="s">
        <v>1773</v>
      </c>
      <c r="J4" s="3443"/>
      <c r="K4" s="537" t="s">
        <v>1774</v>
      </c>
      <c r="L4" s="2484"/>
      <c r="M4" s="2485"/>
      <c r="N4" s="2485"/>
      <c r="O4" s="2485"/>
      <c r="P4" s="3446" t="s">
        <v>1775</v>
      </c>
      <c r="Q4" s="3447"/>
      <c r="R4" s="3452" t="s">
        <v>1771</v>
      </c>
      <c r="S4" s="3453"/>
      <c r="T4" s="3452" t="s">
        <v>1772</v>
      </c>
      <c r="U4" s="3453"/>
      <c r="V4" s="3428" t="s">
        <v>1773</v>
      </c>
      <c r="W4" s="3428"/>
      <c r="X4" s="1265"/>
      <c r="Y4" s="3452" t="s">
        <v>1775</v>
      </c>
      <c r="Z4" s="3453"/>
      <c r="AA4" s="3439" t="s">
        <v>1771</v>
      </c>
      <c r="AB4" s="3440" t="s">
        <v>1772</v>
      </c>
      <c r="AC4" s="3439" t="s">
        <v>1773</v>
      </c>
    </row>
    <row r="5" spans="1:29" ht="15">
      <c r="A5" s="348"/>
      <c r="B5" s="349"/>
      <c r="C5" s="3460" t="s">
        <v>1673</v>
      </c>
      <c r="D5" s="3461"/>
      <c r="E5" s="3467" t="s">
        <v>1674</v>
      </c>
      <c r="F5" s="3468"/>
      <c r="G5" s="3460" t="s">
        <v>1675</v>
      </c>
      <c r="H5" s="3461"/>
      <c r="I5" s="3460" t="s">
        <v>1676</v>
      </c>
      <c r="J5" s="3461"/>
      <c r="K5" s="537"/>
      <c r="L5" s="2484"/>
      <c r="M5" s="2485"/>
      <c r="N5" s="2485"/>
      <c r="O5" s="2485"/>
      <c r="P5" s="3448"/>
      <c r="Q5" s="3449"/>
      <c r="R5" s="3454"/>
      <c r="S5" s="3455"/>
      <c r="T5" s="3454"/>
      <c r="U5" s="3455"/>
      <c r="V5" s="3428"/>
      <c r="W5" s="3428"/>
      <c r="X5" s="1265"/>
      <c r="Y5" s="3454"/>
      <c r="Z5" s="3455"/>
      <c r="AA5" s="3440"/>
      <c r="AB5" s="3440"/>
      <c r="AC5" s="3440"/>
    </row>
    <row r="6" spans="1:29" ht="15.75" thickBot="1">
      <c r="A6" s="350"/>
      <c r="B6" s="351"/>
      <c r="C6" s="3458" t="s">
        <v>1677</v>
      </c>
      <c r="D6" s="3459"/>
      <c r="E6" s="3465" t="s">
        <v>1677</v>
      </c>
      <c r="F6" s="3466"/>
      <c r="G6" s="3458" t="s">
        <v>1677</v>
      </c>
      <c r="H6" s="3459"/>
      <c r="I6" s="3458" t="s">
        <v>1677</v>
      </c>
      <c r="J6" s="3459"/>
      <c r="K6" s="537" t="s">
        <v>1678</v>
      </c>
      <c r="L6" s="2484"/>
      <c r="M6" s="2485"/>
      <c r="N6" s="2485"/>
      <c r="O6" s="2485"/>
      <c r="P6" s="3450"/>
      <c r="Q6" s="3451"/>
      <c r="R6" s="3454"/>
      <c r="S6" s="3455"/>
      <c r="T6" s="3456"/>
      <c r="U6" s="3457"/>
      <c r="V6" s="3428"/>
      <c r="W6" s="3428"/>
      <c r="X6" s="1265"/>
      <c r="Y6" s="3456"/>
      <c r="Z6" s="3457"/>
      <c r="AA6" s="3441"/>
      <c r="AB6" s="3441"/>
      <c r="AC6" s="3441"/>
    </row>
    <row r="7" spans="1:29" s="102" customFormat="1" ht="15.75" thickBot="1">
      <c r="A7" s="352" t="s">
        <v>1679</v>
      </c>
      <c r="B7" s="353"/>
      <c r="C7" s="354">
        <f>'数据-取费表'!B2</f>
        <v>45791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62" t="s">
        <v>1680</v>
      </c>
      <c r="Q7" s="3464"/>
      <c r="R7" s="664" t="s">
        <v>14</v>
      </c>
      <c r="S7" s="665">
        <f t="shared" ref="S7:S14" si="0">F7</f>
        <v>0</v>
      </c>
      <c r="T7" s="664" t="s">
        <v>14</v>
      </c>
      <c r="U7" s="665">
        <f t="shared" ref="U7:U14" si="1">H7</f>
        <v>0</v>
      </c>
      <c r="V7" s="664" t="s">
        <v>14</v>
      </c>
      <c r="W7" s="665">
        <f t="shared" ref="W7:W14" si="2">J7</f>
        <v>0</v>
      </c>
      <c r="X7" s="666"/>
      <c r="Y7" s="3462" t="s">
        <v>1680</v>
      </c>
      <c r="Z7" s="346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62" t="s">
        <v>1683</v>
      </c>
      <c r="Q8" s="3463"/>
      <c r="R8" s="664" t="s">
        <v>14</v>
      </c>
      <c r="S8" s="665">
        <f t="shared" si="0"/>
        <v>100</v>
      </c>
      <c r="T8" s="664" t="s">
        <v>14</v>
      </c>
      <c r="U8" s="665">
        <f t="shared" si="1"/>
        <v>100</v>
      </c>
      <c r="V8" s="664" t="s">
        <v>14</v>
      </c>
      <c r="W8" s="665">
        <f t="shared" si="2"/>
        <v>100</v>
      </c>
      <c r="X8" s="666"/>
      <c r="Y8" s="3462" t="s">
        <v>1683</v>
      </c>
      <c r="Z8" s="346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7"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7"/>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7"/>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7"/>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0"/>
      <c r="Q15" s="1263"/>
      <c r="R15" s="667"/>
      <c r="S15" s="668"/>
      <c r="T15" s="667"/>
      <c r="U15" s="668"/>
      <c r="V15" s="667"/>
      <c r="W15" s="668"/>
      <c r="X15" s="1265"/>
      <c r="Y15" s="343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0"/>
      <c r="Q17" s="1263"/>
      <c r="R17" s="667"/>
      <c r="S17" s="668"/>
      <c r="T17" s="667"/>
      <c r="U17" s="668"/>
      <c r="V17" s="667"/>
      <c r="W17" s="668"/>
      <c r="X17" s="1265"/>
      <c r="Y17" s="343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0"/>
      <c r="Q19" s="1263"/>
      <c r="R19" s="667"/>
      <c r="S19" s="668"/>
      <c r="T19" s="667"/>
      <c r="U19" s="668"/>
      <c r="V19" s="667"/>
      <c r="W19" s="668"/>
      <c r="X19" s="1265"/>
      <c r="Y19" s="343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0"/>
      <c r="Q21" s="1263"/>
      <c r="R21" s="667"/>
      <c r="S21" s="668"/>
      <c r="T21" s="667"/>
      <c r="U21" s="668"/>
      <c r="V21" s="667"/>
      <c r="W21" s="668"/>
      <c r="X21" s="1265"/>
      <c r="Y21" s="343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0"/>
      <c r="Q24" s="1263">
        <f t="shared" ref="Q24:Q36"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4"/>
      <c r="Q28" s="1263" t="str">
        <f t="shared" si="11"/>
        <v>公共部分装修</v>
      </c>
      <c r="R28" s="667" t="s">
        <v>14</v>
      </c>
      <c r="S28" s="668">
        <f t="shared" si="12"/>
        <v>100</v>
      </c>
      <c r="T28" s="667" t="s">
        <v>14</v>
      </c>
      <c r="U28" s="668">
        <f t="shared" si="13"/>
        <v>100</v>
      </c>
      <c r="V28" s="667" t="s">
        <v>14</v>
      </c>
      <c r="W28" s="668">
        <f t="shared" si="14"/>
        <v>100</v>
      </c>
      <c r="X28" s="1265"/>
      <c r="Y28" s="34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4"/>
      <c r="Q29" s="1263" t="str">
        <f t="shared" si="11"/>
        <v>成新率</v>
      </c>
      <c r="R29" s="667" t="s">
        <v>14</v>
      </c>
      <c r="S29" s="668" t="e">
        <f t="shared" si="12"/>
        <v>#N/A</v>
      </c>
      <c r="T29" s="667" t="s">
        <v>14</v>
      </c>
      <c r="U29" s="668" t="e">
        <f t="shared" si="13"/>
        <v>#N/A</v>
      </c>
      <c r="V29" s="667" t="s">
        <v>14</v>
      </c>
      <c r="W29" s="668" t="e">
        <f t="shared" si="14"/>
        <v>#N/A</v>
      </c>
      <c r="X29" s="1265"/>
      <c r="Y29" s="34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4"/>
      <c r="Q30" s="1263" t="str">
        <f t="shared" si="11"/>
        <v>物业等级</v>
      </c>
      <c r="R30" s="667" t="s">
        <v>14</v>
      </c>
      <c r="S30" s="668">
        <f t="shared" si="12"/>
        <v>100</v>
      </c>
      <c r="T30" s="667" t="s">
        <v>14</v>
      </c>
      <c r="U30" s="668">
        <f t="shared" si="13"/>
        <v>100</v>
      </c>
      <c r="V30" s="667" t="s">
        <v>14</v>
      </c>
      <c r="W30" s="668">
        <f t="shared" si="14"/>
        <v>100</v>
      </c>
      <c r="X30" s="1265"/>
      <c r="Y30" s="34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4" t="s">
        <v>1696</v>
      </c>
      <c r="Q32" s="1263" t="str">
        <f t="shared" si="11"/>
        <v>车位类型</v>
      </c>
      <c r="R32" s="667" t="s">
        <v>14</v>
      </c>
      <c r="S32" s="668">
        <f t="shared" si="12"/>
        <v>100</v>
      </c>
      <c r="T32" s="667" t="s">
        <v>14</v>
      </c>
      <c r="U32" s="668">
        <f t="shared" si="13"/>
        <v>100</v>
      </c>
      <c r="V32" s="667" t="s">
        <v>14</v>
      </c>
      <c r="W32" s="668">
        <f t="shared" si="14"/>
        <v>100</v>
      </c>
      <c r="X32" s="1265"/>
      <c r="Y32" s="34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4"/>
      <c r="Q33" s="1263" t="str">
        <f t="shared" si="11"/>
        <v>是否直接入户</v>
      </c>
      <c r="R33" s="667" t="s">
        <v>14</v>
      </c>
      <c r="S33" s="668">
        <f t="shared" si="12"/>
        <v>100</v>
      </c>
      <c r="T33" s="667" t="s">
        <v>14</v>
      </c>
      <c r="U33" s="668">
        <f t="shared" si="13"/>
        <v>100</v>
      </c>
      <c r="V33" s="667" t="s">
        <v>14</v>
      </c>
      <c r="W33" s="668">
        <f t="shared" si="14"/>
        <v>100</v>
      </c>
      <c r="X33" s="1265"/>
      <c r="Y33" s="34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4"/>
      <c r="Q36" s="1263">
        <f t="shared" si="11"/>
        <v>111</v>
      </c>
      <c r="R36" s="667" t="s">
        <v>14</v>
      </c>
      <c r="S36" s="668">
        <f t="shared" si="12"/>
        <v>100</v>
      </c>
      <c r="T36" s="667" t="s">
        <v>14</v>
      </c>
      <c r="U36" s="668">
        <f t="shared" si="13"/>
        <v>100</v>
      </c>
      <c r="V36" s="667" t="s">
        <v>14</v>
      </c>
      <c r="W36" s="668">
        <f t="shared" si="14"/>
        <v>100</v>
      </c>
      <c r="X36" s="1265"/>
      <c r="Y36" s="343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2"/>
      <c r="M37" s="2485"/>
      <c r="N37" s="2485"/>
      <c r="O37" s="2485"/>
      <c r="P37" s="3427" t="str">
        <f>A37</f>
        <v>成交单价</v>
      </c>
      <c r="Q37" s="3427"/>
      <c r="R37" s="3428">
        <f>E37</f>
        <v>0</v>
      </c>
      <c r="S37" s="3428"/>
      <c r="T37" s="3428">
        <f>G37</f>
        <v>0</v>
      </c>
      <c r="U37" s="3428"/>
      <c r="V37" s="3428">
        <f>I37</f>
        <v>0</v>
      </c>
      <c r="W37" s="342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27" t="str">
        <f>A38</f>
        <v>比较价值（元/平方米）</v>
      </c>
      <c r="Q38" s="342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24" t="str">
        <f>A39</f>
        <v>估价对象XX用房的比较价值（楼面单价，元/平方米）</v>
      </c>
      <c r="Q39" s="3425"/>
      <c r="R39" s="3485" t="e">
        <f>IF(F1="售价",ROUND(IF(D38="简单平均",AVERAGE(R38:W38),R38*F38+T38*H38+V38*J38),0),ROUND(IF(D38="简单平均",AVERAGE(R38:V38),R38*F38+T38*H38+V38*J38),1))</f>
        <v>#DIV/0!</v>
      </c>
      <c r="S39" s="3485"/>
      <c r="T39" s="3485"/>
      <c r="U39" s="3485"/>
      <c r="V39" s="3485"/>
      <c r="W39" s="348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42" t="s">
        <v>1770</v>
      </c>
      <c r="D4" s="3443"/>
      <c r="E4" s="3444" t="s">
        <v>1771</v>
      </c>
      <c r="F4" s="3445"/>
      <c r="G4" s="3442" t="s">
        <v>1772</v>
      </c>
      <c r="H4" s="3443"/>
      <c r="I4" s="3442" t="s">
        <v>1773</v>
      </c>
      <c r="J4" s="3443"/>
      <c r="K4" s="537" t="s">
        <v>1774</v>
      </c>
      <c r="L4" s="2484"/>
      <c r="M4" s="2485"/>
      <c r="N4" s="2485"/>
      <c r="O4" s="2485"/>
      <c r="P4" s="3446" t="s">
        <v>1775</v>
      </c>
      <c r="Q4" s="3447"/>
      <c r="R4" s="3452" t="s">
        <v>1771</v>
      </c>
      <c r="S4" s="3453"/>
      <c r="T4" s="3452" t="s">
        <v>1772</v>
      </c>
      <c r="U4" s="3453"/>
      <c r="V4" s="3428" t="s">
        <v>1773</v>
      </c>
      <c r="W4" s="3428"/>
      <c r="X4" s="1265"/>
      <c r="Y4" s="3452" t="s">
        <v>1775</v>
      </c>
      <c r="Z4" s="3453"/>
      <c r="AA4" s="3439" t="s">
        <v>1771</v>
      </c>
      <c r="AB4" s="3440" t="s">
        <v>1772</v>
      </c>
      <c r="AC4" s="3439" t="s">
        <v>1773</v>
      </c>
    </row>
    <row r="5" spans="1:29" ht="15">
      <c r="A5" s="348"/>
      <c r="B5" s="349"/>
      <c r="C5" s="3460" t="s">
        <v>1673</v>
      </c>
      <c r="D5" s="3461"/>
      <c r="E5" s="3467" t="s">
        <v>1674</v>
      </c>
      <c r="F5" s="3468"/>
      <c r="G5" s="3460" t="s">
        <v>1675</v>
      </c>
      <c r="H5" s="3461"/>
      <c r="I5" s="3460" t="s">
        <v>1676</v>
      </c>
      <c r="J5" s="3461"/>
      <c r="K5" s="537"/>
      <c r="L5" s="2484"/>
      <c r="M5" s="2485"/>
      <c r="N5" s="2485"/>
      <c r="O5" s="2485"/>
      <c r="P5" s="3448"/>
      <c r="Q5" s="3449"/>
      <c r="R5" s="3454"/>
      <c r="S5" s="3455"/>
      <c r="T5" s="3454"/>
      <c r="U5" s="3455"/>
      <c r="V5" s="3428"/>
      <c r="W5" s="3428"/>
      <c r="X5" s="1265"/>
      <c r="Y5" s="3454"/>
      <c r="Z5" s="3455"/>
      <c r="AA5" s="3440"/>
      <c r="AB5" s="3440"/>
      <c r="AC5" s="3440"/>
    </row>
    <row r="6" spans="1:29" ht="15.75" thickBot="1">
      <c r="A6" s="350"/>
      <c r="B6" s="351"/>
      <c r="C6" s="3458" t="s">
        <v>1677</v>
      </c>
      <c r="D6" s="3459"/>
      <c r="E6" s="3465" t="s">
        <v>1677</v>
      </c>
      <c r="F6" s="3466"/>
      <c r="G6" s="3458" t="s">
        <v>1677</v>
      </c>
      <c r="H6" s="3459"/>
      <c r="I6" s="3458" t="s">
        <v>1677</v>
      </c>
      <c r="J6" s="3459"/>
      <c r="K6" s="537" t="s">
        <v>1678</v>
      </c>
      <c r="L6" s="2484"/>
      <c r="M6" s="2485"/>
      <c r="N6" s="2485"/>
      <c r="O6" s="2485"/>
      <c r="P6" s="3450"/>
      <c r="Q6" s="3451"/>
      <c r="R6" s="3454"/>
      <c r="S6" s="3455"/>
      <c r="T6" s="3456"/>
      <c r="U6" s="3457"/>
      <c r="V6" s="3428"/>
      <c r="W6" s="3428"/>
      <c r="X6" s="1265"/>
      <c r="Y6" s="3456"/>
      <c r="Z6" s="3457"/>
      <c r="AA6" s="3441"/>
      <c r="AB6" s="3441"/>
      <c r="AC6" s="3441"/>
    </row>
    <row r="7" spans="1:29" s="102" customFormat="1" ht="15.75" thickBot="1">
      <c r="A7" s="352" t="s">
        <v>1679</v>
      </c>
      <c r="B7" s="353"/>
      <c r="C7" s="354">
        <f>'数据-取费表'!B2</f>
        <v>45791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62" t="s">
        <v>1680</v>
      </c>
      <c r="Q7" s="3464"/>
      <c r="R7" s="664" t="s">
        <v>14</v>
      </c>
      <c r="S7" s="665">
        <f t="shared" ref="S7:S14" si="0">F7</f>
        <v>0</v>
      </c>
      <c r="T7" s="664" t="s">
        <v>14</v>
      </c>
      <c r="U7" s="665">
        <f t="shared" ref="U7:U14" si="1">H7</f>
        <v>0</v>
      </c>
      <c r="V7" s="664" t="s">
        <v>14</v>
      </c>
      <c r="W7" s="665">
        <f t="shared" ref="W7:W14" si="2">J7</f>
        <v>0</v>
      </c>
      <c r="X7" s="666"/>
      <c r="Y7" s="3462" t="s">
        <v>1680</v>
      </c>
      <c r="Z7" s="346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62" t="s">
        <v>1683</v>
      </c>
      <c r="Q8" s="3463"/>
      <c r="R8" s="664" t="s">
        <v>14</v>
      </c>
      <c r="S8" s="665">
        <f t="shared" si="0"/>
        <v>100</v>
      </c>
      <c r="T8" s="664" t="s">
        <v>14</v>
      </c>
      <c r="U8" s="665">
        <f t="shared" si="1"/>
        <v>100</v>
      </c>
      <c r="V8" s="664" t="s">
        <v>14</v>
      </c>
      <c r="W8" s="665">
        <f t="shared" si="2"/>
        <v>100</v>
      </c>
      <c r="X8" s="666"/>
      <c r="Y8" s="3462" t="s">
        <v>1683</v>
      </c>
      <c r="Z8" s="346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7"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7"/>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7"/>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7"/>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7"/>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0"/>
      <c r="Q15" s="1263"/>
      <c r="R15" s="667"/>
      <c r="S15" s="668"/>
      <c r="T15" s="667"/>
      <c r="U15" s="668"/>
      <c r="V15" s="667"/>
      <c r="W15" s="668"/>
      <c r="X15" s="1265"/>
      <c r="Y15" s="343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0"/>
      <c r="Q17" s="1263"/>
      <c r="R17" s="667"/>
      <c r="S17" s="668"/>
      <c r="T17" s="667"/>
      <c r="U17" s="668"/>
      <c r="V17" s="667"/>
      <c r="W17" s="668"/>
      <c r="X17" s="1265"/>
      <c r="Y17" s="343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0"/>
      <c r="Q19" s="1263"/>
      <c r="R19" s="667"/>
      <c r="S19" s="668"/>
      <c r="T19" s="667"/>
      <c r="U19" s="668"/>
      <c r="V19" s="667"/>
      <c r="W19" s="668"/>
      <c r="X19" s="1265"/>
      <c r="Y19" s="343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0"/>
      <c r="Q21" s="1263"/>
      <c r="R21" s="667"/>
      <c r="S21" s="668"/>
      <c r="T21" s="667"/>
      <c r="U21" s="668"/>
      <c r="V21" s="667"/>
      <c r="W21" s="668"/>
      <c r="X21" s="1265"/>
      <c r="Y21" s="343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0"/>
      <c r="Q24" s="1263">
        <f t="shared" ref="Q24:Q34"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4"/>
      <c r="Q28" s="1263" t="str">
        <f t="shared" si="11"/>
        <v>物业等级</v>
      </c>
      <c r="R28" s="667" t="s">
        <v>14</v>
      </c>
      <c r="S28" s="668">
        <f t="shared" si="12"/>
        <v>100</v>
      </c>
      <c r="T28" s="667" t="s">
        <v>14</v>
      </c>
      <c r="U28" s="668">
        <f t="shared" si="13"/>
        <v>100</v>
      </c>
      <c r="V28" s="667" t="s">
        <v>14</v>
      </c>
      <c r="W28" s="668">
        <f t="shared" si="14"/>
        <v>100</v>
      </c>
      <c r="X28" s="1265"/>
      <c r="Y28" s="34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4"/>
      <c r="Q29" s="1263" t="str">
        <f t="shared" si="11"/>
        <v>有无电梯</v>
      </c>
      <c r="R29" s="667" t="s">
        <v>14</v>
      </c>
      <c r="S29" s="668">
        <f t="shared" si="12"/>
        <v>100</v>
      </c>
      <c r="T29" s="667" t="s">
        <v>14</v>
      </c>
      <c r="U29" s="668">
        <f t="shared" si="13"/>
        <v>100</v>
      </c>
      <c r="V29" s="667" t="s">
        <v>14</v>
      </c>
      <c r="W29" s="668">
        <f t="shared" si="14"/>
        <v>100</v>
      </c>
      <c r="X29" s="1265"/>
      <c r="Y29" s="34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4"/>
      <c r="Q30" s="1263" t="str">
        <f t="shared" si="11"/>
        <v>建筑面积</v>
      </c>
      <c r="R30" s="667" t="s">
        <v>14</v>
      </c>
      <c r="S30" s="668" t="e">
        <f t="shared" si="12"/>
        <v>#N/A</v>
      </c>
      <c r="T30" s="667" t="s">
        <v>14</v>
      </c>
      <c r="U30" s="668" t="e">
        <f t="shared" si="13"/>
        <v>#N/A</v>
      </c>
      <c r="V30" s="667" t="s">
        <v>14</v>
      </c>
      <c r="W30" s="668" t="e">
        <f t="shared" si="14"/>
        <v>#N/A</v>
      </c>
      <c r="X30" s="1265"/>
      <c r="Y30" s="34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4" t="s">
        <v>1696</v>
      </c>
      <c r="Q32" s="1263">
        <f t="shared" si="11"/>
        <v>111</v>
      </c>
      <c r="R32" s="667" t="s">
        <v>14</v>
      </c>
      <c r="S32" s="668">
        <f t="shared" si="12"/>
        <v>100</v>
      </c>
      <c r="T32" s="667" t="s">
        <v>14</v>
      </c>
      <c r="U32" s="668">
        <f t="shared" si="13"/>
        <v>100</v>
      </c>
      <c r="V32" s="667" t="s">
        <v>14</v>
      </c>
      <c r="W32" s="668">
        <f t="shared" si="14"/>
        <v>100</v>
      </c>
      <c r="X32" s="1265"/>
      <c r="Y32" s="34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4"/>
      <c r="Q33" s="1263">
        <f t="shared" si="11"/>
        <v>111</v>
      </c>
      <c r="R33" s="667" t="s">
        <v>14</v>
      </c>
      <c r="S33" s="668">
        <f t="shared" si="12"/>
        <v>100</v>
      </c>
      <c r="T33" s="667" t="s">
        <v>14</v>
      </c>
      <c r="U33" s="668">
        <f t="shared" si="13"/>
        <v>100</v>
      </c>
      <c r="V33" s="667" t="s">
        <v>14</v>
      </c>
      <c r="W33" s="668">
        <f t="shared" si="14"/>
        <v>100</v>
      </c>
      <c r="X33" s="1265"/>
      <c r="Y33" s="34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27" t="str">
        <f>A35</f>
        <v>成交单价（元/平方米）</v>
      </c>
      <c r="Q35" s="3427"/>
      <c r="R35" s="3428">
        <f>E35</f>
        <v>0</v>
      </c>
      <c r="S35" s="3428"/>
      <c r="T35" s="3428">
        <f>G35</f>
        <v>0</v>
      </c>
      <c r="U35" s="3428"/>
      <c r="V35" s="3428">
        <f>I35</f>
        <v>0</v>
      </c>
      <c r="W35" s="342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27" t="str">
        <f>A36</f>
        <v>比较价值（元/平方米）</v>
      </c>
      <c r="Q36" s="342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24" t="str">
        <f>A37</f>
        <v>估价对象XX用房的比较价值（楼面单价，元/平方米）</v>
      </c>
      <c r="Q37" s="3425"/>
      <c r="R37" s="3485" t="e">
        <f>IF(F1="售价",ROUND(IF(D36="简单平均",AVERAGE(R36:W36),R36*F36+T36*H36+V36*J36),0),ROUND(IF(D36="简单平均",AVERAGE(R36:V36),R36*F36+T36*H36+V36*J36),1))</f>
        <v>#DIV/0!</v>
      </c>
      <c r="S37" s="3485"/>
      <c r="T37" s="3485"/>
      <c r="U37" s="3485"/>
      <c r="V37" s="3485"/>
      <c r="W37" s="348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7"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42" t="s">
        <v>1770</v>
      </c>
      <c r="D4" s="3443"/>
      <c r="E4" s="3444" t="s">
        <v>1771</v>
      </c>
      <c r="F4" s="3445"/>
      <c r="G4" s="3442" t="s">
        <v>1772</v>
      </c>
      <c r="H4" s="3443"/>
      <c r="I4" s="3442" t="s">
        <v>1773</v>
      </c>
      <c r="J4" s="3443"/>
      <c r="K4" s="537" t="s">
        <v>1774</v>
      </c>
      <c r="L4" s="2484"/>
      <c r="M4" s="2485"/>
      <c r="N4" s="2485"/>
      <c r="O4" s="2485"/>
      <c r="P4" s="3446" t="s">
        <v>1775</v>
      </c>
      <c r="Q4" s="3447"/>
      <c r="R4" s="3452" t="s">
        <v>1771</v>
      </c>
      <c r="S4" s="3453"/>
      <c r="T4" s="3452" t="s">
        <v>1772</v>
      </c>
      <c r="U4" s="3453"/>
      <c r="V4" s="3428" t="s">
        <v>1773</v>
      </c>
      <c r="W4" s="3428"/>
      <c r="X4" s="1265"/>
      <c r="Y4" s="3452" t="s">
        <v>1775</v>
      </c>
      <c r="Z4" s="3453"/>
      <c r="AA4" s="3439" t="s">
        <v>1771</v>
      </c>
      <c r="AB4" s="3440" t="s">
        <v>1772</v>
      </c>
      <c r="AC4" s="3439" t="s">
        <v>1773</v>
      </c>
    </row>
    <row r="5" spans="1:29" ht="15">
      <c r="A5" s="348"/>
      <c r="B5" s="349"/>
      <c r="C5" s="3460" t="s">
        <v>1673</v>
      </c>
      <c r="D5" s="3461"/>
      <c r="E5" s="3467" t="s">
        <v>1674</v>
      </c>
      <c r="F5" s="3468"/>
      <c r="G5" s="3460" t="s">
        <v>1675</v>
      </c>
      <c r="H5" s="3461"/>
      <c r="I5" s="3460" t="s">
        <v>1676</v>
      </c>
      <c r="J5" s="3461"/>
      <c r="K5" s="537"/>
      <c r="L5" s="2484"/>
      <c r="M5" s="2485"/>
      <c r="N5" s="2485"/>
      <c r="O5" s="2485"/>
      <c r="P5" s="3448"/>
      <c r="Q5" s="3449"/>
      <c r="R5" s="3454"/>
      <c r="S5" s="3455"/>
      <c r="T5" s="3454"/>
      <c r="U5" s="3455"/>
      <c r="V5" s="3428"/>
      <c r="W5" s="3428"/>
      <c r="X5" s="1265"/>
      <c r="Y5" s="3454"/>
      <c r="Z5" s="3455"/>
      <c r="AA5" s="3440"/>
      <c r="AB5" s="3440"/>
      <c r="AC5" s="3440"/>
    </row>
    <row r="6" spans="1:29" ht="15.75" thickBot="1">
      <c r="A6" s="350"/>
      <c r="B6" s="351"/>
      <c r="C6" s="3458" t="s">
        <v>1677</v>
      </c>
      <c r="D6" s="3459"/>
      <c r="E6" s="3465" t="s">
        <v>1677</v>
      </c>
      <c r="F6" s="3466"/>
      <c r="G6" s="3458" t="s">
        <v>1677</v>
      </c>
      <c r="H6" s="3459"/>
      <c r="I6" s="3458" t="s">
        <v>1677</v>
      </c>
      <c r="J6" s="3459"/>
      <c r="K6" s="537" t="s">
        <v>1678</v>
      </c>
      <c r="L6" s="2484"/>
      <c r="M6" s="2485"/>
      <c r="N6" s="2485"/>
      <c r="O6" s="2485"/>
      <c r="P6" s="3450"/>
      <c r="Q6" s="3451"/>
      <c r="R6" s="3454"/>
      <c r="S6" s="3455"/>
      <c r="T6" s="3456"/>
      <c r="U6" s="3457"/>
      <c r="V6" s="3428"/>
      <c r="W6" s="3428"/>
      <c r="X6" s="1265"/>
      <c r="Y6" s="3456"/>
      <c r="Z6" s="3457"/>
      <c r="AA6" s="3441"/>
      <c r="AB6" s="3441"/>
      <c r="AC6" s="3441"/>
    </row>
    <row r="7" spans="1:29" s="102" customFormat="1" ht="15.75" thickBot="1">
      <c r="A7" s="352" t="s">
        <v>1679</v>
      </c>
      <c r="B7" s="353"/>
      <c r="C7" s="354">
        <f>'数据-取费表'!B2</f>
        <v>45791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62" t="s">
        <v>1680</v>
      </c>
      <c r="Q7" s="3464"/>
      <c r="R7" s="664" t="s">
        <v>14</v>
      </c>
      <c r="S7" s="665">
        <f t="shared" ref="S7:S15" si="0">F7</f>
        <v>0</v>
      </c>
      <c r="T7" s="664" t="s">
        <v>14</v>
      </c>
      <c r="U7" s="665">
        <f t="shared" ref="U7:U15" si="1">H7</f>
        <v>0</v>
      </c>
      <c r="V7" s="664" t="s">
        <v>14</v>
      </c>
      <c r="W7" s="665">
        <f t="shared" ref="W7:W15" si="2">J7</f>
        <v>0</v>
      </c>
      <c r="X7" s="666"/>
      <c r="Y7" s="3462" t="s">
        <v>1680</v>
      </c>
      <c r="Z7" s="346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62" t="s">
        <v>1683</v>
      </c>
      <c r="Q8" s="3463"/>
      <c r="R8" s="664" t="s">
        <v>14</v>
      </c>
      <c r="S8" s="665">
        <f t="shared" si="0"/>
        <v>0</v>
      </c>
      <c r="T8" s="664" t="s">
        <v>14</v>
      </c>
      <c r="U8" s="665">
        <f t="shared" si="1"/>
        <v>0</v>
      </c>
      <c r="V8" s="664" t="s">
        <v>14</v>
      </c>
      <c r="W8" s="665">
        <f t="shared" si="2"/>
        <v>0</v>
      </c>
      <c r="X8" s="666"/>
      <c r="Y8" s="3462" t="s">
        <v>1683</v>
      </c>
      <c r="Z8" s="346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7"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427"/>
      <c r="Q10" s="530" t="str">
        <f t="shared" si="6"/>
        <v>土地使用年限（年）</v>
      </c>
      <c r="R10" s="664" t="s">
        <v>14</v>
      </c>
      <c r="S10" s="665">
        <f t="shared" si="0"/>
        <v>113</v>
      </c>
      <c r="T10" s="664" t="s">
        <v>14</v>
      </c>
      <c r="U10" s="665">
        <f t="shared" si="1"/>
        <v>113</v>
      </c>
      <c r="V10" s="664" t="s">
        <v>14</v>
      </c>
      <c r="W10" s="665">
        <f t="shared" si="2"/>
        <v>113</v>
      </c>
      <c r="X10" s="666"/>
      <c r="Y10" s="3302"/>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7"/>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7"/>
      <c r="Q12" s="530" t="str">
        <f t="shared" si="6"/>
        <v>配建</v>
      </c>
      <c r="R12" s="664" t="s">
        <v>14</v>
      </c>
      <c r="S12" s="665">
        <f t="shared" si="0"/>
        <v>100</v>
      </c>
      <c r="T12" s="664" t="s">
        <v>14</v>
      </c>
      <c r="U12" s="665">
        <f t="shared" si="1"/>
        <v>100</v>
      </c>
      <c r="V12" s="664" t="s">
        <v>14</v>
      </c>
      <c r="W12" s="665">
        <f t="shared" si="2"/>
        <v>100</v>
      </c>
      <c r="X12" s="666"/>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7"/>
      <c r="Q13" s="530">
        <f t="shared" si="6"/>
        <v>111</v>
      </c>
      <c r="R13" s="664" t="s">
        <v>14</v>
      </c>
      <c r="S13" s="665">
        <f t="shared" si="0"/>
        <v>100</v>
      </c>
      <c r="T13" s="664" t="s">
        <v>14</v>
      </c>
      <c r="U13" s="665">
        <f t="shared" si="1"/>
        <v>100</v>
      </c>
      <c r="V13" s="664" t="s">
        <v>14</v>
      </c>
      <c r="W13" s="665">
        <f t="shared" si="2"/>
        <v>100</v>
      </c>
      <c r="X13" s="666"/>
      <c r="Y13" s="330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7"/>
      <c r="Q14" s="530">
        <f t="shared" si="6"/>
        <v>111</v>
      </c>
      <c r="R14" s="664" t="s">
        <v>14</v>
      </c>
      <c r="S14" s="665">
        <f t="shared" si="0"/>
        <v>100</v>
      </c>
      <c r="T14" s="664" t="s">
        <v>14</v>
      </c>
      <c r="U14" s="665">
        <f t="shared" si="1"/>
        <v>100</v>
      </c>
      <c r="V14" s="664" t="s">
        <v>14</v>
      </c>
      <c r="W14" s="665">
        <f t="shared" si="2"/>
        <v>100</v>
      </c>
      <c r="X14" s="666"/>
      <c r="Y14" s="330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9" t="s">
        <v>1691</v>
      </c>
      <c r="Q15" s="1263" t="str">
        <f t="shared" si="6"/>
        <v>居住社区成熟度</v>
      </c>
      <c r="R15" s="667" t="s">
        <v>14</v>
      </c>
      <c r="S15" s="668">
        <f t="shared" si="0"/>
        <v>100</v>
      </c>
      <c r="T15" s="667" t="s">
        <v>14</v>
      </c>
      <c r="U15" s="668">
        <f t="shared" si="1"/>
        <v>100</v>
      </c>
      <c r="V15" s="667" t="s">
        <v>14</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0"/>
      <c r="Q16" s="1263"/>
      <c r="R16" s="667"/>
      <c r="S16" s="668"/>
      <c r="T16" s="667"/>
      <c r="U16" s="668"/>
      <c r="V16" s="667"/>
      <c r="W16" s="668"/>
      <c r="X16" s="1265"/>
      <c r="Y16" s="343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0"/>
      <c r="Q17" s="1263" t="str">
        <f>B17</f>
        <v>商业繁华度</v>
      </c>
      <c r="R17" s="667" t="s">
        <v>14</v>
      </c>
      <c r="S17" s="668">
        <f>F17</f>
        <v>100</v>
      </c>
      <c r="T17" s="667" t="s">
        <v>14</v>
      </c>
      <c r="U17" s="668">
        <f>H17</f>
        <v>100</v>
      </c>
      <c r="V17" s="667" t="s">
        <v>14</v>
      </c>
      <c r="W17" s="668">
        <f>J17</f>
        <v>100</v>
      </c>
      <c r="X17" s="1265"/>
      <c r="Y17" s="34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0"/>
      <c r="Q18" s="1263"/>
      <c r="R18" s="667"/>
      <c r="S18" s="668"/>
      <c r="T18" s="667"/>
      <c r="U18" s="668"/>
      <c r="V18" s="667"/>
      <c r="W18" s="668"/>
      <c r="X18" s="1265"/>
      <c r="Y18" s="343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0"/>
      <c r="Q19" s="1263" t="str">
        <f>B19</f>
        <v>办公集聚程度</v>
      </c>
      <c r="R19" s="667" t="s">
        <v>14</v>
      </c>
      <c r="S19" s="668">
        <f>F19</f>
        <v>100</v>
      </c>
      <c r="T19" s="667" t="s">
        <v>14</v>
      </c>
      <c r="U19" s="668">
        <f>H19</f>
        <v>100</v>
      </c>
      <c r="V19" s="667" t="s">
        <v>14</v>
      </c>
      <c r="W19" s="668">
        <f>J19</f>
        <v>100</v>
      </c>
      <c r="X19" s="1265"/>
      <c r="Y19" s="34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0"/>
      <c r="Q20" s="1263"/>
      <c r="R20" s="667"/>
      <c r="S20" s="668"/>
      <c r="T20" s="667"/>
      <c r="U20" s="668"/>
      <c r="V20" s="667"/>
      <c r="W20" s="668"/>
      <c r="X20" s="1265"/>
      <c r="Y20" s="343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0"/>
      <c r="Q21" s="1263" t="str">
        <f>B21</f>
        <v>交通便捷度</v>
      </c>
      <c r="R21" s="667" t="s">
        <v>14</v>
      </c>
      <c r="S21" s="668">
        <f>F21</f>
        <v>100</v>
      </c>
      <c r="T21" s="667" t="s">
        <v>14</v>
      </c>
      <c r="U21" s="668">
        <f>H21</f>
        <v>100</v>
      </c>
      <c r="V21" s="667" t="s">
        <v>14</v>
      </c>
      <c r="W21" s="668">
        <f>J21</f>
        <v>100</v>
      </c>
      <c r="X21" s="1265"/>
      <c r="Y21" s="34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0"/>
      <c r="Q22" s="1263"/>
      <c r="R22" s="667"/>
      <c r="S22" s="668"/>
      <c r="T22" s="667"/>
      <c r="U22" s="668"/>
      <c r="V22" s="667"/>
      <c r="W22" s="668"/>
      <c r="X22" s="1265"/>
      <c r="Y22" s="343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0"/>
      <c r="Q23" s="1263" t="str">
        <f t="shared" ref="Q23:Q37" si="8">B23</f>
        <v>区域土地利用方向</v>
      </c>
      <c r="R23" s="667" t="s">
        <v>14</v>
      </c>
      <c r="S23" s="668">
        <f>F23</f>
        <v>100</v>
      </c>
      <c r="T23" s="667" t="s">
        <v>14</v>
      </c>
      <c r="U23" s="668">
        <f>H23</f>
        <v>100</v>
      </c>
      <c r="V23" s="667" t="s">
        <v>14</v>
      </c>
      <c r="W23" s="668">
        <f>J23</f>
        <v>100</v>
      </c>
      <c r="X23" s="1265"/>
      <c r="Y23" s="34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0"/>
      <c r="Q24" s="1263"/>
      <c r="R24" s="667"/>
      <c r="S24" s="668"/>
      <c r="T24" s="667"/>
      <c r="U24" s="668"/>
      <c r="V24" s="667"/>
      <c r="W24" s="668"/>
      <c r="X24" s="1265"/>
      <c r="Y24" s="343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0"/>
      <c r="Q25" s="1263" t="str">
        <f t="shared" si="8"/>
        <v>自然及人文环境状况</v>
      </c>
      <c r="R25" s="667" t="s">
        <v>14</v>
      </c>
      <c r="S25" s="668">
        <f>F25</f>
        <v>100</v>
      </c>
      <c r="T25" s="667" t="s">
        <v>14</v>
      </c>
      <c r="U25" s="668">
        <f>H25</f>
        <v>100</v>
      </c>
      <c r="V25" s="667" t="s">
        <v>14</v>
      </c>
      <c r="W25" s="668">
        <f>J25</f>
        <v>100</v>
      </c>
      <c r="X25" s="1265"/>
      <c r="Y25" s="34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0"/>
      <c r="Q26" s="1263"/>
      <c r="R26" s="667"/>
      <c r="S26" s="668"/>
      <c r="T26" s="667"/>
      <c r="U26" s="668"/>
      <c r="V26" s="667"/>
      <c r="W26" s="668"/>
      <c r="X26" s="1265"/>
      <c r="Y26" s="343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0"/>
      <c r="Q28" s="530"/>
      <c r="R28" s="664"/>
      <c r="S28" s="665"/>
      <c r="T28" s="664"/>
      <c r="U28" s="665"/>
      <c r="V28" s="664"/>
      <c r="W28" s="665"/>
      <c r="X28" s="666"/>
      <c r="Y28" s="343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0"/>
      <c r="Q30" s="530"/>
      <c r="R30" s="664"/>
      <c r="S30" s="665"/>
      <c r="T30" s="664"/>
      <c r="U30" s="665"/>
      <c r="V30" s="664"/>
      <c r="W30" s="665"/>
      <c r="X30" s="666"/>
      <c r="Y30" s="343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0"/>
      <c r="Q32" s="1263" t="str">
        <f t="shared" si="8"/>
        <v>毗邻道路的类型与等级</v>
      </c>
      <c r="R32" s="667" t="s">
        <v>14</v>
      </c>
      <c r="S32" s="668">
        <f t="shared" si="10"/>
        <v>100</v>
      </c>
      <c r="T32" s="667" t="s">
        <v>14</v>
      </c>
      <c r="U32" s="668">
        <f t="shared" si="11"/>
        <v>100</v>
      </c>
      <c r="V32" s="667" t="s">
        <v>14</v>
      </c>
      <c r="W32" s="668">
        <f t="shared" si="12"/>
        <v>100</v>
      </c>
      <c r="X32" s="1265"/>
      <c r="Y32" s="34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0"/>
      <c r="Q33" s="1263"/>
      <c r="R33" s="667"/>
      <c r="S33" s="668"/>
      <c r="T33" s="667"/>
      <c r="U33" s="668"/>
      <c r="V33" s="667"/>
      <c r="W33" s="668"/>
      <c r="X33" s="1265"/>
      <c r="Y33" s="343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0"/>
      <c r="Q34" s="1263" t="str">
        <f t="shared" si="8"/>
        <v>土地级别</v>
      </c>
      <c r="R34" s="667" t="s">
        <v>14</v>
      </c>
      <c r="S34" s="668">
        <f t="shared" si="10"/>
        <v>100</v>
      </c>
      <c r="T34" s="667" t="s">
        <v>14</v>
      </c>
      <c r="U34" s="668">
        <f t="shared" si="11"/>
        <v>100</v>
      </c>
      <c r="V34" s="667" t="s">
        <v>14</v>
      </c>
      <c r="W34" s="668">
        <f t="shared" si="12"/>
        <v>100</v>
      </c>
      <c r="X34" s="1265"/>
      <c r="Y34" s="34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0"/>
      <c r="Q35" s="1263">
        <f t="shared" si="8"/>
        <v>111</v>
      </c>
      <c r="R35" s="667" t="s">
        <v>14</v>
      </c>
      <c r="S35" s="668">
        <f t="shared" si="10"/>
        <v>100</v>
      </c>
      <c r="T35" s="667" t="s">
        <v>14</v>
      </c>
      <c r="U35" s="668">
        <f t="shared" si="11"/>
        <v>100</v>
      </c>
      <c r="V35" s="667" t="s">
        <v>14</v>
      </c>
      <c r="W35" s="668">
        <f t="shared" si="12"/>
        <v>100</v>
      </c>
      <c r="X35" s="1265"/>
      <c r="Y35" s="34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4" t="s">
        <v>1696</v>
      </c>
      <c r="Q36" s="1263">
        <f t="shared" si="8"/>
        <v>111</v>
      </c>
      <c r="R36" s="667" t="s">
        <v>14</v>
      </c>
      <c r="S36" s="668">
        <f t="shared" si="10"/>
        <v>100</v>
      </c>
      <c r="T36" s="667" t="s">
        <v>14</v>
      </c>
      <c r="U36" s="668">
        <f t="shared" si="11"/>
        <v>100</v>
      </c>
      <c r="V36" s="667" t="s">
        <v>14</v>
      </c>
      <c r="W36" s="668">
        <f t="shared" si="12"/>
        <v>100</v>
      </c>
      <c r="X36" s="1265"/>
      <c r="Y36" s="343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4"/>
      <c r="Q37" s="1263">
        <f t="shared" si="8"/>
        <v>111</v>
      </c>
      <c r="R37" s="669" t="s">
        <v>14</v>
      </c>
      <c r="S37" s="670">
        <f t="shared" si="10"/>
        <v>100</v>
      </c>
      <c r="T37" s="669" t="s">
        <v>14</v>
      </c>
      <c r="U37" s="670">
        <f t="shared" si="11"/>
        <v>100</v>
      </c>
      <c r="V37" s="669" t="s">
        <v>14</v>
      </c>
      <c r="W37" s="670">
        <f t="shared" si="12"/>
        <v>100</v>
      </c>
      <c r="X37" s="671"/>
      <c r="Y37" s="343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4"/>
      <c r="Q38" s="1263" t="str">
        <f>B38</f>
        <v>宗地面积</v>
      </c>
      <c r="R38" s="667" t="s">
        <v>14</v>
      </c>
      <c r="S38" s="668" t="e">
        <f t="shared" si="10"/>
        <v>#N/A</v>
      </c>
      <c r="T38" s="667" t="s">
        <v>14</v>
      </c>
      <c r="U38" s="668" t="e">
        <f t="shared" si="11"/>
        <v>#N/A</v>
      </c>
      <c r="V38" s="667" t="s">
        <v>14</v>
      </c>
      <c r="W38" s="668" t="e">
        <f t="shared" si="12"/>
        <v>#N/A</v>
      </c>
      <c r="X38" s="1265"/>
      <c r="Y38" s="34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4"/>
      <c r="Q39" s="1263" t="str">
        <f t="shared" ref="Q39:Q45" si="14">B39</f>
        <v>宗地形状</v>
      </c>
      <c r="R39" s="667" t="s">
        <v>14</v>
      </c>
      <c r="S39" s="668">
        <f t="shared" si="10"/>
        <v>100</v>
      </c>
      <c r="T39" s="667" t="s">
        <v>14</v>
      </c>
      <c r="U39" s="668">
        <f t="shared" si="11"/>
        <v>100</v>
      </c>
      <c r="V39" s="667" t="s">
        <v>14</v>
      </c>
      <c r="W39" s="668">
        <f t="shared" si="12"/>
        <v>100</v>
      </c>
      <c r="X39" s="1265"/>
      <c r="Y39" s="34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4"/>
      <c r="Q40" s="1263" t="str">
        <f t="shared" si="14"/>
        <v>临街宽度及深度</v>
      </c>
      <c r="R40" s="667" t="s">
        <v>14</v>
      </c>
      <c r="S40" s="668">
        <f t="shared" si="10"/>
        <v>100</v>
      </c>
      <c r="T40" s="667" t="s">
        <v>14</v>
      </c>
      <c r="U40" s="668">
        <f t="shared" si="11"/>
        <v>100</v>
      </c>
      <c r="V40" s="667" t="s">
        <v>14</v>
      </c>
      <c r="W40" s="668">
        <f t="shared" si="12"/>
        <v>100</v>
      </c>
      <c r="X40" s="1265"/>
      <c r="Y40" s="34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4"/>
      <c r="Q41" s="1263"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4" t="s">
        <v>1696</v>
      </c>
      <c r="Q42" s="1263" t="str">
        <f t="shared" si="14"/>
        <v>工程地质条件</v>
      </c>
      <c r="R42" s="667" t="s">
        <v>14</v>
      </c>
      <c r="S42" s="668">
        <f t="shared" si="10"/>
        <v>100</v>
      </c>
      <c r="T42" s="667" t="s">
        <v>14</v>
      </c>
      <c r="U42" s="668">
        <f t="shared" si="11"/>
        <v>100</v>
      </c>
      <c r="V42" s="667" t="s">
        <v>14</v>
      </c>
      <c r="W42" s="668">
        <f t="shared" si="12"/>
        <v>100</v>
      </c>
      <c r="X42" s="1265"/>
      <c r="Y42" s="34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4"/>
      <c r="Q43" s="1263">
        <f t="shared" si="14"/>
        <v>111</v>
      </c>
      <c r="R43" s="667" t="s">
        <v>14</v>
      </c>
      <c r="S43" s="668">
        <f t="shared" si="10"/>
        <v>100</v>
      </c>
      <c r="T43" s="667" t="s">
        <v>14</v>
      </c>
      <c r="U43" s="668">
        <f t="shared" si="11"/>
        <v>100</v>
      </c>
      <c r="V43" s="667" t="s">
        <v>14</v>
      </c>
      <c r="W43" s="668">
        <f t="shared" si="12"/>
        <v>100</v>
      </c>
      <c r="X43" s="1265"/>
      <c r="Y43" s="34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4"/>
      <c r="Q44" s="1263">
        <f t="shared" si="14"/>
        <v>111</v>
      </c>
      <c r="R44" s="667" t="s">
        <v>14</v>
      </c>
      <c r="S44" s="668">
        <f t="shared" si="10"/>
        <v>100</v>
      </c>
      <c r="T44" s="667" t="s">
        <v>14</v>
      </c>
      <c r="U44" s="668">
        <f t="shared" si="11"/>
        <v>100</v>
      </c>
      <c r="V44" s="667" t="s">
        <v>14</v>
      </c>
      <c r="W44" s="668">
        <f t="shared" si="12"/>
        <v>100</v>
      </c>
      <c r="X44" s="1265"/>
      <c r="Y44" s="34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4"/>
      <c r="Q45" s="1263">
        <f t="shared" si="14"/>
        <v>111</v>
      </c>
      <c r="R45" s="669" t="s">
        <v>14</v>
      </c>
      <c r="S45" s="670">
        <f t="shared" si="10"/>
        <v>100</v>
      </c>
      <c r="T45" s="669" t="s">
        <v>14</v>
      </c>
      <c r="U45" s="670">
        <f t="shared" si="11"/>
        <v>100</v>
      </c>
      <c r="V45" s="669" t="s">
        <v>14</v>
      </c>
      <c r="W45" s="670">
        <f t="shared" si="12"/>
        <v>100</v>
      </c>
      <c r="X45" s="671"/>
      <c r="Y45" s="343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27" t="str">
        <f>A46</f>
        <v>成交单价</v>
      </c>
      <c r="Q46" s="3427"/>
      <c r="R46" s="3428">
        <f>E46</f>
        <v>0</v>
      </c>
      <c r="S46" s="3428"/>
      <c r="T46" s="3428">
        <f>G46</f>
        <v>0</v>
      </c>
      <c r="U46" s="3428"/>
      <c r="V46" s="3428">
        <f>I46</f>
        <v>0</v>
      </c>
      <c r="W46" s="342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27" t="str">
        <f>A47</f>
        <v>比较价值（元/平方米）</v>
      </c>
      <c r="Q47" s="3427"/>
      <c r="R47" s="3486" t="e">
        <f>ROUND(PRODUCT(R46,AA7:AA45),0)</f>
        <v>#DIV/0!</v>
      </c>
      <c r="S47" s="3486"/>
      <c r="T47" s="3486" t="e">
        <f>ROUND(PRODUCT(T46,AB7:AB45),0)</f>
        <v>#DIV/0!</v>
      </c>
      <c r="U47" s="3486"/>
      <c r="V47" s="3486" t="e">
        <f>ROUND(PRODUCT(V46,AC7:AC45),0)</f>
        <v>#DIV/0!</v>
      </c>
      <c r="W47" s="348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24" t="str">
        <f>A48</f>
        <v>估价对象XX用房的比较价值（楼面单价，元/平方米）</v>
      </c>
      <c r="Q48" s="3425"/>
      <c r="R48" s="3487" t="e">
        <f>ROUND(IF(D47="简单平均",AVERAGE(R47:W47),R47*F47+T47*H47+V47*J47),0)</f>
        <v>#DIV/0!</v>
      </c>
      <c r="S48" s="3487"/>
      <c r="T48" s="3487"/>
      <c r="U48" s="3487"/>
      <c r="V48" s="3487"/>
      <c r="W48" s="348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42" t="s">
        <v>1887</v>
      </c>
      <c r="H55" s="348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3797.1</v>
      </c>
      <c r="F56" s="833" t="e">
        <f t="shared" ref="F56:F64" si="15">ROUND(B56*E56/10000,0)</f>
        <v>#DIV/0!</v>
      </c>
      <c r="G56" s="3438"/>
      <c r="H56" s="342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3797.1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42" t="s">
        <v>1770</v>
      </c>
      <c r="D4" s="3443"/>
      <c r="E4" s="3444" t="s">
        <v>1771</v>
      </c>
      <c r="F4" s="3445"/>
      <c r="G4" s="3442" t="s">
        <v>1772</v>
      </c>
      <c r="H4" s="3443"/>
      <c r="I4" s="3442" t="s">
        <v>1773</v>
      </c>
      <c r="J4" s="3443"/>
      <c r="K4" s="537" t="s">
        <v>1774</v>
      </c>
      <c r="L4" s="2484"/>
      <c r="M4" s="2485"/>
      <c r="N4" s="2485"/>
      <c r="O4" s="2485"/>
      <c r="P4" s="3446" t="s">
        <v>1775</v>
      </c>
      <c r="Q4" s="3447"/>
      <c r="R4" s="3452" t="s">
        <v>1771</v>
      </c>
      <c r="S4" s="3453"/>
      <c r="T4" s="3452" t="s">
        <v>1772</v>
      </c>
      <c r="U4" s="3453"/>
      <c r="V4" s="3428" t="s">
        <v>1773</v>
      </c>
      <c r="W4" s="3428"/>
      <c r="X4" s="1265"/>
      <c r="Y4" s="3452" t="s">
        <v>1775</v>
      </c>
      <c r="Z4" s="3453"/>
      <c r="AA4" s="3439" t="s">
        <v>1771</v>
      </c>
      <c r="AB4" s="3440" t="s">
        <v>1772</v>
      </c>
      <c r="AC4" s="3439" t="s">
        <v>1773</v>
      </c>
    </row>
    <row r="5" spans="1:29" ht="15">
      <c r="A5" s="348"/>
      <c r="B5" s="349"/>
      <c r="C5" s="3460" t="s">
        <v>1673</v>
      </c>
      <c r="D5" s="3461"/>
      <c r="E5" s="3467" t="s">
        <v>1674</v>
      </c>
      <c r="F5" s="3468"/>
      <c r="G5" s="3460" t="s">
        <v>1675</v>
      </c>
      <c r="H5" s="3461"/>
      <c r="I5" s="3460" t="s">
        <v>1676</v>
      </c>
      <c r="J5" s="3461"/>
      <c r="K5" s="537"/>
      <c r="L5" s="2484"/>
      <c r="M5" s="2485"/>
      <c r="N5" s="2485"/>
      <c r="O5" s="2485"/>
      <c r="P5" s="3448"/>
      <c r="Q5" s="3449"/>
      <c r="R5" s="3454"/>
      <c r="S5" s="3455"/>
      <c r="T5" s="3454"/>
      <c r="U5" s="3455"/>
      <c r="V5" s="3428"/>
      <c r="W5" s="3428"/>
      <c r="X5" s="1265"/>
      <c r="Y5" s="3454"/>
      <c r="Z5" s="3455"/>
      <c r="AA5" s="3440"/>
      <c r="AB5" s="3440"/>
      <c r="AC5" s="3440"/>
    </row>
    <row r="6" spans="1:29" ht="15.75" thickBot="1">
      <c r="A6" s="350"/>
      <c r="B6" s="351"/>
      <c r="C6" s="3489" t="s">
        <v>1919</v>
      </c>
      <c r="D6" s="3490"/>
      <c r="E6" s="3491" t="s">
        <v>1919</v>
      </c>
      <c r="F6" s="3492"/>
      <c r="G6" s="3489" t="s">
        <v>1919</v>
      </c>
      <c r="H6" s="3490"/>
      <c r="I6" s="3489" t="s">
        <v>1919</v>
      </c>
      <c r="J6" s="3490"/>
      <c r="K6" s="537" t="s">
        <v>1678</v>
      </c>
      <c r="L6" s="2484"/>
      <c r="M6" s="2485"/>
      <c r="N6" s="2485"/>
      <c r="O6" s="2485"/>
      <c r="P6" s="3450"/>
      <c r="Q6" s="3451"/>
      <c r="R6" s="3454"/>
      <c r="S6" s="3455"/>
      <c r="T6" s="3456"/>
      <c r="U6" s="3457"/>
      <c r="V6" s="3428"/>
      <c r="W6" s="3428"/>
      <c r="X6" s="1265"/>
      <c r="Y6" s="3456"/>
      <c r="Z6" s="3457"/>
      <c r="AA6" s="3441"/>
      <c r="AB6" s="3441"/>
      <c r="AC6" s="3441"/>
    </row>
    <row r="7" spans="1:29" s="102" customFormat="1" ht="15.75" thickBot="1">
      <c r="A7" s="352" t="s">
        <v>1679</v>
      </c>
      <c r="B7" s="353"/>
      <c r="C7" s="354">
        <f>'数据-取费表'!B2</f>
        <v>45791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62" t="s">
        <v>1680</v>
      </c>
      <c r="Q7" s="3464"/>
      <c r="R7" s="664" t="s">
        <v>14</v>
      </c>
      <c r="S7" s="665">
        <f t="shared" ref="S7:S15" si="0">F7</f>
        <v>0</v>
      </c>
      <c r="T7" s="664" t="s">
        <v>14</v>
      </c>
      <c r="U7" s="665">
        <f t="shared" ref="U7:U15" si="1">H7</f>
        <v>0</v>
      </c>
      <c r="V7" s="664" t="s">
        <v>14</v>
      </c>
      <c r="W7" s="665">
        <f t="shared" ref="W7:W15" si="2">J7</f>
        <v>0</v>
      </c>
      <c r="X7" s="666"/>
      <c r="Y7" s="3462" t="s">
        <v>1680</v>
      </c>
      <c r="Z7" s="346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62" t="s">
        <v>1683</v>
      </c>
      <c r="Q8" s="3463"/>
      <c r="R8" s="664" t="s">
        <v>14</v>
      </c>
      <c r="S8" s="665">
        <f t="shared" si="0"/>
        <v>0</v>
      </c>
      <c r="T8" s="664" t="s">
        <v>14</v>
      </c>
      <c r="U8" s="665">
        <f t="shared" si="1"/>
        <v>0</v>
      </c>
      <c r="V8" s="664" t="s">
        <v>14</v>
      </c>
      <c r="W8" s="665">
        <f t="shared" si="2"/>
        <v>0</v>
      </c>
      <c r="X8" s="666"/>
      <c r="Y8" s="3462" t="s">
        <v>1683</v>
      </c>
      <c r="Z8" s="346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7"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427"/>
      <c r="Q10" s="530" t="str">
        <f t="shared" si="6"/>
        <v>土地使用年限（年）</v>
      </c>
      <c r="R10" s="664" t="s">
        <v>14</v>
      </c>
      <c r="S10" s="665">
        <f t="shared" si="0"/>
        <v>113</v>
      </c>
      <c r="T10" s="664" t="s">
        <v>14</v>
      </c>
      <c r="U10" s="665">
        <f t="shared" si="1"/>
        <v>113</v>
      </c>
      <c r="V10" s="664" t="s">
        <v>14</v>
      </c>
      <c r="W10" s="665">
        <f t="shared" si="2"/>
        <v>113</v>
      </c>
      <c r="X10" s="666"/>
      <c r="Y10" s="3302"/>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7"/>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7"/>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7"/>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7"/>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0"/>
      <c r="Q16" s="1263"/>
      <c r="R16" s="667"/>
      <c r="S16" s="668"/>
      <c r="T16" s="667"/>
      <c r="U16" s="668"/>
      <c r="V16" s="667"/>
      <c r="W16" s="668"/>
      <c r="X16" s="1265"/>
      <c r="Y16" s="343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0"/>
      <c r="Q18" s="1263"/>
      <c r="R18" s="667"/>
      <c r="S18" s="668"/>
      <c r="T18" s="667"/>
      <c r="U18" s="668"/>
      <c r="V18" s="667"/>
      <c r="W18" s="668"/>
      <c r="X18" s="1265"/>
      <c r="Y18" s="343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0"/>
      <c r="Q19" s="1263" t="str">
        <f t="shared" ref="Q19:Q33" si="8">B19</f>
        <v>区域土地利用方向</v>
      </c>
      <c r="R19" s="667" t="s">
        <v>14</v>
      </c>
      <c r="S19" s="668">
        <f>F19</f>
        <v>100</v>
      </c>
      <c r="T19" s="667" t="s">
        <v>14</v>
      </c>
      <c r="U19" s="668">
        <f>H19</f>
        <v>100</v>
      </c>
      <c r="V19" s="667" t="s">
        <v>14</v>
      </c>
      <c r="W19" s="668">
        <f>J19</f>
        <v>100</v>
      </c>
      <c r="X19" s="1265"/>
      <c r="Y19" s="34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0"/>
      <c r="Q20" s="1263"/>
      <c r="R20" s="667"/>
      <c r="S20" s="668"/>
      <c r="T20" s="667"/>
      <c r="U20" s="668"/>
      <c r="V20" s="667"/>
      <c r="W20" s="668"/>
      <c r="X20" s="1265"/>
      <c r="Y20" s="343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0"/>
      <c r="Q21" s="1263" t="str">
        <f t="shared" si="8"/>
        <v>环境状况</v>
      </c>
      <c r="R21" s="667" t="s">
        <v>14</v>
      </c>
      <c r="S21" s="668">
        <f>F21</f>
        <v>100</v>
      </c>
      <c r="T21" s="667" t="s">
        <v>14</v>
      </c>
      <c r="U21" s="668">
        <f>H21</f>
        <v>100</v>
      </c>
      <c r="V21" s="667" t="s">
        <v>14</v>
      </c>
      <c r="W21" s="668">
        <f>J21</f>
        <v>100</v>
      </c>
      <c r="X21" s="1265"/>
      <c r="Y21" s="34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0"/>
      <c r="Q22" s="1263"/>
      <c r="R22" s="667"/>
      <c r="S22" s="668"/>
      <c r="T22" s="667"/>
      <c r="U22" s="668"/>
      <c r="V22" s="667"/>
      <c r="W22" s="668"/>
      <c r="X22" s="1265"/>
      <c r="Y22" s="343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0"/>
      <c r="Q24" s="530"/>
      <c r="R24" s="664"/>
      <c r="S24" s="665"/>
      <c r="T24" s="664"/>
      <c r="U24" s="665"/>
      <c r="V24" s="664"/>
      <c r="W24" s="665"/>
      <c r="X24" s="666"/>
      <c r="Y24" s="343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0"/>
      <c r="Q28" s="1263" t="str">
        <f t="shared" si="8"/>
        <v>毗邻道路的类型与等级</v>
      </c>
      <c r="R28" s="667" t="s">
        <v>14</v>
      </c>
      <c r="S28" s="668">
        <f t="shared" si="10"/>
        <v>100</v>
      </c>
      <c r="T28" s="667" t="s">
        <v>14</v>
      </c>
      <c r="U28" s="668">
        <f t="shared" si="11"/>
        <v>100</v>
      </c>
      <c r="V28" s="667" t="s">
        <v>14</v>
      </c>
      <c r="W28" s="668">
        <f t="shared" si="12"/>
        <v>100</v>
      </c>
      <c r="X28" s="1265"/>
      <c r="Y28" s="34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0"/>
      <c r="Q29" s="1263"/>
      <c r="R29" s="667"/>
      <c r="S29" s="668"/>
      <c r="T29" s="667"/>
      <c r="U29" s="668"/>
      <c r="V29" s="667"/>
      <c r="W29" s="668"/>
      <c r="X29" s="1265"/>
      <c r="Y29" s="343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0"/>
      <c r="Q30" s="1263" t="str">
        <f t="shared" si="8"/>
        <v>土地级别</v>
      </c>
      <c r="R30" s="667" t="s">
        <v>14</v>
      </c>
      <c r="S30" s="668">
        <f t="shared" si="10"/>
        <v>100</v>
      </c>
      <c r="T30" s="667" t="s">
        <v>14</v>
      </c>
      <c r="U30" s="668">
        <f t="shared" si="11"/>
        <v>100</v>
      </c>
      <c r="V30" s="667" t="s">
        <v>14</v>
      </c>
      <c r="W30" s="668">
        <f t="shared" si="12"/>
        <v>100</v>
      </c>
      <c r="X30" s="1265"/>
      <c r="Y30" s="34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0"/>
      <c r="Q31" s="1263">
        <f t="shared" si="8"/>
        <v>111</v>
      </c>
      <c r="R31" s="667" t="s">
        <v>14</v>
      </c>
      <c r="S31" s="668">
        <f t="shared" si="10"/>
        <v>100</v>
      </c>
      <c r="T31" s="667" t="s">
        <v>14</v>
      </c>
      <c r="U31" s="668">
        <f t="shared" si="11"/>
        <v>100</v>
      </c>
      <c r="V31" s="667" t="s">
        <v>14</v>
      </c>
      <c r="W31" s="668">
        <f t="shared" si="12"/>
        <v>100</v>
      </c>
      <c r="X31" s="1265"/>
      <c r="Y31" s="34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4" t="s">
        <v>1696</v>
      </c>
      <c r="Q32" s="1263">
        <f t="shared" si="8"/>
        <v>111</v>
      </c>
      <c r="R32" s="667" t="s">
        <v>14</v>
      </c>
      <c r="S32" s="668">
        <f t="shared" si="10"/>
        <v>100</v>
      </c>
      <c r="T32" s="667" t="s">
        <v>14</v>
      </c>
      <c r="U32" s="668">
        <f t="shared" si="11"/>
        <v>100</v>
      </c>
      <c r="V32" s="667" t="s">
        <v>14</v>
      </c>
      <c r="W32" s="668">
        <f t="shared" si="12"/>
        <v>100</v>
      </c>
      <c r="X32" s="1265"/>
      <c r="Y32" s="343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4"/>
      <c r="Q33" s="1263">
        <f t="shared" si="8"/>
        <v>111</v>
      </c>
      <c r="R33" s="669" t="s">
        <v>14</v>
      </c>
      <c r="S33" s="670">
        <f t="shared" si="10"/>
        <v>100</v>
      </c>
      <c r="T33" s="669" t="s">
        <v>14</v>
      </c>
      <c r="U33" s="670">
        <f t="shared" si="11"/>
        <v>100</v>
      </c>
      <c r="V33" s="669" t="s">
        <v>14</v>
      </c>
      <c r="W33" s="670">
        <f t="shared" si="12"/>
        <v>100</v>
      </c>
      <c r="X33" s="671"/>
      <c r="Y33" s="34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4"/>
      <c r="Q34" s="1263" t="str">
        <f>B34</f>
        <v>宗地面积</v>
      </c>
      <c r="R34" s="667" t="s">
        <v>14</v>
      </c>
      <c r="S34" s="668" t="e">
        <f t="shared" si="10"/>
        <v>#N/A</v>
      </c>
      <c r="T34" s="667" t="s">
        <v>14</v>
      </c>
      <c r="U34" s="668" t="e">
        <f t="shared" si="11"/>
        <v>#N/A</v>
      </c>
      <c r="V34" s="667" t="s">
        <v>14</v>
      </c>
      <c r="W34" s="668" t="e">
        <f t="shared" si="12"/>
        <v>#N/A</v>
      </c>
      <c r="X34" s="1265"/>
      <c r="Y34" s="34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4"/>
      <c r="Q35" s="1263" t="str">
        <f t="shared" ref="Q35:Q40" si="14">B35</f>
        <v>宗地形状</v>
      </c>
      <c r="R35" s="667" t="s">
        <v>14</v>
      </c>
      <c r="S35" s="668">
        <f t="shared" si="10"/>
        <v>100</v>
      </c>
      <c r="T35" s="667" t="s">
        <v>14</v>
      </c>
      <c r="U35" s="668">
        <f t="shared" si="11"/>
        <v>100</v>
      </c>
      <c r="V35" s="667" t="s">
        <v>14</v>
      </c>
      <c r="W35" s="668">
        <f t="shared" si="12"/>
        <v>100</v>
      </c>
      <c r="X35" s="1265"/>
      <c r="Y35" s="34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4"/>
      <c r="Q36" s="1263"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4" t="s">
        <v>1696</v>
      </c>
      <c r="Q37" s="1263" t="str">
        <f t="shared" si="14"/>
        <v>工程地质条件</v>
      </c>
      <c r="R37" s="667" t="s">
        <v>14</v>
      </c>
      <c r="S37" s="668">
        <f t="shared" si="10"/>
        <v>100</v>
      </c>
      <c r="T37" s="667" t="s">
        <v>14</v>
      </c>
      <c r="U37" s="668">
        <f t="shared" si="11"/>
        <v>100</v>
      </c>
      <c r="V37" s="667" t="s">
        <v>14</v>
      </c>
      <c r="W37" s="668">
        <f t="shared" si="12"/>
        <v>100</v>
      </c>
      <c r="X37" s="1265"/>
      <c r="Y37" s="34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4"/>
      <c r="Q38" s="1263">
        <f t="shared" si="14"/>
        <v>111</v>
      </c>
      <c r="R38" s="667" t="s">
        <v>14</v>
      </c>
      <c r="S38" s="668">
        <f t="shared" si="10"/>
        <v>100</v>
      </c>
      <c r="T38" s="667" t="s">
        <v>14</v>
      </c>
      <c r="U38" s="668">
        <f t="shared" si="11"/>
        <v>100</v>
      </c>
      <c r="V38" s="667" t="s">
        <v>14</v>
      </c>
      <c r="W38" s="668">
        <f t="shared" si="12"/>
        <v>100</v>
      </c>
      <c r="X38" s="1265"/>
      <c r="Y38" s="34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4"/>
      <c r="Q39" s="1263">
        <f t="shared" si="14"/>
        <v>111</v>
      </c>
      <c r="R39" s="667" t="s">
        <v>14</v>
      </c>
      <c r="S39" s="668">
        <f t="shared" si="10"/>
        <v>100</v>
      </c>
      <c r="T39" s="667" t="s">
        <v>14</v>
      </c>
      <c r="U39" s="668">
        <f t="shared" si="11"/>
        <v>100</v>
      </c>
      <c r="V39" s="667" t="s">
        <v>14</v>
      </c>
      <c r="W39" s="668">
        <f t="shared" si="12"/>
        <v>100</v>
      </c>
      <c r="X39" s="1265"/>
      <c r="Y39" s="34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4"/>
      <c r="Q40" s="1263">
        <f t="shared" si="14"/>
        <v>111</v>
      </c>
      <c r="R40" s="669" t="s">
        <v>14</v>
      </c>
      <c r="S40" s="670">
        <f t="shared" si="10"/>
        <v>100</v>
      </c>
      <c r="T40" s="669" t="s">
        <v>14</v>
      </c>
      <c r="U40" s="670">
        <f t="shared" si="11"/>
        <v>100</v>
      </c>
      <c r="V40" s="669" t="s">
        <v>14</v>
      </c>
      <c r="W40" s="670">
        <f t="shared" si="12"/>
        <v>100</v>
      </c>
      <c r="X40" s="671"/>
      <c r="Y40" s="343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27" t="str">
        <f>A41</f>
        <v>成交单价</v>
      </c>
      <c r="Q41" s="3427"/>
      <c r="R41" s="3428">
        <f>E41</f>
        <v>0</v>
      </c>
      <c r="S41" s="3428"/>
      <c r="T41" s="3428">
        <f>G41</f>
        <v>0</v>
      </c>
      <c r="U41" s="3428"/>
      <c r="V41" s="3428">
        <f>I41</f>
        <v>0</v>
      </c>
      <c r="W41" s="342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27" t="str">
        <f>A42</f>
        <v>比较价值（元/平方米）</v>
      </c>
      <c r="Q42" s="3427"/>
      <c r="R42" s="3486" t="e">
        <f>ROUND(PRODUCT(R41,AA7:AA40),0)</f>
        <v>#DIV/0!</v>
      </c>
      <c r="S42" s="3486"/>
      <c r="T42" s="3486" t="e">
        <f>ROUND(PRODUCT(T41,AB7:AB40),0)</f>
        <v>#DIV/0!</v>
      </c>
      <c r="U42" s="3486"/>
      <c r="V42" s="3486" t="e">
        <f>ROUND(PRODUCT(V41,AC7:AC40),0)</f>
        <v>#DIV/0!</v>
      </c>
      <c r="W42" s="348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4" t="str">
        <f>A43</f>
        <v>估价对象XX用房的比较价值（楼面单价，元/平方米）</v>
      </c>
      <c r="Q43" s="3425"/>
      <c r="R43" s="3487" t="e">
        <f>ROUND(IF(D42="简单平均",AVERAGE(R42:W42),R42*F42+T42*H42+V42*J42),0)</f>
        <v>#DIV/0!</v>
      </c>
      <c r="S43" s="3487"/>
      <c r="T43" s="3487"/>
      <c r="U43" s="3487"/>
      <c r="V43" s="3487"/>
      <c r="W43" s="348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42" t="s">
        <v>1887</v>
      </c>
      <c r="H50" s="348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3797.1</v>
      </c>
      <c r="F51" s="611" t="e">
        <f t="shared" ref="F51:F60" si="15">ROUND(B51*E51/10000,0)</f>
        <v>#DIV/0!</v>
      </c>
      <c r="G51" s="3438"/>
      <c r="H51" s="342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6" t="s">
        <v>2084</v>
      </c>
      <c r="D1" s="3497"/>
      <c r="E1" s="3497"/>
      <c r="F1" s="3497"/>
      <c r="G1" s="3497"/>
      <c r="H1" s="3497"/>
      <c r="I1" s="3497"/>
      <c r="J1" s="3497"/>
      <c r="K1" s="3497"/>
      <c r="L1" s="3497"/>
      <c r="M1" s="3497"/>
      <c r="N1" s="3497"/>
      <c r="O1" s="3497"/>
      <c r="P1" s="3497"/>
      <c r="Q1" s="3497"/>
      <c r="R1" s="3497"/>
      <c r="S1" s="349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3" t="s">
        <v>27</v>
      </c>
      <c r="D22" s="3494"/>
      <c r="E22" s="3494"/>
      <c r="F22" s="3494"/>
      <c r="G22" s="3494"/>
      <c r="H22" s="3494"/>
      <c r="I22" s="3494"/>
      <c r="J22" s="3494"/>
      <c r="K22" s="3494"/>
      <c r="L22" s="3494"/>
      <c r="M22" s="3494"/>
      <c r="N22" s="3494"/>
      <c r="O22" s="3494"/>
      <c r="P22" s="3494"/>
      <c r="Q22" s="349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0</v>
      </c>
      <c r="C2" s="1984" t="s">
        <v>2074</v>
      </c>
      <c r="D2" s="1984" t="s">
        <v>2075</v>
      </c>
      <c r="E2" s="2396">
        <f ca="1">SUMIF(E6:E13,"&lt;&gt;#ref!",E6:E13)</f>
        <v>3797.1</v>
      </c>
      <c r="F2" s="2542"/>
      <c r="G2" s="2542"/>
      <c r="H2" s="2542"/>
      <c r="I2" s="2542"/>
      <c r="J2" s="2542"/>
      <c r="K2" s="2542"/>
      <c r="L2" s="2542"/>
      <c r="M2" s="2542"/>
      <c r="N2" s="2542"/>
      <c r="O2" s="2542"/>
      <c r="P2" s="2542"/>
    </row>
    <row r="3" spans="1:16" ht="15.75">
      <c r="A3" s="1984" t="s">
        <v>2076</v>
      </c>
      <c r="B3" s="2386">
        <f ca="1">ROUND(B2*10000/E2,0)</f>
        <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0</v>
      </c>
      <c r="C6" s="1984" t="s">
        <v>2074</v>
      </c>
      <c r="D6" s="2542"/>
      <c r="E6" s="2396">
        <f ca="1">SUMIF(INDIRECT("'"&amp;A6&amp;"'"&amp;"!C:C"),"建筑面积",INDIRECT("'"&amp;A6&amp;"'"&amp;"!D:D"))</f>
        <v>3797.1</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D1" zoomScaleNormal="80" zoomScaleSheetLayoutView="10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3797.1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30796</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5</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24274</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506"/>
      <c r="B4" s="3507"/>
      <c r="C4" s="3507"/>
      <c r="D4" s="3508"/>
      <c r="E4" s="3508"/>
      <c r="F4" s="3508"/>
      <c r="G4" s="3508"/>
      <c r="H4" s="3508"/>
      <c r="I4" s="3508"/>
      <c r="J4" s="3509"/>
      <c r="K4" s="1056"/>
      <c r="L4" s="1847" t="s">
        <v>1946</v>
      </c>
      <c r="M4" s="811">
        <f>SUMPRODUCT((区片价!B55:B86=I2)*(区片价!C3:G3=E2)*(区片价!C55:G86))</f>
        <v>21660</v>
      </c>
      <c r="N4" s="813">
        <f>SUMPRODUCT((因素修正幅度!B55:B86=I2)*(因素修正幅度!C3:G3=E2)*(因素修正幅度!C55:G86))</f>
        <v>0.05</v>
      </c>
      <c r="O4" s="1056"/>
      <c r="P4" s="1056"/>
      <c r="Q4" s="1056"/>
      <c r="R4" s="1129">
        <v>3</v>
      </c>
      <c r="S4" s="3061">
        <f>ROUND(SUMPRODUCT((B106:B110=R4)*(C105:N105=G2)*(C106:N110)),4)</f>
        <v>1.0004999999999999</v>
      </c>
      <c r="T4" s="3061">
        <f t="shared" si="0"/>
        <v>20515</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21644</v>
      </c>
      <c r="D5" s="1252">
        <f>ROUND(C6*C17+C20,0)</f>
        <v>21644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18094</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17388</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0</v>
      </c>
      <c r="AA7" s="1133"/>
      <c r="AB7" s="1133"/>
      <c r="AC7" s="1134"/>
      <c r="AD7" s="1135"/>
      <c r="AE7" s="1135"/>
      <c r="AF7" s="1135"/>
      <c r="AG7" s="1135"/>
      <c r="AH7" s="1135"/>
      <c r="AI7" s="1135"/>
      <c r="AJ7" s="1136"/>
    </row>
    <row r="8" spans="1:36" ht="25.5">
      <c r="A8" s="3007"/>
      <c r="B8" s="162" t="s">
        <v>1957</v>
      </c>
      <c r="C8" s="1870" t="s">
        <v>3488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503" t="s">
        <v>1960</v>
      </c>
      <c r="X8" s="350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505"/>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50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10" t="s">
        <v>3254</v>
      </c>
      <c r="B20" s="159" t="s">
        <v>1994</v>
      </c>
      <c r="C20" s="3029">
        <f>ROUND(IF(F21="与级别开发程度一致",0,(G21-E21)/C21),0)</f>
        <v>-16</v>
      </c>
      <c r="D20" s="3044" t="s">
        <v>1998</v>
      </c>
      <c r="E20" s="3045"/>
      <c r="F20" s="3516" t="s">
        <v>1995</v>
      </c>
      <c r="G20" s="3517"/>
      <c r="H20" s="3030" t="s">
        <v>3555</v>
      </c>
      <c r="I20" s="3030" t="s">
        <v>3556</v>
      </c>
      <c r="J20" s="3031" t="s">
        <v>3557</v>
      </c>
      <c r="K20" s="1889" t="s">
        <v>3558</v>
      </c>
      <c r="L20" s="1889" t="s">
        <v>3559</v>
      </c>
      <c r="M20" s="1889" t="s">
        <v>3560</v>
      </c>
      <c r="N20" s="1889" t="s">
        <v>3561</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511"/>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212" t="s">
        <v>3554</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45791</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0.8972</v>
      </c>
      <c r="D24" s="1902" t="s">
        <v>2007</v>
      </c>
      <c r="E24" s="1248">
        <f>存贷款利率!E27/100</f>
        <v>4.3499999999999997E-2</v>
      </c>
      <c r="F24" s="1902" t="s">
        <v>1999</v>
      </c>
      <c r="G24" s="724">
        <f>SUMIF(M30:Q30,E2,M33:Q33)</f>
        <v>5.5E-2</v>
      </c>
      <c r="H24" s="1902" t="s">
        <v>2008</v>
      </c>
      <c r="I24" s="725">
        <f>SUMIF('数据-取费表'!C6:C15,E2,'数据-取费表'!F6:F15)/COUNTIF('数据-取费表'!C6:C15,E2)</f>
        <v>29.31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3492</v>
      </c>
      <c r="C25" s="461">
        <f>IF(B25="容积率修正",IF(G3&lt;10,D26,J26),C27)</f>
        <v>0.84799999999999998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0.84799999999999998</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1.0213000000000001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17388</v>
      </c>
      <c r="D33" s="1940">
        <f>'数据-汇总表'!E19</f>
        <v>3797.1</v>
      </c>
      <c r="E33" s="727">
        <f>ROUND(C33*D33/10000,0)</f>
        <v>6602</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4"/>
      <c r="B37" s="1955" t="s">
        <v>2036</v>
      </c>
      <c r="C37" s="167">
        <f>ROUND(D5*C22*C23*C24*C28*F37,0)</f>
        <v>12303</v>
      </c>
      <c r="D37" s="1940"/>
      <c r="E37" s="163">
        <f>ROUND(C37*D37/10000,0)</f>
        <v>0</v>
      </c>
      <c r="F37" s="163">
        <f>SUMIF(修正!A57:A68,G2,修正!B57:B68)</f>
        <v>0.6</v>
      </c>
      <c r="G37" s="163">
        <f>ROUND(IF(E2="工业",C37*$M$42,C37*$M$41),0)</f>
        <v>3076</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5"/>
      <c r="B38" s="1884" t="s">
        <v>2037</v>
      </c>
      <c r="C38" s="167">
        <f>ROUND(D5*C22*C23*C24*C28*F38,0)</f>
        <v>6151</v>
      </c>
      <c r="D38" s="1940"/>
      <c r="E38" s="163">
        <f t="shared" ref="E38:E42" si="4">ROUND(C38*D38/10000,0)</f>
        <v>0</v>
      </c>
      <c r="F38" s="163">
        <f>SUMIF(修正!A57:A68,G2,修正!C57:C68)</f>
        <v>0.3</v>
      </c>
      <c r="G38" s="163">
        <f>ROUND(IF(E2="工业",C38*$M$42,C38*$M$41),0)</f>
        <v>1538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5"/>
      <c r="B39" s="1884" t="s">
        <v>3259</v>
      </c>
      <c r="C39" s="167">
        <f>ROUND(D5*C22*C23*C24*C28*F39,0)</f>
        <v>5126</v>
      </c>
      <c r="D39" s="1940"/>
      <c r="E39" s="163">
        <f t="shared" si="4"/>
        <v>0</v>
      </c>
      <c r="F39" s="163">
        <f>SUMIF(修正!A57:A68,G2,修正!D57:D68)</f>
        <v>0.25</v>
      </c>
      <c r="G39" s="163">
        <f>ROUND(IF(E2="工业",C39*$M$42,C39*$M$41),0)</f>
        <v>1282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5126</v>
      </c>
      <c r="D40" s="1940"/>
      <c r="E40" s="163">
        <f t="shared" si="4"/>
        <v>0</v>
      </c>
      <c r="F40" s="167">
        <f>SUMIF(修正!A57:A68,G2,修正!E57:E68)</f>
        <v>0.25</v>
      </c>
      <c r="G40" s="163">
        <f>ROUND(IF(E2="工业",C40*$M$42,C40*$M$41),0)</f>
        <v>1282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4858</v>
      </c>
      <c r="D41" s="1940"/>
      <c r="E41" s="163">
        <f t="shared" si="4"/>
        <v>0</v>
      </c>
      <c r="F41" s="167">
        <f>SUMIF(修正!A57:A68,G2,修正!F57:F68)</f>
        <v>0.25</v>
      </c>
      <c r="G41" s="163">
        <f>ROUND(IF(E2="工业",C41*$M$42,C41*$M$41),0)</f>
        <v>1215</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2915</v>
      </c>
      <c r="D42" s="1945"/>
      <c r="E42" s="179">
        <f t="shared" si="4"/>
        <v>0</v>
      </c>
      <c r="F42" s="723">
        <f>SUMIF(修正!A57:A68,G2,修正!G57:G68)</f>
        <v>0.15</v>
      </c>
      <c r="G42" s="179">
        <f>ROUND(IF(E2="工业",C42*$M$42,C42*$M$41),0)</f>
        <v>729</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0.85029999999999994</v>
      </c>
      <c r="D44" s="163" t="s">
        <v>1999</v>
      </c>
      <c r="E44" s="1991">
        <f>G24</f>
        <v>5.5E-2</v>
      </c>
      <c r="F44" s="163" t="s">
        <v>2008</v>
      </c>
      <c r="G44" s="175">
        <f>项目基本情况!D15</f>
        <v>29.31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1.0213000000000001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3489</v>
      </c>
      <c r="D50" s="1002">
        <f t="shared" ref="D50:D58" si="7">SUMIF($J$49:$N$49,C50,J50:N50)</f>
        <v>0</v>
      </c>
      <c r="E50" s="702">
        <f>ROUND(SUM(D50:D58),4)</f>
        <v>2.1299999999999999E-2</v>
      </c>
      <c r="F50" s="1675">
        <f>IF(E2="商业",SUMIF(L1:L12,G2,N1:N12),"——")</f>
        <v>0.05</v>
      </c>
      <c r="G50" s="1000">
        <v>7.4999999999999997E-3</v>
      </c>
      <c r="H50" s="1003">
        <f t="shared" ref="H50:H58" si="8">IFERROR(ROUNDDOWN($F$50*I50/2,4),"——")</f>
        <v>7.4999999999999997E-3</v>
      </c>
      <c r="I50" s="3066">
        <v>0.3</v>
      </c>
      <c r="J50" s="1001">
        <f t="shared" ref="J50:J58" si="9">K50+$G50</f>
        <v>1.4999999999999999E-2</v>
      </c>
      <c r="K50" s="1001">
        <f t="shared" ref="K50:K58" si="10">$L50+$G50</f>
        <v>7.4999999999999997E-3</v>
      </c>
      <c r="L50" s="1001">
        <v>0</v>
      </c>
      <c r="M50" s="1001">
        <f t="shared" ref="M50:N58" si="11">L50-$G50</f>
        <v>-7.4999999999999997E-3</v>
      </c>
      <c r="N50" s="1001">
        <f t="shared" si="11"/>
        <v>-1.4999999999999999E-2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3490</v>
      </c>
      <c r="D51" s="1002">
        <f t="shared" si="7"/>
        <v>5.4999999999999997E-3</v>
      </c>
      <c r="E51" s="703"/>
      <c r="F51" s="1675"/>
      <c r="G51" s="1000">
        <v>5.4999999999999997E-3</v>
      </c>
      <c r="H51" s="1003">
        <f t="shared" si="8"/>
        <v>5.4999999999999997E-3</v>
      </c>
      <c r="I51" s="3066">
        <v>0.22</v>
      </c>
      <c r="J51" s="1001">
        <f t="shared" si="9"/>
        <v>1.0999999999999999E-2</v>
      </c>
      <c r="K51" s="1001">
        <f t="shared" si="10"/>
        <v>5.4999999999999997E-3</v>
      </c>
      <c r="L51" s="1001">
        <v>0</v>
      </c>
      <c r="M51" s="1001">
        <f t="shared" si="11"/>
        <v>-5.4999999999999997E-3</v>
      </c>
      <c r="N51" s="1001">
        <f t="shared" si="11"/>
        <v>-1.0999999999999999E-2</v>
      </c>
      <c r="AA51" s="1057"/>
      <c r="AB51" s="1057"/>
      <c r="AC51" s="1057"/>
      <c r="AD51" s="1057"/>
      <c r="AE51" s="1057"/>
      <c r="AF51" s="1057"/>
      <c r="AG51" s="1057"/>
      <c r="AH51" s="1057"/>
      <c r="AI51" s="1057"/>
      <c r="AJ51" s="1057"/>
      <c r="AK51" s="1057"/>
    </row>
    <row r="52" spans="1:37" s="1056" customFormat="1" ht="36">
      <c r="A52" s="3068" t="s">
        <v>3269</v>
      </c>
      <c r="B52" s="1262">
        <f>估价对象房地状况!C19</f>
        <v>0</v>
      </c>
      <c r="C52" s="1887" t="s">
        <v>3490</v>
      </c>
      <c r="D52" s="1002">
        <f t="shared" si="7"/>
        <v>3.0000000000000001E-3</v>
      </c>
      <c r="E52" s="703"/>
      <c r="F52" s="1675"/>
      <c r="G52" s="1000">
        <v>3.0000000000000001E-3</v>
      </c>
      <c r="H52" s="1003">
        <f t="shared" si="8"/>
        <v>3.0000000000000001E-3</v>
      </c>
      <c r="I52" s="3066">
        <v>0.12</v>
      </c>
      <c r="J52" s="1001">
        <f t="shared" si="9"/>
        <v>6.0000000000000001E-3</v>
      </c>
      <c r="K52" s="1001">
        <f t="shared" si="10"/>
        <v>3.0000000000000001E-3</v>
      </c>
      <c r="L52" s="1001">
        <v>0</v>
      </c>
      <c r="M52" s="1001">
        <f t="shared" si="11"/>
        <v>-3.0000000000000001E-3</v>
      </c>
      <c r="N52" s="1001">
        <f t="shared" si="11"/>
        <v>-6.0000000000000001E-3</v>
      </c>
      <c r="AA52" s="1057"/>
      <c r="AB52" s="1057"/>
      <c r="AC52" s="1057"/>
      <c r="AD52" s="1057"/>
      <c r="AE52" s="1057"/>
      <c r="AF52" s="1057"/>
      <c r="AG52" s="1057"/>
      <c r="AH52" s="1057"/>
      <c r="AI52" s="1057"/>
      <c r="AJ52" s="1057"/>
      <c r="AK52" s="1057"/>
    </row>
    <row r="53" spans="1:37" s="1056" customFormat="1" ht="36.75">
      <c r="A53" s="1970" t="s">
        <v>2054</v>
      </c>
      <c r="B53" s="1974" t="s">
        <v>2055</v>
      </c>
      <c r="C53" s="1887" t="s">
        <v>3490</v>
      </c>
      <c r="D53" s="1002">
        <f t="shared" si="7"/>
        <v>1.1999999999999999E-3</v>
      </c>
      <c r="E53" s="703"/>
      <c r="F53" s="1675"/>
      <c r="G53" s="1000">
        <v>1.1999999999999999E-3</v>
      </c>
      <c r="H53" s="1003">
        <f t="shared" si="8"/>
        <v>1.1999999999999999E-3</v>
      </c>
      <c r="I53" s="3066">
        <v>0.05</v>
      </c>
      <c r="J53" s="1001">
        <f t="shared" si="9"/>
        <v>2.3999999999999998E-3</v>
      </c>
      <c r="K53" s="1001">
        <f t="shared" si="10"/>
        <v>1.1999999999999999E-3</v>
      </c>
      <c r="L53" s="1001">
        <v>0</v>
      </c>
      <c r="M53" s="1001">
        <f t="shared" si="11"/>
        <v>-1.1999999999999999E-3</v>
      </c>
      <c r="N53" s="1001">
        <f t="shared" si="11"/>
        <v>-2.3999999999999998E-3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3491</v>
      </c>
      <c r="D54" s="1002">
        <f t="shared" si="7"/>
        <v>4.0000000000000001E-3</v>
      </c>
      <c r="E54" s="703"/>
      <c r="F54" s="1675"/>
      <c r="G54" s="1000">
        <v>2E-3</v>
      </c>
      <c r="H54" s="1003">
        <f t="shared" si="8"/>
        <v>2E-3</v>
      </c>
      <c r="I54" s="3066">
        <v>0.08</v>
      </c>
      <c r="J54" s="1001">
        <f t="shared" si="9"/>
        <v>4.0000000000000001E-3</v>
      </c>
      <c r="K54" s="1001">
        <f t="shared" si="10"/>
        <v>2E-3</v>
      </c>
      <c r="L54" s="1001">
        <v>0</v>
      </c>
      <c r="M54" s="1001">
        <f t="shared" si="11"/>
        <v>-2E-3</v>
      </c>
      <c r="N54" s="1001">
        <f t="shared" si="11"/>
        <v>-4.0000000000000001E-3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3490</v>
      </c>
      <c r="D55" s="1002">
        <f t="shared" si="7"/>
        <v>1.1999999999999999E-3</v>
      </c>
      <c r="E55" s="703"/>
      <c r="F55" s="1675"/>
      <c r="G55" s="1000">
        <v>1.1999999999999999E-3</v>
      </c>
      <c r="H55" s="1003">
        <f t="shared" si="8"/>
        <v>1.1999999999999999E-3</v>
      </c>
      <c r="I55" s="3066">
        <v>0.05</v>
      </c>
      <c r="J55" s="1001">
        <f t="shared" si="9"/>
        <v>2.3999999999999998E-3</v>
      </c>
      <c r="K55" s="1001">
        <f t="shared" si="10"/>
        <v>1.1999999999999999E-3</v>
      </c>
      <c r="L55" s="1001">
        <v>0</v>
      </c>
      <c r="M55" s="1001">
        <f t="shared" si="11"/>
        <v>-1.1999999999999999E-3</v>
      </c>
      <c r="N55" s="1001">
        <f t="shared" si="11"/>
        <v>-2.3999999999999998E-3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3490</v>
      </c>
      <c r="D56" s="1002">
        <f t="shared" si="7"/>
        <v>1.1999999999999999E-3</v>
      </c>
      <c r="E56" s="703"/>
      <c r="F56" s="1675"/>
      <c r="G56" s="1000">
        <v>1.1999999999999999E-3</v>
      </c>
      <c r="H56" s="1003">
        <f t="shared" si="8"/>
        <v>1.1999999999999999E-3</v>
      </c>
      <c r="I56" s="3066">
        <v>0.05</v>
      </c>
      <c r="J56" s="1001">
        <f t="shared" si="9"/>
        <v>2.3999999999999998E-3</v>
      </c>
      <c r="K56" s="1001">
        <f t="shared" si="10"/>
        <v>1.1999999999999999E-3</v>
      </c>
      <c r="L56" s="1001">
        <v>0</v>
      </c>
      <c r="M56" s="1001">
        <f t="shared" si="11"/>
        <v>-1.1999999999999999E-3</v>
      </c>
      <c r="N56" s="1001">
        <f t="shared" si="11"/>
        <v>-2.3999999999999998E-3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3549" t="s">
        <v>3491</v>
      </c>
      <c r="D57" s="1002">
        <f t="shared" si="7"/>
        <v>4.0000000000000001E-3</v>
      </c>
      <c r="E57" s="703"/>
      <c r="F57" s="1675"/>
      <c r="G57" s="1000">
        <v>2E-3</v>
      </c>
      <c r="H57" s="1003">
        <f t="shared" si="8"/>
        <v>2E-3</v>
      </c>
      <c r="I57" s="3066">
        <v>0.08</v>
      </c>
      <c r="J57" s="1001">
        <f t="shared" si="9"/>
        <v>4.0000000000000001E-3</v>
      </c>
      <c r="K57" s="1001">
        <f t="shared" si="10"/>
        <v>2E-3</v>
      </c>
      <c r="L57" s="1001">
        <v>0</v>
      </c>
      <c r="M57" s="1001">
        <f t="shared" si="11"/>
        <v>-2E-3</v>
      </c>
      <c r="N57" s="1001">
        <f t="shared" si="11"/>
        <v>-4.0000000000000001E-3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3490</v>
      </c>
      <c r="D58" s="1002">
        <f t="shared" si="7"/>
        <v>1.1999999999999999E-3</v>
      </c>
      <c r="E58" s="704"/>
      <c r="F58" s="1675"/>
      <c r="G58" s="1000">
        <v>1.1999999999999999E-3</v>
      </c>
      <c r="H58" s="1003">
        <f t="shared" si="8"/>
        <v>1.1999999999999999E-3</v>
      </c>
      <c r="I58" s="3067">
        <v>0.05</v>
      </c>
      <c r="J58" s="1001">
        <f t="shared" si="9"/>
        <v>2.3999999999999998E-3</v>
      </c>
      <c r="K58" s="1001">
        <f t="shared" si="10"/>
        <v>1.1999999999999999E-3</v>
      </c>
      <c r="L58" s="1001">
        <v>0</v>
      </c>
      <c r="M58" s="1001">
        <f t="shared" si="11"/>
        <v>-1.1999999999999999E-3</v>
      </c>
      <c r="N58" s="1001">
        <f t="shared" si="11"/>
        <v>-2.3999999999999998E-3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12" t="s">
        <v>3294</v>
      </c>
      <c r="B103" s="3512"/>
      <c r="C103" s="3512"/>
      <c r="D103" s="3512"/>
      <c r="E103" s="3512"/>
      <c r="F103" s="3512"/>
      <c r="G103" s="3512"/>
      <c r="H103" s="3512"/>
      <c r="I103" s="3512"/>
      <c r="J103" s="3512"/>
      <c r="K103" s="1667"/>
      <c r="L103" s="1667"/>
      <c r="M103" s="1667"/>
      <c r="N103" s="1667"/>
    </row>
    <row r="104" spans="1:14">
      <c r="A104" s="3513" t="s">
        <v>3295</v>
      </c>
      <c r="B104" s="3513" t="s">
        <v>3296</v>
      </c>
      <c r="C104" s="3088" t="s">
        <v>3297</v>
      </c>
      <c r="D104" s="3089"/>
      <c r="E104" s="3089"/>
      <c r="F104" s="3089"/>
      <c r="G104" s="3089"/>
      <c r="H104" s="3089"/>
      <c r="I104" s="3089"/>
      <c r="J104" s="3090"/>
      <c r="K104" s="3091"/>
      <c r="L104" s="3091"/>
      <c r="M104" s="3091"/>
      <c r="N104" s="3091"/>
    </row>
    <row r="105" spans="1:14">
      <c r="A105" s="3513"/>
      <c r="B105" s="3513"/>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99"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0"/>
      <c r="B111" s="3092" t="s">
        <v>3268</v>
      </c>
      <c r="C111" s="3093">
        <f>$I$3</f>
        <v>5</v>
      </c>
      <c r="D111" s="3093">
        <f t="shared" ref="D111:M111" si="32">$I$3</f>
        <v>5</v>
      </c>
      <c r="E111" s="3093">
        <f t="shared" si="32"/>
        <v>5</v>
      </c>
      <c r="F111" s="3093">
        <f t="shared" si="32"/>
        <v>5</v>
      </c>
      <c r="G111" s="3093">
        <f t="shared" si="32"/>
        <v>5</v>
      </c>
      <c r="H111" s="3093">
        <f t="shared" si="32"/>
        <v>5</v>
      </c>
      <c r="I111" s="3093">
        <f t="shared" si="32"/>
        <v>5</v>
      </c>
      <c r="J111" s="3093">
        <f t="shared" si="32"/>
        <v>5</v>
      </c>
      <c r="K111" s="3093">
        <f t="shared" si="32"/>
        <v>5</v>
      </c>
      <c r="L111" s="3093">
        <f t="shared" si="32"/>
        <v>5</v>
      </c>
      <c r="M111" s="3093">
        <f t="shared" si="32"/>
        <v>5</v>
      </c>
      <c r="N111" s="3093">
        <f>$I$3</f>
        <v>5</v>
      </c>
    </row>
    <row r="112" spans="1:14">
      <c r="A112" s="3501"/>
      <c r="B112" s="3092">
        <v>6</v>
      </c>
      <c r="C112" s="3087">
        <f>(-0.5556*(C111^2)-0.2719*C111+8944)*(10^(-4))</f>
        <v>0.89287505</v>
      </c>
      <c r="D112" s="3087">
        <f>(-0.5556*(D111^2)-0.2719*D111+8944)*(10^(-4))</f>
        <v>0.89287505</v>
      </c>
      <c r="E112" s="3087">
        <f>(-0.7912*(E111^2)-11.3794*E111+8482)*(10^(-4))</f>
        <v>0.84053230000000012</v>
      </c>
      <c r="F112" s="3087">
        <f t="shared" ref="F112:I112" si="33">(-0.7912*(F111^2)-11.3794*F111+8482)*(10^(-4))</f>
        <v>0.84053230000000012</v>
      </c>
      <c r="G112" s="3087">
        <f t="shared" si="33"/>
        <v>0.84053230000000012</v>
      </c>
      <c r="H112" s="3087">
        <f t="shared" si="33"/>
        <v>0.84053230000000012</v>
      </c>
      <c r="I112" s="3087">
        <f t="shared" si="33"/>
        <v>0.84053230000000012</v>
      </c>
      <c r="J112" s="3087">
        <f>(-0.989*(J111^2)-63.78*J111+7771)*(10^(-4))</f>
        <v>0.74273750000000005</v>
      </c>
      <c r="K112" s="3087">
        <f t="shared" ref="K112:N112" si="34">(-0.989*(K111^2)-63.78*K111+7771)*(10^(-4))</f>
        <v>0.74273750000000005</v>
      </c>
      <c r="L112" s="3087">
        <f t="shared" si="34"/>
        <v>0.74273750000000005</v>
      </c>
      <c r="M112" s="3087">
        <f t="shared" si="34"/>
        <v>0.74273750000000005</v>
      </c>
      <c r="N112" s="3087">
        <f t="shared" si="34"/>
        <v>0.74273750000000005</v>
      </c>
    </row>
    <row r="113" spans="1:14">
      <c r="A113" s="3502" t="s">
        <v>3311</v>
      </c>
      <c r="B113" s="3502"/>
      <c r="C113" s="3502"/>
      <c r="D113" s="3502"/>
      <c r="E113" s="3502"/>
      <c r="F113" s="3502"/>
      <c r="G113" s="3502"/>
      <c r="H113" s="3502"/>
      <c r="I113" s="3502"/>
      <c r="J113" s="350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3312</v>
      </c>
      <c r="B116" s="3112">
        <f>G3</f>
        <v>0</v>
      </c>
      <c r="C116" s="3097" t="s">
        <v>3313</v>
      </c>
      <c r="D116" s="3098">
        <f>SUMPRODUCT((A118:A122=F116)*(B117:M117=H116)*B118:M122)</f>
        <v>0.94899999999999995</v>
      </c>
      <c r="E116" s="162" t="s">
        <v>3314</v>
      </c>
      <c r="F116" s="3099" t="str">
        <f>E2</f>
        <v>商业</v>
      </c>
      <c r="G116" s="162" t="s">
        <v>3315</v>
      </c>
      <c r="H116" s="3099" t="str">
        <f>G2</f>
        <v>四级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27" t="s">
        <v>2607</v>
      </c>
      <c r="B20" s="3522" t="s">
        <v>2628</v>
      </c>
      <c r="C20" s="2840" t="s">
        <v>2439</v>
      </c>
      <c r="D20" s="2841"/>
      <c r="E20" s="2842">
        <v>1</v>
      </c>
      <c r="F20" s="2843" t="s">
        <v>2440</v>
      </c>
      <c r="G20" s="2843"/>
    </row>
    <row r="21" spans="1:13" ht="19.5" customHeight="1">
      <c r="A21" s="3528"/>
      <c r="B21" s="3521"/>
      <c r="C21" s="2844" t="s">
        <v>2441</v>
      </c>
      <c r="D21" s="2845"/>
      <c r="E21" s="2846">
        <v>1</v>
      </c>
      <c r="F21" s="2843" t="s">
        <v>2442</v>
      </c>
      <c r="G21" s="2843"/>
    </row>
    <row r="22" spans="1:13" ht="19.5" customHeight="1">
      <c r="A22" s="3528"/>
      <c r="B22" s="3521"/>
      <c r="C22" s="2844" t="s">
        <v>2443</v>
      </c>
      <c r="D22" s="2845"/>
      <c r="E22" s="2846">
        <v>0.9</v>
      </c>
      <c r="F22" s="2843" t="s">
        <v>2444</v>
      </c>
      <c r="G22" s="2843"/>
    </row>
    <row r="23" spans="1:13" ht="19.5" customHeight="1">
      <c r="A23" s="3528"/>
      <c r="B23" s="3521"/>
      <c r="C23" s="2844" t="s">
        <v>2445</v>
      </c>
      <c r="D23" s="2845"/>
      <c r="E23" s="2846">
        <v>0.9</v>
      </c>
      <c r="F23" s="2843" t="s">
        <v>2446</v>
      </c>
      <c r="G23" s="2843"/>
    </row>
    <row r="24" spans="1:13" ht="19.5" customHeight="1">
      <c r="A24" s="3528"/>
      <c r="B24" s="3521"/>
      <c r="C24" s="2844" t="s">
        <v>2447</v>
      </c>
      <c r="D24" s="2845"/>
      <c r="E24" s="2846">
        <v>0.8</v>
      </c>
      <c r="F24" s="2843" t="s">
        <v>2448</v>
      </c>
      <c r="G24" s="2843"/>
    </row>
    <row r="25" spans="1:13" ht="19.5" customHeight="1" thickBot="1">
      <c r="A25" s="3529"/>
      <c r="B25" s="3523"/>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24" t="s">
        <v>2631</v>
      </c>
      <c r="B27" s="3522" t="s">
        <v>2612</v>
      </c>
      <c r="C27" s="2840" t="s">
        <v>2452</v>
      </c>
      <c r="D27" s="2841"/>
      <c r="E27" s="2842">
        <v>1</v>
      </c>
      <c r="F27" s="2843" t="s">
        <v>2453</v>
      </c>
      <c r="G27" s="2843"/>
    </row>
    <row r="28" spans="1:13" ht="19.5" customHeight="1">
      <c r="A28" s="3525"/>
      <c r="B28" s="3521"/>
      <c r="C28" s="2844" t="s">
        <v>2454</v>
      </c>
      <c r="D28" s="2845"/>
      <c r="E28" s="2846">
        <v>1</v>
      </c>
      <c r="F28" s="2843" t="s">
        <v>2455</v>
      </c>
      <c r="G28" s="2843"/>
    </row>
    <row r="29" spans="1:13" ht="19.5" customHeight="1">
      <c r="A29" s="3525"/>
      <c r="B29" s="3521"/>
      <c r="C29" s="2844" t="s">
        <v>2456</v>
      </c>
      <c r="D29" s="2845"/>
      <c r="E29" s="2846">
        <v>0.8</v>
      </c>
      <c r="F29" s="2843" t="s">
        <v>2457</v>
      </c>
      <c r="G29" s="2843"/>
    </row>
    <row r="30" spans="1:13" ht="19.5" customHeight="1">
      <c r="A30" s="3525"/>
      <c r="B30" s="3521"/>
      <c r="C30" s="2844" t="s">
        <v>2458</v>
      </c>
      <c r="D30" s="2845"/>
      <c r="E30" s="2846">
        <v>0.8</v>
      </c>
      <c r="F30" s="2843" t="s">
        <v>2459</v>
      </c>
      <c r="G30" s="2843"/>
    </row>
    <row r="31" spans="1:13" ht="19.5" customHeight="1">
      <c r="A31" s="3525"/>
      <c r="B31" s="3521"/>
      <c r="C31" s="2844" t="s">
        <v>2460</v>
      </c>
      <c r="D31" s="2845"/>
      <c r="E31" s="2846">
        <v>0.8</v>
      </c>
      <c r="F31" s="2843" t="s">
        <v>2461</v>
      </c>
      <c r="G31" s="2843"/>
    </row>
    <row r="32" spans="1:13" ht="19.5" customHeight="1">
      <c r="A32" s="3525"/>
      <c r="B32" s="3521"/>
      <c r="C32" s="2844" t="s">
        <v>2462</v>
      </c>
      <c r="D32" s="2845"/>
      <c r="E32" s="2846">
        <v>0.7</v>
      </c>
      <c r="F32" s="2843" t="s">
        <v>2463</v>
      </c>
      <c r="G32" s="2843"/>
    </row>
    <row r="33" spans="1:7" ht="19.5" customHeight="1">
      <c r="A33" s="3525"/>
      <c r="B33" s="3521"/>
      <c r="C33" s="2844" t="s">
        <v>2464</v>
      </c>
      <c r="D33" s="2845"/>
      <c r="E33" s="2846">
        <v>0.8</v>
      </c>
      <c r="F33" s="2843" t="s">
        <v>2465</v>
      </c>
      <c r="G33" s="2843"/>
    </row>
    <row r="34" spans="1:7" ht="19.5" customHeight="1">
      <c r="A34" s="3525"/>
      <c r="B34" s="3521"/>
      <c r="C34" s="2844" t="s">
        <v>2466</v>
      </c>
      <c r="D34" s="2845"/>
      <c r="E34" s="2846">
        <v>0.6</v>
      </c>
      <c r="F34" s="2843" t="s">
        <v>2467</v>
      </c>
      <c r="G34" s="2843"/>
    </row>
    <row r="35" spans="1:7" ht="19.5" customHeight="1">
      <c r="A35" s="3525"/>
      <c r="B35" s="3521"/>
      <c r="C35" s="2844" t="s">
        <v>2468</v>
      </c>
      <c r="D35" s="2845"/>
      <c r="E35" s="2846">
        <v>0.2</v>
      </c>
      <c r="F35" s="2843" t="s">
        <v>2469</v>
      </c>
      <c r="G35" s="2843"/>
    </row>
    <row r="36" spans="1:7" ht="19.5" customHeight="1">
      <c r="A36" s="3525"/>
      <c r="B36" s="3521"/>
      <c r="C36" s="2844" t="s">
        <v>2470</v>
      </c>
      <c r="D36" s="2845"/>
      <c r="E36" s="2846">
        <v>0.2</v>
      </c>
      <c r="F36" s="2843" t="s">
        <v>2471</v>
      </c>
      <c r="G36" s="2843"/>
    </row>
    <row r="37" spans="1:7" ht="19.5" customHeight="1">
      <c r="A37" s="3525"/>
      <c r="B37" s="3519" t="s">
        <v>2632</v>
      </c>
      <c r="C37" s="2844" t="s">
        <v>2472</v>
      </c>
      <c r="D37" s="2845"/>
      <c r="E37" s="2846">
        <v>0.6</v>
      </c>
      <c r="F37" s="2843" t="s">
        <v>2473</v>
      </c>
      <c r="G37" s="2843"/>
    </row>
    <row r="38" spans="1:7" ht="19.5" customHeight="1">
      <c r="A38" s="3525"/>
      <c r="B38" s="3521"/>
      <c r="C38" s="2844" t="s">
        <v>2474</v>
      </c>
      <c r="D38" s="2845"/>
      <c r="E38" s="2846">
        <v>0.6</v>
      </c>
      <c r="F38" s="2843" t="s">
        <v>2475</v>
      </c>
      <c r="G38" s="2843"/>
    </row>
    <row r="39" spans="1:7" ht="19.5" customHeight="1" thickBot="1">
      <c r="A39" s="3526"/>
      <c r="B39" s="3523"/>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27" t="s">
        <v>2610</v>
      </c>
      <c r="B41" s="3522" t="s">
        <v>2634</v>
      </c>
      <c r="C41" s="2840" t="s">
        <v>2479</v>
      </c>
      <c r="D41" s="2841"/>
      <c r="E41" s="2842">
        <v>1</v>
      </c>
      <c r="F41" s="2843" t="s">
        <v>2480</v>
      </c>
      <c r="G41" s="2843"/>
    </row>
    <row r="42" spans="1:7" ht="19.5" customHeight="1">
      <c r="A42" s="3528"/>
      <c r="B42" s="3521"/>
      <c r="C42" s="2844" t="s">
        <v>2481</v>
      </c>
      <c r="D42" s="2845"/>
      <c r="E42" s="2846">
        <v>1</v>
      </c>
      <c r="F42" s="2843" t="s">
        <v>2482</v>
      </c>
      <c r="G42" s="2843"/>
    </row>
    <row r="43" spans="1:7" ht="19.5" customHeight="1">
      <c r="A43" s="3528"/>
      <c r="B43" s="3520"/>
      <c r="C43" s="2844" t="s">
        <v>2483</v>
      </c>
      <c r="D43" s="2845"/>
      <c r="E43" s="2846">
        <v>1.5</v>
      </c>
      <c r="F43" s="2843" t="s">
        <v>2484</v>
      </c>
      <c r="G43" s="2843"/>
    </row>
    <row r="44" spans="1:7" ht="19.5" customHeight="1">
      <c r="A44" s="3528"/>
      <c r="B44" s="2855" t="s">
        <v>2635</v>
      </c>
      <c r="C44" s="2844" t="s">
        <v>2636</v>
      </c>
      <c r="D44" s="2845"/>
      <c r="E44" s="2846">
        <v>2</v>
      </c>
      <c r="F44" s="2843" t="s">
        <v>2485</v>
      </c>
      <c r="G44" s="2843"/>
    </row>
    <row r="45" spans="1:7" ht="19.5" customHeight="1">
      <c r="A45" s="3528"/>
      <c r="B45" s="3519" t="s">
        <v>2637</v>
      </c>
      <c r="C45" s="2844" t="s">
        <v>2486</v>
      </c>
      <c r="D45" s="2845"/>
      <c r="E45" s="2846">
        <v>1</v>
      </c>
      <c r="F45" s="2843" t="s">
        <v>2487</v>
      </c>
      <c r="G45" s="2843"/>
    </row>
    <row r="46" spans="1:7" ht="19.5" customHeight="1">
      <c r="A46" s="3528"/>
      <c r="B46" s="3521"/>
      <c r="C46" s="2844" t="s">
        <v>2488</v>
      </c>
      <c r="D46" s="2845"/>
      <c r="E46" s="2846">
        <v>1</v>
      </c>
      <c r="F46" s="2843" t="s">
        <v>2489</v>
      </c>
      <c r="G46" s="2843"/>
    </row>
    <row r="47" spans="1:7" ht="19.5" customHeight="1">
      <c r="A47" s="3528"/>
      <c r="B47" s="3521"/>
      <c r="C47" s="2844" t="s">
        <v>2490</v>
      </c>
      <c r="D47" s="2845"/>
      <c r="E47" s="2846">
        <v>1</v>
      </c>
      <c r="F47" s="2843" t="s">
        <v>2491</v>
      </c>
      <c r="G47" s="2843"/>
    </row>
    <row r="48" spans="1:7" ht="19.5" customHeight="1">
      <c r="A48" s="3528"/>
      <c r="B48" s="3521"/>
      <c r="C48" s="2844" t="s">
        <v>2492</v>
      </c>
      <c r="D48" s="2845"/>
      <c r="E48" s="2846">
        <v>1</v>
      </c>
      <c r="F48" s="2843" t="s">
        <v>2493</v>
      </c>
      <c r="G48" s="2843"/>
    </row>
    <row r="49" spans="1:7" ht="19.5" customHeight="1">
      <c r="A49" s="3528"/>
      <c r="B49" s="3521"/>
      <c r="C49" s="2844" t="s">
        <v>2494</v>
      </c>
      <c r="D49" s="2845"/>
      <c r="E49" s="2846">
        <v>1</v>
      </c>
      <c r="F49" s="2843" t="s">
        <v>2495</v>
      </c>
      <c r="G49" s="2843"/>
    </row>
    <row r="50" spans="1:7" ht="19.5" customHeight="1">
      <c r="A50" s="3528"/>
      <c r="B50" s="3521"/>
      <c r="C50" s="2844" t="s">
        <v>2496</v>
      </c>
      <c r="D50" s="2845"/>
      <c r="E50" s="2846">
        <v>1</v>
      </c>
      <c r="F50" s="2843" t="s">
        <v>2497</v>
      </c>
      <c r="G50" s="2843"/>
    </row>
    <row r="51" spans="1:7" ht="19.5" customHeight="1" thickBot="1">
      <c r="A51" s="3529"/>
      <c r="B51" s="3523"/>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3.5">
      <c r="A72" s="2855"/>
      <c r="B72" s="2855"/>
      <c r="C72" s="2855" t="s">
        <v>2650</v>
      </c>
      <c r="D72" s="2855"/>
      <c r="E72" s="2855" t="s">
        <v>2621</v>
      </c>
      <c r="F72" s="2855" t="s">
        <v>2621</v>
      </c>
    </row>
    <row r="73" spans="1:7" ht="13.5">
      <c r="A73" s="2855">
        <v>1</v>
      </c>
      <c r="B73" s="3519" t="s">
        <v>2651</v>
      </c>
      <c r="C73" s="2829" t="s">
        <v>2652</v>
      </c>
      <c r="D73" s="2829" t="s">
        <v>2653</v>
      </c>
      <c r="E73" s="2855">
        <v>0.2</v>
      </c>
      <c r="F73" s="2855">
        <v>25</v>
      </c>
    </row>
    <row r="74" spans="1:7" ht="24">
      <c r="A74" s="2855">
        <v>2</v>
      </c>
      <c r="B74" s="3521"/>
      <c r="C74" s="2829" t="s">
        <v>2654</v>
      </c>
      <c r="D74" s="2829" t="s">
        <v>2655</v>
      </c>
      <c r="E74" s="2855">
        <v>0.2</v>
      </c>
      <c r="F74" s="2855">
        <v>25</v>
      </c>
    </row>
    <row r="75" spans="1:7" ht="24">
      <c r="A75" s="2855">
        <v>3</v>
      </c>
      <c r="B75" s="3521"/>
      <c r="C75" s="2829" t="s">
        <v>2656</v>
      </c>
      <c r="D75" s="2829" t="s">
        <v>2657</v>
      </c>
      <c r="E75" s="2855">
        <v>0.2</v>
      </c>
      <c r="F75" s="2855">
        <v>25</v>
      </c>
    </row>
    <row r="76" spans="1:7" ht="13.5">
      <c r="A76" s="2855">
        <v>4</v>
      </c>
      <c r="B76" s="3521"/>
      <c r="C76" s="2829" t="s">
        <v>2658</v>
      </c>
      <c r="D76" s="2829" t="s">
        <v>2659</v>
      </c>
      <c r="E76" s="2855">
        <v>0.15</v>
      </c>
      <c r="F76" s="2855">
        <v>20</v>
      </c>
    </row>
    <row r="77" spans="1:7" ht="24">
      <c r="A77" s="2855">
        <v>5</v>
      </c>
      <c r="B77" s="3521"/>
      <c r="C77" s="2829" t="s">
        <v>2660</v>
      </c>
      <c r="D77" s="2829" t="s">
        <v>2661</v>
      </c>
      <c r="E77" s="2855">
        <v>0.15</v>
      </c>
      <c r="F77" s="2855">
        <v>20</v>
      </c>
    </row>
    <row r="78" spans="1:7" ht="24">
      <c r="A78" s="2855">
        <v>6</v>
      </c>
      <c r="B78" s="3521"/>
      <c r="C78" s="2829" t="s">
        <v>2662</v>
      </c>
      <c r="D78" s="2829" t="s">
        <v>2663</v>
      </c>
      <c r="E78" s="2855">
        <v>0.15</v>
      </c>
      <c r="F78" s="2855">
        <v>20</v>
      </c>
    </row>
    <row r="79" spans="1:7" ht="24">
      <c r="A79" s="2855">
        <v>7</v>
      </c>
      <c r="B79" s="3521"/>
      <c r="C79" s="2829" t="s">
        <v>2664</v>
      </c>
      <c r="D79" s="2829" t="s">
        <v>2665</v>
      </c>
      <c r="E79" s="2855">
        <v>0.15</v>
      </c>
      <c r="F79" s="2855">
        <v>20</v>
      </c>
    </row>
    <row r="80" spans="1:7" ht="24">
      <c r="A80" s="2855">
        <v>8</v>
      </c>
      <c r="B80" s="3521"/>
      <c r="C80" s="2829" t="s">
        <v>2666</v>
      </c>
      <c r="D80" s="2829" t="s">
        <v>2667</v>
      </c>
      <c r="E80" s="2855">
        <v>0.1</v>
      </c>
      <c r="F80" s="2855">
        <v>15</v>
      </c>
    </row>
    <row r="81" spans="1:6" ht="24">
      <c r="A81" s="2855">
        <v>9</v>
      </c>
      <c r="B81" s="3521"/>
      <c r="C81" s="2829" t="s">
        <v>2668</v>
      </c>
      <c r="D81" s="2829" t="s">
        <v>2669</v>
      </c>
      <c r="E81" s="2855">
        <v>0.1</v>
      </c>
      <c r="F81" s="2855">
        <v>15</v>
      </c>
    </row>
    <row r="82" spans="1:6" ht="24">
      <c r="A82" s="2855">
        <v>10</v>
      </c>
      <c r="B82" s="3521"/>
      <c r="C82" s="2829" t="s">
        <v>2670</v>
      </c>
      <c r="D82" s="2829" t="s">
        <v>2671</v>
      </c>
      <c r="E82" s="2855">
        <v>0.1</v>
      </c>
      <c r="F82" s="2855">
        <v>15</v>
      </c>
    </row>
    <row r="83" spans="1:6" ht="24">
      <c r="A83" s="2855">
        <v>11</v>
      </c>
      <c r="B83" s="3521"/>
      <c r="C83" s="2829" t="s">
        <v>2672</v>
      </c>
      <c r="D83" s="2829" t="s">
        <v>2673</v>
      </c>
      <c r="E83" s="2855">
        <v>0.1</v>
      </c>
      <c r="F83" s="2855">
        <v>15</v>
      </c>
    </row>
    <row r="84" spans="1:6" ht="24">
      <c r="A84" s="2855">
        <v>12</v>
      </c>
      <c r="B84" s="3521"/>
      <c r="C84" s="2829" t="s">
        <v>2674</v>
      </c>
      <c r="D84" s="2829" t="s">
        <v>2675</v>
      </c>
      <c r="E84" s="2855">
        <v>0.1</v>
      </c>
      <c r="F84" s="2855">
        <v>15</v>
      </c>
    </row>
    <row r="85" spans="1:6" ht="13.5">
      <c r="A85" s="2855">
        <v>13</v>
      </c>
      <c r="B85" s="3521"/>
      <c r="C85" s="2829" t="s">
        <v>2676</v>
      </c>
      <c r="D85" s="2829" t="s">
        <v>2677</v>
      </c>
      <c r="E85" s="2855">
        <v>0.1</v>
      </c>
      <c r="F85" s="2855">
        <v>15</v>
      </c>
    </row>
    <row r="86" spans="1:6" ht="13.5">
      <c r="A86" s="2855">
        <v>14</v>
      </c>
      <c r="B86" s="3521"/>
      <c r="C86" s="2829" t="s">
        <v>2678</v>
      </c>
      <c r="D86" s="2829" t="s">
        <v>2679</v>
      </c>
      <c r="E86" s="2855">
        <v>0.1</v>
      </c>
      <c r="F86" s="2855">
        <v>15</v>
      </c>
    </row>
    <row r="87" spans="1:6" ht="13.5">
      <c r="A87" s="2855">
        <v>15</v>
      </c>
      <c r="B87" s="3521"/>
      <c r="C87" s="2829" t="s">
        <v>2680</v>
      </c>
      <c r="D87" s="2829" t="s">
        <v>2681</v>
      </c>
      <c r="E87" s="2855">
        <v>0.1</v>
      </c>
      <c r="F87" s="2855">
        <v>15</v>
      </c>
    </row>
    <row r="88" spans="1:6" ht="24">
      <c r="A88" s="2855">
        <v>16</v>
      </c>
      <c r="B88" s="3521"/>
      <c r="C88" s="2829" t="s">
        <v>2682</v>
      </c>
      <c r="D88" s="2829" t="s">
        <v>2683</v>
      </c>
      <c r="E88" s="2855">
        <v>0.1</v>
      </c>
      <c r="F88" s="2855">
        <v>15</v>
      </c>
    </row>
    <row r="89" spans="1:6" ht="24">
      <c r="A89" s="2855">
        <v>17</v>
      </c>
      <c r="B89" s="3520"/>
      <c r="C89" s="2829" t="s">
        <v>2684</v>
      </c>
      <c r="D89" s="2829" t="s">
        <v>2685</v>
      </c>
      <c r="E89" s="2855">
        <v>0.1</v>
      </c>
      <c r="F89" s="2855">
        <v>15</v>
      </c>
    </row>
    <row r="90" spans="1:6" ht="13.5">
      <c r="A90" s="2855">
        <v>18</v>
      </c>
      <c r="B90" s="3519" t="s">
        <v>2686</v>
      </c>
      <c r="C90" s="2829" t="s">
        <v>2687</v>
      </c>
      <c r="D90" s="2829" t="s">
        <v>2688</v>
      </c>
      <c r="E90" s="2855">
        <v>0.2</v>
      </c>
      <c r="F90" s="2855">
        <v>25</v>
      </c>
    </row>
    <row r="91" spans="1:6" ht="24">
      <c r="A91" s="2855">
        <v>19</v>
      </c>
      <c r="B91" s="3521"/>
      <c r="C91" s="2829" t="s">
        <v>2689</v>
      </c>
      <c r="D91" s="2829" t="s">
        <v>2690</v>
      </c>
      <c r="E91" s="2855">
        <v>0.2</v>
      </c>
      <c r="F91" s="2855">
        <v>25</v>
      </c>
    </row>
    <row r="92" spans="1:6" ht="13.5">
      <c r="A92" s="2855">
        <v>20</v>
      </c>
      <c r="B92" s="3521"/>
      <c r="C92" s="2829" t="s">
        <v>2691</v>
      </c>
      <c r="D92" s="2829" t="s">
        <v>2692</v>
      </c>
      <c r="E92" s="2855">
        <v>0.15</v>
      </c>
      <c r="F92" s="2855">
        <v>20</v>
      </c>
    </row>
    <row r="93" spans="1:6" ht="13.5">
      <c r="A93" s="2855">
        <v>21</v>
      </c>
      <c r="B93" s="3521"/>
      <c r="C93" s="2829" t="s">
        <v>2693</v>
      </c>
      <c r="D93" s="2829" t="s">
        <v>2694</v>
      </c>
      <c r="E93" s="2855">
        <v>0.15</v>
      </c>
      <c r="F93" s="2855">
        <v>20</v>
      </c>
    </row>
    <row r="94" spans="1:6" ht="13.5">
      <c r="A94" s="2855">
        <v>22</v>
      </c>
      <c r="B94" s="3521"/>
      <c r="C94" s="2829" t="s">
        <v>2695</v>
      </c>
      <c r="D94" s="2829" t="s">
        <v>2696</v>
      </c>
      <c r="E94" s="2855">
        <v>0.15</v>
      </c>
      <c r="F94" s="2855">
        <v>20</v>
      </c>
    </row>
    <row r="95" spans="1:6" ht="36">
      <c r="A95" s="2855">
        <v>23</v>
      </c>
      <c r="B95" s="3521"/>
      <c r="C95" s="2829" t="s">
        <v>2697</v>
      </c>
      <c r="D95" s="2829" t="s">
        <v>2698</v>
      </c>
      <c r="E95" s="2855">
        <v>0.15</v>
      </c>
      <c r="F95" s="2855">
        <v>20</v>
      </c>
    </row>
    <row r="96" spans="1:6" ht="13.5">
      <c r="A96" s="2855">
        <v>24</v>
      </c>
      <c r="B96" s="3521"/>
      <c r="C96" s="2829" t="s">
        <v>2699</v>
      </c>
      <c r="D96" s="2829" t="s">
        <v>2700</v>
      </c>
      <c r="E96" s="2855">
        <v>0.1</v>
      </c>
      <c r="F96" s="2855">
        <v>15</v>
      </c>
    </row>
    <row r="97" spans="1:6" ht="13.5">
      <c r="A97" s="2855">
        <v>25</v>
      </c>
      <c r="B97" s="3521"/>
      <c r="C97" s="2829" t="s">
        <v>2701</v>
      </c>
      <c r="D97" s="2829" t="s">
        <v>2702</v>
      </c>
      <c r="E97" s="2855">
        <v>0.1</v>
      </c>
      <c r="F97" s="2855">
        <v>15</v>
      </c>
    </row>
    <row r="98" spans="1:6" ht="24">
      <c r="A98" s="2855">
        <v>26</v>
      </c>
      <c r="B98" s="3521"/>
      <c r="C98" s="2829" t="s">
        <v>2703</v>
      </c>
      <c r="D98" s="2829" t="s">
        <v>2704</v>
      </c>
      <c r="E98" s="2855">
        <v>0.1</v>
      </c>
      <c r="F98" s="2855">
        <v>15</v>
      </c>
    </row>
    <row r="99" spans="1:6" ht="24">
      <c r="A99" s="2855">
        <v>27</v>
      </c>
      <c r="B99" s="3521"/>
      <c r="C99" s="2829" t="s">
        <v>2705</v>
      </c>
      <c r="D99" s="2829" t="s">
        <v>2706</v>
      </c>
      <c r="E99" s="2855">
        <v>0.1</v>
      </c>
      <c r="F99" s="2855">
        <v>15</v>
      </c>
    </row>
    <row r="100" spans="1:6" ht="13.5">
      <c r="A100" s="2855">
        <v>28</v>
      </c>
      <c r="B100" s="3521"/>
      <c r="C100" s="2829" t="s">
        <v>2707</v>
      </c>
      <c r="D100" s="2829" t="s">
        <v>2708</v>
      </c>
      <c r="E100" s="2855">
        <v>0.1</v>
      </c>
      <c r="F100" s="2855">
        <v>15</v>
      </c>
    </row>
    <row r="101" spans="1:6" ht="13.5">
      <c r="A101" s="2855">
        <v>29</v>
      </c>
      <c r="B101" s="3521"/>
      <c r="C101" s="2829" t="s">
        <v>2709</v>
      </c>
      <c r="D101" s="2829" t="s">
        <v>2710</v>
      </c>
      <c r="E101" s="2855">
        <v>0.1</v>
      </c>
      <c r="F101" s="2855">
        <v>15</v>
      </c>
    </row>
    <row r="102" spans="1:6" ht="13.5">
      <c r="A102" s="2855">
        <v>30</v>
      </c>
      <c r="B102" s="3521"/>
      <c r="C102" s="2829" t="s">
        <v>2711</v>
      </c>
      <c r="D102" s="2829" t="s">
        <v>2712</v>
      </c>
      <c r="E102" s="2855">
        <v>0.1</v>
      </c>
      <c r="F102" s="2855">
        <v>15</v>
      </c>
    </row>
    <row r="103" spans="1:6" ht="24">
      <c r="A103" s="2855">
        <v>31</v>
      </c>
      <c r="B103" s="3521"/>
      <c r="C103" s="2829" t="s">
        <v>2713</v>
      </c>
      <c r="D103" s="2829" t="s">
        <v>2714</v>
      </c>
      <c r="E103" s="2855">
        <v>0.1</v>
      </c>
      <c r="F103" s="2855">
        <v>15</v>
      </c>
    </row>
    <row r="104" spans="1:6" ht="24">
      <c r="A104" s="2855">
        <v>32</v>
      </c>
      <c r="B104" s="3521"/>
      <c r="C104" s="2829" t="s">
        <v>2715</v>
      </c>
      <c r="D104" s="2829" t="s">
        <v>2716</v>
      </c>
      <c r="E104" s="2855">
        <v>0.1</v>
      </c>
      <c r="F104" s="2855">
        <v>15</v>
      </c>
    </row>
    <row r="105" spans="1:6" ht="24">
      <c r="A105" s="2855">
        <v>33</v>
      </c>
      <c r="B105" s="3521"/>
      <c r="C105" s="2829" t="s">
        <v>2717</v>
      </c>
      <c r="D105" s="2829" t="s">
        <v>2718</v>
      </c>
      <c r="E105" s="2855">
        <v>0.1</v>
      </c>
      <c r="F105" s="2855">
        <v>15</v>
      </c>
    </row>
    <row r="106" spans="1:6" ht="24">
      <c r="A106" s="2855">
        <v>34</v>
      </c>
      <c r="B106" s="3520"/>
      <c r="C106" s="2829" t="s">
        <v>2719</v>
      </c>
      <c r="D106" s="2829" t="s">
        <v>2720</v>
      </c>
      <c r="E106" s="2855">
        <v>0.1</v>
      </c>
      <c r="F106" s="2855">
        <v>15</v>
      </c>
    </row>
    <row r="107" spans="1:6" ht="24">
      <c r="A107" s="2855">
        <v>35</v>
      </c>
      <c r="B107" s="3519" t="s">
        <v>2721</v>
      </c>
      <c r="C107" s="2855" t="s">
        <v>2722</v>
      </c>
      <c r="D107" s="2829" t="s">
        <v>2723</v>
      </c>
      <c r="E107" s="2855">
        <v>0.15</v>
      </c>
      <c r="F107" s="2855">
        <v>20</v>
      </c>
    </row>
    <row r="108" spans="1:6" ht="13.5">
      <c r="A108" s="2855">
        <v>36</v>
      </c>
      <c r="B108" s="3521"/>
      <c r="C108" s="2855" t="s">
        <v>2724</v>
      </c>
      <c r="D108" s="2829" t="s">
        <v>2725</v>
      </c>
      <c r="E108" s="2855">
        <v>0.15</v>
      </c>
      <c r="F108" s="2855">
        <v>20</v>
      </c>
    </row>
    <row r="109" spans="1:6" ht="13.5">
      <c r="A109" s="2855">
        <v>37</v>
      </c>
      <c r="B109" s="3521"/>
      <c r="C109" s="2855" t="s">
        <v>2726</v>
      </c>
      <c r="D109" s="2829" t="s">
        <v>2727</v>
      </c>
      <c r="E109" s="2855">
        <v>0.15</v>
      </c>
      <c r="F109" s="2855">
        <v>20</v>
      </c>
    </row>
    <row r="110" spans="1:6" ht="13.5">
      <c r="A110" s="2855">
        <v>38</v>
      </c>
      <c r="B110" s="3521"/>
      <c r="C110" s="2855" t="s">
        <v>2728</v>
      </c>
      <c r="D110" s="2829" t="s">
        <v>2729</v>
      </c>
      <c r="E110" s="2855">
        <v>0.1</v>
      </c>
      <c r="F110" s="2855">
        <v>15</v>
      </c>
    </row>
    <row r="111" spans="1:6" ht="24">
      <c r="A111" s="2855">
        <v>39</v>
      </c>
      <c r="B111" s="3521"/>
      <c r="C111" s="2855" t="s">
        <v>2730</v>
      </c>
      <c r="D111" s="2829" t="s">
        <v>2731</v>
      </c>
      <c r="E111" s="2855">
        <v>0.1</v>
      </c>
      <c r="F111" s="2855">
        <v>15</v>
      </c>
    </row>
    <row r="112" spans="1:6" ht="24">
      <c r="A112" s="2855">
        <v>40</v>
      </c>
      <c r="B112" s="3520"/>
      <c r="C112" s="2855" t="s">
        <v>2732</v>
      </c>
      <c r="D112" s="2829" t="s">
        <v>2733</v>
      </c>
      <c r="E112" s="2855">
        <v>0.1</v>
      </c>
      <c r="F112" s="2855">
        <v>15</v>
      </c>
    </row>
    <row r="113" spans="1:6" ht="13.5">
      <c r="A113" s="2855">
        <v>41</v>
      </c>
      <c r="B113" s="3518" t="s">
        <v>2734</v>
      </c>
      <c r="C113" s="2855" t="s">
        <v>2735</v>
      </c>
      <c r="D113" s="2829" t="s">
        <v>2736</v>
      </c>
      <c r="E113" s="2855">
        <v>0.1</v>
      </c>
      <c r="F113" s="2855">
        <v>15</v>
      </c>
    </row>
    <row r="114" spans="1:6" ht="13.5">
      <c r="A114" s="2855">
        <v>42</v>
      </c>
      <c r="B114" s="3518"/>
      <c r="C114" s="2855" t="s">
        <v>2737</v>
      </c>
      <c r="D114" s="2829" t="s">
        <v>2738</v>
      </c>
      <c r="E114" s="2855">
        <v>0.1</v>
      </c>
      <c r="F114" s="2855">
        <v>15</v>
      </c>
    </row>
    <row r="115" spans="1:6" ht="24">
      <c r="A115" s="2855">
        <v>43</v>
      </c>
      <c r="B115" s="3518"/>
      <c r="C115" s="2855" t="s">
        <v>2739</v>
      </c>
      <c r="D115" s="2829" t="s">
        <v>2740</v>
      </c>
      <c r="E115" s="2855">
        <v>0.1</v>
      </c>
      <c r="F115" s="2855">
        <v>15</v>
      </c>
    </row>
    <row r="116" spans="1:6" ht="13.5">
      <c r="A116" s="2855">
        <v>44</v>
      </c>
      <c r="B116" s="3519" t="s">
        <v>2741</v>
      </c>
      <c r="C116" s="2855" t="s">
        <v>2742</v>
      </c>
      <c r="D116" s="2829" t="s">
        <v>2743</v>
      </c>
      <c r="E116" s="2855">
        <v>0.1</v>
      </c>
      <c r="F116" s="2855">
        <v>15</v>
      </c>
    </row>
    <row r="117" spans="1:6" ht="24">
      <c r="A117" s="2855">
        <v>45</v>
      </c>
      <c r="B117" s="3520"/>
      <c r="C117" s="2829" t="s">
        <v>2744</v>
      </c>
      <c r="D117" s="2829" t="s">
        <v>2745</v>
      </c>
      <c r="E117" s="2855">
        <v>0.1</v>
      </c>
      <c r="F117" s="2855">
        <v>15</v>
      </c>
    </row>
    <row r="118" spans="1:6" ht="24">
      <c r="A118" s="2855">
        <v>46</v>
      </c>
      <c r="B118" s="3519" t="s">
        <v>2746</v>
      </c>
      <c r="C118" s="2855" t="s">
        <v>2747</v>
      </c>
      <c r="D118" s="2829" t="s">
        <v>2748</v>
      </c>
      <c r="E118" s="2855">
        <v>0.1</v>
      </c>
      <c r="F118" s="2855">
        <v>15</v>
      </c>
    </row>
    <row r="119" spans="1:6" ht="24">
      <c r="A119" s="2855">
        <v>47</v>
      </c>
      <c r="B119" s="3520"/>
      <c r="C119" s="2855" t="s">
        <v>2749</v>
      </c>
      <c r="D119" s="2829" t="s">
        <v>2750</v>
      </c>
      <c r="E119" s="2855">
        <v>0.1</v>
      </c>
      <c r="F119" s="2855">
        <v>15</v>
      </c>
    </row>
    <row r="120" spans="1:6" ht="13.5">
      <c r="A120" s="2855">
        <v>48</v>
      </c>
      <c r="B120" s="3519" t="s">
        <v>2751</v>
      </c>
      <c r="C120" s="2855" t="s">
        <v>2752</v>
      </c>
      <c r="D120" s="2829" t="s">
        <v>2753</v>
      </c>
      <c r="E120" s="2855">
        <v>0.1</v>
      </c>
      <c r="F120" s="2855">
        <v>15</v>
      </c>
    </row>
    <row r="121" spans="1:6" ht="13.5">
      <c r="A121" s="2855">
        <v>49</v>
      </c>
      <c r="B121" s="3520"/>
      <c r="C121" s="2855" t="s">
        <v>2754</v>
      </c>
      <c r="D121" s="2829" t="s">
        <v>2755</v>
      </c>
      <c r="E121" s="2855">
        <v>0.1</v>
      </c>
      <c r="F121" s="2855">
        <v>15</v>
      </c>
    </row>
    <row r="122" spans="1:6" ht="24">
      <c r="A122" s="2855">
        <v>50</v>
      </c>
      <c r="B122" s="3518" t="s">
        <v>2756</v>
      </c>
      <c r="C122" s="2855" t="s">
        <v>2757</v>
      </c>
      <c r="D122" s="2829" t="s">
        <v>2758</v>
      </c>
      <c r="E122" s="2855">
        <v>0.1</v>
      </c>
      <c r="F122" s="2855">
        <v>15</v>
      </c>
    </row>
    <row r="123" spans="1:6" ht="24">
      <c r="A123" s="2855">
        <v>51</v>
      </c>
      <c r="B123" s="3518"/>
      <c r="C123" s="2855" t="s">
        <v>2759</v>
      </c>
      <c r="D123" s="2829" t="s">
        <v>2760</v>
      </c>
      <c r="E123" s="2855">
        <v>0.1</v>
      </c>
      <c r="F123" s="2855">
        <v>15</v>
      </c>
    </row>
    <row r="124" spans="1:6" ht="24">
      <c r="A124" s="2855">
        <v>52</v>
      </c>
      <c r="B124" s="3518" t="s">
        <v>2761</v>
      </c>
      <c r="C124" s="2855" t="s">
        <v>2762</v>
      </c>
      <c r="D124" s="2829" t="s">
        <v>2763</v>
      </c>
      <c r="E124" s="2855">
        <v>0.1</v>
      </c>
      <c r="F124" s="2855">
        <v>15</v>
      </c>
    </row>
    <row r="125" spans="1:6" ht="24">
      <c r="A125" s="2855">
        <v>53</v>
      </c>
      <c r="B125" s="3518"/>
      <c r="C125" s="2855" t="s">
        <v>2764</v>
      </c>
      <c r="D125" s="2829" t="s">
        <v>2765</v>
      </c>
      <c r="E125" s="2855">
        <v>0.1</v>
      </c>
      <c r="F125" s="2855">
        <v>15</v>
      </c>
    </row>
    <row r="126" spans="1:6" ht="13.5">
      <c r="A126" s="2855">
        <v>54</v>
      </c>
      <c r="B126" s="2855" t="s">
        <v>2766</v>
      </c>
      <c r="C126" s="2855" t="s">
        <v>2767</v>
      </c>
      <c r="D126" s="2829" t="s">
        <v>2768</v>
      </c>
      <c r="E126" s="2855">
        <v>0.1</v>
      </c>
      <c r="F126" s="2855">
        <v>15</v>
      </c>
    </row>
    <row r="127" spans="1:6" ht="13.5">
      <c r="A127" s="2855">
        <v>55</v>
      </c>
      <c r="B127" s="3518" t="s">
        <v>2769</v>
      </c>
      <c r="C127" s="2855" t="s">
        <v>2770</v>
      </c>
      <c r="D127" s="2829" t="s">
        <v>2771</v>
      </c>
      <c r="E127" s="2855">
        <v>0.1</v>
      </c>
      <c r="F127" s="2855">
        <v>15</v>
      </c>
    </row>
    <row r="128" spans="1:6" ht="13.5">
      <c r="A128" s="2855">
        <v>56</v>
      </c>
      <c r="B128" s="3518"/>
      <c r="C128" s="2855" t="s">
        <v>2772</v>
      </c>
      <c r="D128" s="2829" t="s">
        <v>2773</v>
      </c>
      <c r="E128" s="2855">
        <v>0.1</v>
      </c>
      <c r="F128" s="2855">
        <v>15</v>
      </c>
    </row>
    <row r="129" spans="1:6" ht="24">
      <c r="A129" s="2855">
        <v>57</v>
      </c>
      <c r="B129" s="3518"/>
      <c r="C129" s="2855" t="s">
        <v>2774</v>
      </c>
      <c r="D129" s="2829" t="s">
        <v>2775</v>
      </c>
      <c r="E129" s="2855">
        <v>0.1</v>
      </c>
      <c r="F129" s="2855">
        <v>15</v>
      </c>
    </row>
    <row r="130" spans="1:6" ht="24">
      <c r="A130" s="2855">
        <v>58</v>
      </c>
      <c r="B130" s="3518" t="s">
        <v>2776</v>
      </c>
      <c r="C130" s="2855" t="s">
        <v>2777</v>
      </c>
      <c r="D130" s="2829" t="s">
        <v>2778</v>
      </c>
      <c r="E130" s="2855">
        <v>0.1</v>
      </c>
      <c r="F130" s="2855">
        <v>15</v>
      </c>
    </row>
    <row r="131" spans="1:6" ht="13.5">
      <c r="A131" s="2855">
        <v>59</v>
      </c>
      <c r="B131" s="3518"/>
      <c r="C131" s="2855" t="s">
        <v>2779</v>
      </c>
      <c r="D131" s="2829" t="s">
        <v>2780</v>
      </c>
      <c r="E131" s="2855">
        <v>0.1</v>
      </c>
      <c r="F131" s="2855">
        <v>15</v>
      </c>
    </row>
    <row r="132" spans="1:6" ht="13.5">
      <c r="A132" s="2855">
        <v>60</v>
      </c>
      <c r="B132" s="3519" t="s">
        <v>2781</v>
      </c>
      <c r="C132" s="2855" t="s">
        <v>2782</v>
      </c>
      <c r="D132" s="2829" t="s">
        <v>2783</v>
      </c>
      <c r="E132" s="2855">
        <v>0.1</v>
      </c>
      <c r="F132" s="2855">
        <v>15</v>
      </c>
    </row>
    <row r="133" spans="1:6" ht="13.5">
      <c r="A133" s="2855">
        <v>61</v>
      </c>
      <c r="B133" s="3520"/>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13.5">
      <c r="A135" s="2855">
        <v>63</v>
      </c>
      <c r="B135" s="3518" t="s">
        <v>2789</v>
      </c>
      <c r="C135" s="2855" t="s">
        <v>2790</v>
      </c>
      <c r="D135" s="2829" t="s">
        <v>2791</v>
      </c>
      <c r="E135" s="2855">
        <v>0.1</v>
      </c>
      <c r="F135" s="2855">
        <v>15</v>
      </c>
    </row>
    <row r="136" spans="1:6" ht="13.5">
      <c r="A136" s="2855">
        <v>64</v>
      </c>
      <c r="B136" s="3518"/>
      <c r="C136" s="2855" t="s">
        <v>2792</v>
      </c>
      <c r="D136" s="2829" t="s">
        <v>2793</v>
      </c>
      <c r="E136" s="2855">
        <v>0.1</v>
      </c>
      <c r="F136" s="2855">
        <v>15</v>
      </c>
    </row>
    <row r="137" spans="1:6" ht="13.5">
      <c r="A137" s="2855">
        <v>65</v>
      </c>
      <c r="B137" s="2855" t="s">
        <v>2794</v>
      </c>
      <c r="C137" s="2855" t="s">
        <v>2795</v>
      </c>
      <c r="D137" s="2829" t="s">
        <v>2796</v>
      </c>
      <c r="E137" s="2855">
        <v>0.1</v>
      </c>
      <c r="F137" s="2855">
        <v>15</v>
      </c>
    </row>
    <row r="138" spans="1:6" ht="13.5">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29526</v>
      </c>
      <c r="C2" s="2" t="s">
        <v>106</v>
      </c>
      <c r="D2" s="191"/>
      <c r="E2" s="191"/>
      <c r="F2" s="191"/>
      <c r="G2" s="191"/>
    </row>
    <row r="3" spans="1:7" s="192" customFormat="1" ht="18" customHeight="1" thickBot="1">
      <c r="A3" s="195" t="s">
        <v>58</v>
      </c>
      <c r="B3" s="196">
        <f ca="1">ROUND(B2*10000/'数据-汇总表'!E3,0)</f>
        <v>77759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76</v>
      </c>
      <c r="D10" s="795">
        <f>'数据-汇总表'!E6</f>
        <v>3797.1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76</v>
      </c>
      <c r="D19" s="204">
        <f>'数据-汇总表'!E3</f>
        <v>3797.1</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3165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27713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1709</v>
      </c>
      <c r="D34" s="209"/>
      <c r="E34" s="212"/>
      <c r="F34" s="249">
        <f>IF('数据-取费表'!B24=0,1,'数据-取费表'!N16)</f>
        <v>1</v>
      </c>
      <c r="G34" s="211" t="s">
        <v>89</v>
      </c>
    </row>
    <row r="35" spans="1:7" ht="13.5" customHeight="1">
      <c r="A35" s="734" t="s">
        <v>351</v>
      </c>
      <c r="B35" s="207" t="s">
        <v>33</v>
      </c>
      <c r="C35" s="212">
        <f>ROUND(C34*F35,0)</f>
        <v>85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76</v>
      </c>
      <c r="D37" s="209">
        <f>'数据-汇总表'!E3</f>
        <v>3797.1</v>
      </c>
      <c r="E37" s="241">
        <f>'数据-取费表'!B35</f>
        <v>200</v>
      </c>
      <c r="F37" s="251"/>
      <c r="G37" s="253" t="s">
        <v>92</v>
      </c>
    </row>
    <row r="38" spans="1:7" ht="13.5" customHeight="1">
      <c r="A38" s="734" t="s">
        <v>354</v>
      </c>
      <c r="B38" s="207" t="s">
        <v>36</v>
      </c>
      <c r="C38" s="212">
        <f>ROUND(C34*F38,0)</f>
        <v>34</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59</v>
      </c>
      <c r="D42" s="230"/>
      <c r="E42" s="230"/>
      <c r="F42" s="231"/>
      <c r="G42" s="3395" t="s">
        <v>94</v>
      </c>
    </row>
    <row r="43" spans="1:7" ht="13.5" customHeight="1">
      <c r="A43" s="734" t="s">
        <v>347</v>
      </c>
      <c r="B43" s="207" t="s">
        <v>426</v>
      </c>
      <c r="C43" s="230">
        <f ca="1">ROUND(IF('数据-取费表'!B22&lt;=1,C39*F22*'数据-取费表'!B21/2,C39*(POWER((1+F22),'数据-取费表'!B21/2)-1)),0)</f>
        <v>1</v>
      </c>
      <c r="D43" s="230"/>
      <c r="E43" s="230"/>
      <c r="F43" s="231"/>
      <c r="G43" s="3396"/>
    </row>
    <row r="44" spans="1:7" ht="13.5" customHeight="1">
      <c r="A44" s="734" t="s">
        <v>348</v>
      </c>
      <c r="B44" s="207" t="s">
        <v>428</v>
      </c>
      <c r="C44" s="230">
        <f ca="1">ROUND(IF('数据-取费表'!B22&lt;=1,C40*F22*'数据-取费表'!B21/2,C40*(POWER((1+F22),'数据-取费表'!B21/2)-1)),4)</f>
        <v>5.9999999999999995E-4</v>
      </c>
      <c r="D44" s="230"/>
      <c r="E44" s="230"/>
      <c r="F44" s="231"/>
      <c r="G44" s="3397"/>
    </row>
    <row r="45" spans="1:7" s="206" customFormat="1" ht="13.5" customHeight="1">
      <c r="A45" s="731" t="s">
        <v>341</v>
      </c>
      <c r="B45" s="236" t="s">
        <v>85</v>
      </c>
      <c r="C45" s="237">
        <f>C46</f>
        <v>291</v>
      </c>
      <c r="D45" s="227">
        <f>C47</f>
        <v>3.0000000000000001E-3</v>
      </c>
      <c r="E45" s="228" t="s">
        <v>102</v>
      </c>
      <c r="F45" s="238"/>
      <c r="G45" s="239" t="s">
        <v>434</v>
      </c>
    </row>
    <row r="46" spans="1:7" s="206" customFormat="1" ht="13.5" customHeight="1">
      <c r="A46" s="734" t="s">
        <v>349</v>
      </c>
      <c r="B46" s="240" t="s">
        <v>427</v>
      </c>
      <c r="C46" s="241">
        <f>ROUND((C33+C39)*F27,0)</f>
        <v>291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2484</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1813</v>
      </c>
      <c r="D51" s="224"/>
      <c r="E51" s="224"/>
      <c r="F51" s="256"/>
      <c r="G51" s="226" t="s">
        <v>37</v>
      </c>
    </row>
    <row r="52" spans="1:7" s="200" customFormat="1" ht="16.5" thickBot="1">
      <c r="A52" s="257" t="s">
        <v>38</v>
      </c>
      <c r="B52" s="258"/>
      <c r="C52" s="259">
        <f ca="1">C31+C51</f>
        <v>29526</v>
      </c>
      <c r="D52" s="258"/>
      <c r="E52" s="258"/>
      <c r="F52" s="258"/>
      <c r="G52" s="260"/>
    </row>
    <row r="55" spans="1:7" ht="15">
      <c r="B55" s="262" t="s">
        <v>39</v>
      </c>
      <c r="C55" s="263"/>
    </row>
    <row r="56" spans="1:7">
      <c r="B56" s="265" t="s">
        <v>40</v>
      </c>
      <c r="C56" s="266">
        <f ca="1">ROUND(C51/C52,3)</f>
        <v>6.0999999999999999E-2</v>
      </c>
    </row>
    <row r="57" spans="1:7">
      <c r="B57" s="265" t="s">
        <v>41</v>
      </c>
      <c r="C57" s="267">
        <f ca="1">1-C56</f>
        <v>0.93900000000000006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391"/>
      <c r="B4" s="3217" t="s">
        <v>917</v>
      </c>
      <c r="C4" s="3217"/>
      <c r="D4" s="3217"/>
      <c r="E4" s="1391"/>
    </row>
    <row r="5" spans="1:5" ht="16.5" thickTop="1">
      <c r="B5" s="3215" t="s">
        <v>909</v>
      </c>
      <c r="C5" s="1392" t="s">
        <v>910</v>
      </c>
      <c r="D5" s="797">
        <f ca="1">结果表!H101</f>
        <v>9591</v>
      </c>
    </row>
    <row r="6" spans="1:5" ht="15.75">
      <c r="B6" s="3215"/>
      <c r="C6" s="1392" t="s">
        <v>911</v>
      </c>
      <c r="D6" s="797" t="str">
        <f ca="1">NUMBERSTRING(INT(D5*10000),2)&amp;"元整"</f>
        <v>玖仟伍佰玖拾壹万元整</v>
      </c>
    </row>
    <row r="7" spans="1:5" ht="15.75">
      <c r="B7" s="3220"/>
      <c r="C7" s="1393" t="s">
        <v>912</v>
      </c>
      <c r="D7" s="798">
        <f ca="1">结果表!H102</f>
        <v>25259</v>
      </c>
    </row>
    <row r="8" spans="1:5" ht="15.75">
      <c r="B8" s="3221" t="str">
        <f>结果表!E103</f>
        <v>2.估价师知悉的法定优先受偿款</v>
      </c>
      <c r="C8" s="1394" t="s">
        <v>913</v>
      </c>
      <c r="D8" s="798">
        <f>结果表!H103</f>
        <v>0</v>
      </c>
    </row>
    <row r="9" spans="1:5" ht="15.75">
      <c r="B9" s="322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4" t="str">
        <f>结果表!E107</f>
        <v>3.房地产抵押价值</v>
      </c>
      <c r="C13" s="1397" t="s">
        <v>910</v>
      </c>
      <c r="D13" s="800">
        <f ca="1">结果表!H107</f>
        <v>9591</v>
      </c>
    </row>
    <row r="14" spans="1:5" ht="15.75">
      <c r="B14" s="3215"/>
      <c r="C14" s="1392" t="s">
        <v>911</v>
      </c>
      <c r="D14" s="797" t="str">
        <f ca="1">NUMBERSTRING(INT(D13*10000),2)&amp;"元整"</f>
        <v>玖仟伍佰玖拾壹万元整</v>
      </c>
    </row>
    <row r="15" spans="1:5" ht="15">
      <c r="B15" s="3220"/>
      <c r="C15" s="1393" t="s">
        <v>921</v>
      </c>
      <c r="D15" s="806">
        <f ca="1">结果表!H108</f>
        <v>25259</v>
      </c>
    </row>
    <row r="16" spans="1:5" ht="15">
      <c r="B16" s="3221" t="str">
        <f>结果表!E109</f>
        <v>——</v>
      </c>
      <c r="C16" s="1397" t="s">
        <v>922</v>
      </c>
      <c r="D16" s="1398" t="str">
        <f>结果表!H109</f>
        <v>——</v>
      </c>
    </row>
    <row r="17" spans="1:5" ht="15.75">
      <c r="B17" s="3222"/>
      <c r="C17" s="1392" t="s">
        <v>923</v>
      </c>
      <c r="D17" s="797" t="e">
        <f>NUMBERSTRING(INT(D16*10000),2)&amp;"元整"</f>
        <v>#VALUE!</v>
      </c>
    </row>
    <row r="18" spans="1:5" ht="15">
      <c r="B18" s="3223"/>
      <c r="C18" s="1393" t="s">
        <v>912</v>
      </c>
      <c r="D18" s="806" t="str">
        <f>结果表!H110</f>
        <v>——</v>
      </c>
    </row>
    <row r="19" spans="1:5" ht="15.75">
      <c r="B19" s="3214" t="str">
        <f>结果表!E111</f>
        <v>4.抵押净值</v>
      </c>
      <c r="C19" s="1397" t="s">
        <v>910</v>
      </c>
      <c r="D19" s="798">
        <f ca="1">结果表!H111</f>
        <v>9586</v>
      </c>
    </row>
    <row r="20" spans="1:5" ht="15.75">
      <c r="B20" s="3215"/>
      <c r="C20" s="1392" t="s">
        <v>923</v>
      </c>
      <c r="D20" s="797" t="str">
        <f ca="1">NUMBERSTRING(INT(D19*10000),2)&amp;"元整"</f>
        <v>玖仟伍佰捌拾陆万元整</v>
      </c>
    </row>
    <row r="21" spans="1:5" ht="15.75" thickBot="1">
      <c r="B21" s="3216"/>
      <c r="C21" s="1399" t="s">
        <v>921</v>
      </c>
      <c r="D21" s="807">
        <f ca="1">结果表!H112</f>
        <v>25246</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30" t="s">
        <v>3181</v>
      </c>
      <c r="B1" s="3530"/>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31" t="s">
        <v>3232</v>
      </c>
      <c r="B1" s="3531"/>
      <c r="C1" s="3531"/>
      <c r="D1" s="3531"/>
      <c r="E1" s="3531"/>
      <c r="F1" s="3532"/>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20"/>
  <sheetViews>
    <sheetView workbookViewId="0">
      <selection activeCell="P38" sqref="P38"/>
    </sheetView>
  </sheetViews>
  <sheetFormatPr defaultRowHeight="13.5"/>
  <cols>
    <col min="2" max="2" width="18.375" customWidth="1"/>
    <col min="3" max="3" width="15.625" customWidth="1"/>
    <col min="4" max="4" width="12.75" customWidth="1"/>
    <col min="7" max="7" width="11.25" customWidth="1"/>
  </cols>
  <sheetData>
    <row r="1" spans="2:9">
      <c r="C1" s="1405" t="s">
        <v>3440</v>
      </c>
      <c r="F1" s="1405" t="s">
        <v>3499</v>
      </c>
    </row>
    <row r="2" spans="2:9">
      <c r="B2" s="1405" t="s">
        <v>3502</v>
      </c>
      <c r="C2">
        <v>55367185</v>
      </c>
      <c r="D2" s="3162">
        <v>45533</v>
      </c>
      <c r="F2">
        <f>ROUND(C2/C6,0)</f>
        <v>14581</v>
      </c>
    </row>
    <row r="3" spans="2:9">
      <c r="B3" s="1405" t="s">
        <v>3423</v>
      </c>
      <c r="C3">
        <v>13841.79</v>
      </c>
      <c r="D3" s="3162">
        <v>45608</v>
      </c>
    </row>
    <row r="4" spans="2:9">
      <c r="B4" s="1405" t="s">
        <v>3424</v>
      </c>
      <c r="C4">
        <v>1661015.55</v>
      </c>
      <c r="D4" s="3162">
        <v>45608</v>
      </c>
    </row>
    <row r="5" spans="2:9">
      <c r="G5" s="1405" t="s">
        <v>3513</v>
      </c>
      <c r="H5">
        <v>28</v>
      </c>
      <c r="I5" s="1405" t="s">
        <v>3514</v>
      </c>
    </row>
    <row r="6" spans="2:9">
      <c r="B6" s="1405" t="s">
        <v>3501</v>
      </c>
      <c r="C6">
        <f>'数据-汇总表'!E19</f>
        <v>3797.1</v>
      </c>
    </row>
    <row r="7" spans="2:9">
      <c r="B7" s="1405" t="s">
        <v>3500</v>
      </c>
      <c r="C7">
        <f>租赁合同明细!B11+租赁合同明细!B65+租赁合同明细!B119</f>
        <v>4181.3</v>
      </c>
    </row>
    <row r="8" spans="2:9">
      <c r="B8" s="1405"/>
    </row>
    <row r="9" spans="2:9">
      <c r="B9" s="1405" t="s">
        <v>3543</v>
      </c>
    </row>
    <row r="10" spans="2:9">
      <c r="B10" s="3172" t="s">
        <v>3544</v>
      </c>
      <c r="C10" s="3172" t="s">
        <v>3545</v>
      </c>
    </row>
    <row r="12" spans="2:9">
      <c r="B12" s="1405" t="s">
        <v>3562</v>
      </c>
    </row>
    <row r="13" spans="2:9">
      <c r="B13" s="1405" t="s">
        <v>3563</v>
      </c>
    </row>
    <row r="14" spans="2:9">
      <c r="B14" s="1405" t="s">
        <v>3564</v>
      </c>
    </row>
    <row r="16" spans="2:9">
      <c r="B16" s="1405" t="s">
        <v>3565</v>
      </c>
    </row>
    <row r="17" spans="2:2">
      <c r="B17" s="1405" t="s">
        <v>3566</v>
      </c>
    </row>
    <row r="18" spans="2:2">
      <c r="B18" s="1405" t="s">
        <v>3567</v>
      </c>
    </row>
    <row r="19" spans="2:2">
      <c r="B19" s="1405" t="s">
        <v>3568</v>
      </c>
    </row>
    <row r="20" spans="2:2">
      <c r="B20" s="1405" t="s">
        <v>3569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186"/>
  <sheetViews>
    <sheetView topLeftCell="A67" workbookViewId="0">
      <selection activeCell="E19" sqref="E19"/>
    </sheetView>
  </sheetViews>
  <sheetFormatPr defaultRowHeight="13.5"/>
  <cols>
    <col min="1" max="1" width="12.75" customWidth="1"/>
    <col min="2" max="2" width="14.75" customWidth="1"/>
    <col min="3" max="3" width="16.75" customWidth="1"/>
    <col min="4" max="4" width="18.5" customWidth="1"/>
    <col min="5" max="5" width="29.625" customWidth="1"/>
    <col min="6" max="6" width="15" bestFit="1" customWidth="1"/>
    <col min="7" max="7" width="17" customWidth="1"/>
    <col min="8" max="8" width="17.25" bestFit="1" customWidth="1"/>
    <col min="9" max="9" width="13.875" bestFit="1" customWidth="1"/>
  </cols>
  <sheetData>
    <row r="1" spans="1:13" ht="40.5">
      <c r="A1" s="3208"/>
      <c r="B1" s="3208" t="s">
        <v>3546</v>
      </c>
      <c r="C1" s="3208" t="s">
        <v>3388</v>
      </c>
      <c r="D1" s="3208" t="s">
        <v>3547</v>
      </c>
      <c r="E1" s="3208" t="s">
        <v>3548</v>
      </c>
      <c r="F1" s="3209" t="s">
        <v>3552</v>
      </c>
      <c r="G1" s="1405" t="s">
        <v>3551</v>
      </c>
    </row>
    <row r="2" spans="1:13">
      <c r="A2" s="3190">
        <v>1</v>
      </c>
      <c r="B2" s="3190" t="str">
        <f>A22</f>
        <v>速8酒店</v>
      </c>
      <c r="C2" s="3190">
        <f>B11</f>
        <v>2031.25</v>
      </c>
      <c r="D2" s="3190">
        <f>J57</f>
        <v>4.5999999999999996</v>
      </c>
      <c r="E2" s="3190" t="str">
        <f>D13</f>
        <v>不含税、供暖，含物业管理费</v>
      </c>
      <c r="F2">
        <f>D2*1.05</f>
        <v>4.83</v>
      </c>
      <c r="G2">
        <f>F2-$L$3</f>
        <v>3.9</v>
      </c>
      <c r="K2" s="1405" t="s">
        <v>3549</v>
      </c>
      <c r="L2">
        <v>28</v>
      </c>
      <c r="M2" s="1405" t="s">
        <v>3550</v>
      </c>
    </row>
    <row r="3" spans="1:13">
      <c r="A3" s="3190">
        <v>2</v>
      </c>
      <c r="B3" s="3190" t="str">
        <f>A76</f>
        <v>北岸轻居酒店</v>
      </c>
      <c r="C3" s="3190">
        <f>B65</f>
        <v>1729</v>
      </c>
      <c r="D3" s="3190">
        <f>I110</f>
        <v>4.83</v>
      </c>
      <c r="E3" s="3190" t="str">
        <f>D67</f>
        <v>含税、物业管理费，不含供暖</v>
      </c>
      <c r="F3">
        <f>D3</f>
        <v>4.83</v>
      </c>
      <c r="G3">
        <f>F3-$L$3</f>
        <v>3.9</v>
      </c>
      <c r="L3">
        <f>ROUND(L2/30,2)</f>
        <v>0.93</v>
      </c>
    </row>
    <row r="4" spans="1:13">
      <c r="A4" s="3190">
        <v>3</v>
      </c>
      <c r="B4" s="3190" t="str">
        <f>A128</f>
        <v>北氧益深办公</v>
      </c>
      <c r="C4" s="3190">
        <f>B119</f>
        <v>421.05</v>
      </c>
      <c r="D4" s="3190">
        <f>H186</f>
        <v>6.07</v>
      </c>
      <c r="E4" s="3190" t="str">
        <f>D121</f>
        <v>不含税、供暖，含物业、管理费</v>
      </c>
      <c r="F4">
        <f>ROUND(D4*1.05,2)</f>
        <v>6.37</v>
      </c>
      <c r="G4">
        <f>F4-$L$3</f>
        <v>5.44</v>
      </c>
    </row>
    <row r="5" spans="1:13">
      <c r="A5" s="3190"/>
      <c r="B5" s="3208" t="s">
        <v>2592</v>
      </c>
      <c r="C5" s="3190">
        <f>SUM(C2:C4)</f>
        <v>4181.3</v>
      </c>
      <c r="D5" s="3190"/>
      <c r="E5" s="3190"/>
      <c r="G5" s="3210">
        <f>ROUND((G2*C2+G3*C3+G4*C4)/C5,2)</f>
        <v>4.0599999999999996</v>
      </c>
      <c r="H5" s="3211" t="s">
        <v>3553</v>
      </c>
    </row>
    <row r="6" spans="1:13">
      <c r="B6" s="1405"/>
    </row>
    <row r="7" spans="1:13">
      <c r="B7" s="1405"/>
    </row>
    <row r="8" spans="1:13">
      <c r="A8" s="3172" t="s">
        <v>3439</v>
      </c>
    </row>
    <row r="10" spans="1:13">
      <c r="B10" s="1405" t="s">
        <v>3388</v>
      </c>
      <c r="C10" s="1405" t="s">
        <v>3426</v>
      </c>
      <c r="D10" s="1405" t="s">
        <v>3427</v>
      </c>
      <c r="E10" s="1405" t="s">
        <v>3425</v>
      </c>
      <c r="G10" s="1405" t="s">
        <v>3428</v>
      </c>
      <c r="H10" s="1405" t="s">
        <v>3425</v>
      </c>
    </row>
    <row r="11" spans="1:13">
      <c r="B11">
        <v>2031.25</v>
      </c>
      <c r="C11" s="3162">
        <v>45580</v>
      </c>
      <c r="D11" s="3162">
        <v>50098</v>
      </c>
      <c r="E11">
        <f>D11-C11</f>
        <v>4518</v>
      </c>
      <c r="G11" s="1405" t="s">
        <v>3429</v>
      </c>
      <c r="H11">
        <f>3.5*30</f>
        <v>105</v>
      </c>
    </row>
    <row r="13" spans="1:13">
      <c r="B13" s="1405" t="s">
        <v>3430</v>
      </c>
      <c r="C13">
        <v>3113906.25</v>
      </c>
      <c r="D13" s="1405" t="s">
        <v>3512</v>
      </c>
      <c r="G13" s="1405" t="s">
        <v>3472</v>
      </c>
      <c r="H13">
        <f>2.5+3.5</f>
        <v>6</v>
      </c>
    </row>
    <row r="14" spans="1:13">
      <c r="B14" s="1405" t="s">
        <v>3432</v>
      </c>
      <c r="C14">
        <v>259492.19</v>
      </c>
      <c r="G14" s="3172" t="s">
        <v>3473</v>
      </c>
      <c r="H14" s="3156">
        <f>H13*30</f>
        <v>180</v>
      </c>
    </row>
    <row r="15" spans="1:13">
      <c r="B15" s="1405" t="s">
        <v>3433</v>
      </c>
    </row>
    <row r="16" spans="1:13">
      <c r="B16" s="1405" t="s">
        <v>3434</v>
      </c>
    </row>
    <row r="17" spans="1:11">
      <c r="A17" s="1405" t="s">
        <v>3435</v>
      </c>
      <c r="B17" s="1405" t="s">
        <v>3436</v>
      </c>
    </row>
    <row r="18" spans="1:11">
      <c r="B18" s="1405" t="s">
        <v>3437</v>
      </c>
    </row>
    <row r="19" spans="1:11">
      <c r="B19" s="1405" t="s">
        <v>3438</v>
      </c>
    </row>
    <row r="21" spans="1:11">
      <c r="A21" s="1405" t="s">
        <v>3441</v>
      </c>
      <c r="B21" s="1405" t="s">
        <v>3443</v>
      </c>
      <c r="C21" s="1405" t="s">
        <v>3444</v>
      </c>
      <c r="D21" s="1405" t="s">
        <v>3445</v>
      </c>
      <c r="E21" s="1405" t="s">
        <v>3446</v>
      </c>
      <c r="F21" s="1405" t="s">
        <v>3447</v>
      </c>
      <c r="G21" s="1405" t="s">
        <v>3448</v>
      </c>
      <c r="H21" s="1405" t="s">
        <v>3449</v>
      </c>
      <c r="I21" s="1405" t="s">
        <v>3388</v>
      </c>
      <c r="J21" s="1405" t="s">
        <v>3450</v>
      </c>
      <c r="K21" s="1405" t="s">
        <v>3451</v>
      </c>
    </row>
    <row r="22" spans="1:11">
      <c r="A22" s="1405" t="s">
        <v>3442</v>
      </c>
      <c r="B22" s="3162">
        <v>45092</v>
      </c>
      <c r="C22" s="3162">
        <v>45580</v>
      </c>
      <c r="D22" s="3162">
        <v>50098</v>
      </c>
      <c r="E22" s="3165">
        <v>3113906.25</v>
      </c>
      <c r="F22" s="3163">
        <v>0.04</v>
      </c>
      <c r="G22" s="3162">
        <v>45731</v>
      </c>
      <c r="H22" s="1405" t="s">
        <v>3452</v>
      </c>
      <c r="I22" s="3164">
        <v>2031.25</v>
      </c>
      <c r="J22" s="3163">
        <v>0.6</v>
      </c>
      <c r="K22" s="3163">
        <v>0.4</v>
      </c>
    </row>
    <row r="25" spans="1:11">
      <c r="A25" s="1405" t="s">
        <v>3453</v>
      </c>
      <c r="D25" s="3172" t="s">
        <v>3462</v>
      </c>
    </row>
    <row r="26" spans="1:11">
      <c r="A26" s="3172" t="s">
        <v>3454</v>
      </c>
      <c r="B26" s="3172" t="s">
        <v>3455</v>
      </c>
      <c r="C26" s="3172" t="s">
        <v>3456</v>
      </c>
      <c r="D26" s="3172" t="s">
        <v>3457</v>
      </c>
      <c r="E26" s="3172" t="s">
        <v>654</v>
      </c>
      <c r="F26" s="3556" t="s">
        <v>3458</v>
      </c>
      <c r="G26" s="3172" t="s">
        <v>3459</v>
      </c>
      <c r="H26" s="1405" t="s">
        <v>2592</v>
      </c>
      <c r="I26" s="3172" t="s">
        <v>3463</v>
      </c>
      <c r="J26" s="3172" t="s">
        <v>3476</v>
      </c>
    </row>
    <row r="27" spans="1:11">
      <c r="A27" s="3173">
        <v>45579</v>
      </c>
      <c r="B27" s="3156"/>
      <c r="C27" s="3174">
        <v>45580</v>
      </c>
      <c r="D27" s="3173">
        <v>45761</v>
      </c>
      <c r="E27" s="3169">
        <v>934171.88</v>
      </c>
      <c r="F27" s="3169">
        <v>622781.25</v>
      </c>
      <c r="G27" s="3169">
        <v>518984.38</v>
      </c>
      <c r="H27" s="3165">
        <f>F27+E27+G27</f>
        <v>2075937.5099999998</v>
      </c>
      <c r="I27" s="3169">
        <f>H27</f>
        <v>2075937.5099999998</v>
      </c>
      <c r="J27">
        <f>ROUND((E27+F27)/(D27-C27)/$B$11,2)</f>
        <v>4.2300000000000004</v>
      </c>
    </row>
    <row r="28" spans="1:11">
      <c r="A28" s="3173">
        <v>45730</v>
      </c>
      <c r="B28" s="3156"/>
      <c r="C28" s="3173">
        <v>45762</v>
      </c>
      <c r="D28" s="3173">
        <v>45944</v>
      </c>
      <c r="E28" s="3169">
        <v>934171.88</v>
      </c>
      <c r="F28" s="3169">
        <v>622781.25</v>
      </c>
      <c r="G28" s="3165"/>
      <c r="H28" s="3165">
        <f>F28+E28+G28</f>
        <v>1556953.13</v>
      </c>
      <c r="I28" s="3169">
        <f t="shared" ref="I28:I52" si="0">H28</f>
        <v>1556953.13</v>
      </c>
      <c r="J28">
        <f t="shared" ref="J28:J55" si="1">ROUND((E28+F28)/(D28-C28)/$B$11,2)</f>
        <v>4.21</v>
      </c>
    </row>
    <row r="29" spans="1:11">
      <c r="A29" s="3173">
        <v>45914</v>
      </c>
      <c r="B29" s="3156"/>
      <c r="C29" s="3174">
        <v>45945</v>
      </c>
      <c r="D29" s="3173">
        <v>46126</v>
      </c>
      <c r="E29" s="3169">
        <v>934171.88</v>
      </c>
      <c r="F29" s="3169">
        <v>622781.25</v>
      </c>
      <c r="G29" s="3165"/>
      <c r="H29" s="3165">
        <f>F29+E29+G29</f>
        <v>1556953.13</v>
      </c>
      <c r="I29" s="3169">
        <f t="shared" si="0"/>
        <v>1556953.13</v>
      </c>
      <c r="J29">
        <f t="shared" si="1"/>
        <v>4.2300000000000004</v>
      </c>
    </row>
    <row r="30" spans="1:11">
      <c r="A30" s="3173">
        <v>46095</v>
      </c>
      <c r="B30" s="3156"/>
      <c r="C30" s="3173">
        <v>46127</v>
      </c>
      <c r="D30" s="3173">
        <v>46309</v>
      </c>
      <c r="E30" s="3169">
        <v>934171.88</v>
      </c>
      <c r="F30" s="3169">
        <v>622781.25</v>
      </c>
      <c r="G30" s="3165"/>
      <c r="H30" s="3165">
        <f>F30+E30+G30</f>
        <v>1556953.13</v>
      </c>
      <c r="I30" s="3169">
        <f t="shared" si="0"/>
        <v>1556953.13</v>
      </c>
      <c r="J30">
        <f t="shared" si="1"/>
        <v>4.21</v>
      </c>
    </row>
    <row r="31" spans="1:11">
      <c r="A31" s="3172" t="s">
        <v>3460</v>
      </c>
      <c r="B31" s="3173">
        <v>46310</v>
      </c>
      <c r="C31" s="3173">
        <v>46310</v>
      </c>
      <c r="D31" s="3173">
        <v>46340</v>
      </c>
      <c r="E31" s="3169"/>
      <c r="F31" s="3169"/>
      <c r="G31" s="3165"/>
      <c r="H31" s="3165">
        <f t="shared" ref="H31:H55" si="2">F31+E31+G31</f>
        <v>0</v>
      </c>
      <c r="I31" s="3169">
        <f t="shared" si="0"/>
        <v>0</v>
      </c>
      <c r="J31">
        <f t="shared" si="1"/>
        <v>0</v>
      </c>
    </row>
    <row r="32" spans="1:11">
      <c r="A32" s="3173">
        <v>46309</v>
      </c>
      <c r="B32" s="3156"/>
      <c r="C32" s="3173">
        <v>46341</v>
      </c>
      <c r="D32" s="3173">
        <v>46521</v>
      </c>
      <c r="E32" s="3169">
        <v>971538.75</v>
      </c>
      <c r="F32" s="3169">
        <v>647692.5</v>
      </c>
      <c r="G32" s="3165"/>
      <c r="H32" s="3165">
        <f t="shared" si="2"/>
        <v>1619231.25</v>
      </c>
      <c r="I32" s="3169">
        <f t="shared" si="0"/>
        <v>1619231.25</v>
      </c>
      <c r="J32">
        <f t="shared" si="1"/>
        <v>4.43</v>
      </c>
    </row>
    <row r="33" spans="1:10">
      <c r="A33" s="3173">
        <v>46491</v>
      </c>
      <c r="B33" s="3156"/>
      <c r="C33" s="3173">
        <v>46522</v>
      </c>
      <c r="D33" s="3173">
        <v>46705</v>
      </c>
      <c r="E33" s="3169">
        <v>971538.75</v>
      </c>
      <c r="F33" s="3169">
        <v>647692.5</v>
      </c>
      <c r="G33" s="3165"/>
      <c r="H33" s="3165">
        <f t="shared" si="2"/>
        <v>1619231.25</v>
      </c>
      <c r="I33" s="3169">
        <f t="shared" si="0"/>
        <v>1619231.25</v>
      </c>
      <c r="J33">
        <f t="shared" si="1"/>
        <v>4.3600000000000003</v>
      </c>
    </row>
    <row r="34" spans="1:10">
      <c r="A34" s="3173">
        <v>46674</v>
      </c>
      <c r="B34" s="3156"/>
      <c r="C34" s="3173">
        <v>46706</v>
      </c>
      <c r="D34" s="3173">
        <v>46887</v>
      </c>
      <c r="E34" s="3169">
        <v>971538.75</v>
      </c>
      <c r="F34" s="3169">
        <v>647692.5</v>
      </c>
      <c r="G34" s="3165"/>
      <c r="H34" s="3165">
        <f t="shared" si="2"/>
        <v>1619231.25</v>
      </c>
      <c r="I34" s="3169">
        <f t="shared" si="0"/>
        <v>1619231.25</v>
      </c>
      <c r="J34">
        <f t="shared" si="1"/>
        <v>4.4000000000000004</v>
      </c>
    </row>
    <row r="35" spans="1:10">
      <c r="A35" s="3172" t="s">
        <v>3460</v>
      </c>
      <c r="B35" s="3156"/>
      <c r="C35" s="3173">
        <v>46888</v>
      </c>
      <c r="D35" s="3173">
        <v>46918</v>
      </c>
      <c r="E35" s="3169"/>
      <c r="F35" s="3169"/>
      <c r="G35" s="3165"/>
      <c r="H35" s="3165">
        <f t="shared" si="2"/>
        <v>0</v>
      </c>
      <c r="I35" s="3169">
        <f t="shared" si="0"/>
        <v>0</v>
      </c>
      <c r="J35">
        <f t="shared" si="1"/>
        <v>0</v>
      </c>
    </row>
    <row r="36" spans="1:10">
      <c r="A36" s="3173">
        <v>46887</v>
      </c>
      <c r="B36" s="3156"/>
      <c r="C36" s="3173">
        <v>46919</v>
      </c>
      <c r="D36" s="3173">
        <v>47101</v>
      </c>
      <c r="E36" s="3169">
        <v>971538.75</v>
      </c>
      <c r="F36" s="3169">
        <v>647692.5</v>
      </c>
      <c r="G36" s="3165"/>
      <c r="H36" s="3165">
        <f t="shared" si="2"/>
        <v>1619231.25</v>
      </c>
      <c r="I36" s="3169">
        <f t="shared" si="0"/>
        <v>1619231.25</v>
      </c>
      <c r="J36">
        <f t="shared" si="1"/>
        <v>4.38</v>
      </c>
    </row>
    <row r="37" spans="1:10">
      <c r="A37" s="3173">
        <v>47071</v>
      </c>
      <c r="B37" s="3156"/>
      <c r="C37" s="3173">
        <v>47102</v>
      </c>
      <c r="D37" s="3173">
        <v>47283</v>
      </c>
      <c r="E37" s="3169">
        <v>971538.75</v>
      </c>
      <c r="F37" s="3169">
        <v>647692.5</v>
      </c>
      <c r="G37" s="3165"/>
      <c r="H37" s="3165">
        <f t="shared" si="2"/>
        <v>1619231.25</v>
      </c>
      <c r="I37" s="3169">
        <f t="shared" si="0"/>
        <v>1619231.25</v>
      </c>
      <c r="J37">
        <f t="shared" si="1"/>
        <v>4.4000000000000004</v>
      </c>
    </row>
    <row r="38" spans="1:10">
      <c r="A38" s="3172" t="s">
        <v>3460</v>
      </c>
      <c r="B38" s="3156"/>
      <c r="C38" s="3173">
        <v>47284</v>
      </c>
      <c r="D38" s="3174">
        <v>47313</v>
      </c>
      <c r="E38" s="3169"/>
      <c r="F38" s="3169"/>
      <c r="G38" s="3165"/>
      <c r="H38" s="3165">
        <f t="shared" si="2"/>
        <v>0</v>
      </c>
      <c r="I38" s="3169">
        <f t="shared" si="0"/>
        <v>0</v>
      </c>
      <c r="J38">
        <f t="shared" si="1"/>
        <v>0</v>
      </c>
    </row>
    <row r="39" spans="1:10">
      <c r="A39" s="3173">
        <v>47252</v>
      </c>
      <c r="B39" s="3173">
        <v>47406</v>
      </c>
      <c r="C39" s="3173">
        <v>47314</v>
      </c>
      <c r="D39" s="3173">
        <v>47497</v>
      </c>
      <c r="E39" s="3169">
        <v>988254.54</v>
      </c>
      <c r="F39" s="3169">
        <v>658836.36</v>
      </c>
      <c r="G39" s="3165"/>
      <c r="H39" s="3165">
        <f t="shared" si="2"/>
        <v>1647090.9</v>
      </c>
      <c r="I39" s="3169">
        <f t="shared" si="0"/>
        <v>1647090.9</v>
      </c>
      <c r="J39">
        <f t="shared" si="1"/>
        <v>4.43</v>
      </c>
    </row>
    <row r="40" spans="1:10">
      <c r="A40" s="3173">
        <v>47466</v>
      </c>
      <c r="B40" s="3156"/>
      <c r="C40" s="3173">
        <v>47498</v>
      </c>
      <c r="D40" s="3173">
        <v>47678</v>
      </c>
      <c r="E40" s="3169">
        <v>1010400.3</v>
      </c>
      <c r="F40" s="3169">
        <v>673600.2</v>
      </c>
      <c r="G40" s="3165"/>
      <c r="H40" s="3165">
        <f t="shared" si="2"/>
        <v>1684000.5</v>
      </c>
      <c r="I40" s="3169">
        <f t="shared" si="0"/>
        <v>1684000.5</v>
      </c>
      <c r="J40">
        <f t="shared" si="1"/>
        <v>4.6100000000000003</v>
      </c>
    </row>
    <row r="41" spans="1:10">
      <c r="A41" s="3172" t="s">
        <v>3461</v>
      </c>
      <c r="B41" s="3156"/>
      <c r="C41" s="3173">
        <v>47679</v>
      </c>
      <c r="D41" s="3173">
        <v>47695</v>
      </c>
      <c r="E41" s="3169"/>
      <c r="F41" s="3169"/>
      <c r="G41" s="3165"/>
      <c r="H41" s="3165">
        <f t="shared" si="2"/>
        <v>0</v>
      </c>
      <c r="I41" s="3169">
        <f t="shared" si="0"/>
        <v>0</v>
      </c>
      <c r="J41">
        <f t="shared" si="1"/>
        <v>0</v>
      </c>
    </row>
    <row r="42" spans="1:10">
      <c r="A42" s="3173">
        <v>47664</v>
      </c>
      <c r="B42" s="3156"/>
      <c r="C42" s="3173">
        <v>47696</v>
      </c>
      <c r="D42" s="3173">
        <v>47879</v>
      </c>
      <c r="E42" s="3169">
        <v>1010400.3</v>
      </c>
      <c r="F42" s="3169">
        <v>673600.2</v>
      </c>
      <c r="G42" s="3165"/>
      <c r="H42" s="3165">
        <f t="shared" si="2"/>
        <v>1684000.5</v>
      </c>
      <c r="I42" s="3169">
        <f t="shared" si="0"/>
        <v>1684000.5</v>
      </c>
      <c r="J42">
        <f t="shared" si="1"/>
        <v>4.53</v>
      </c>
    </row>
    <row r="43" spans="1:10">
      <c r="A43" s="3173">
        <v>47849</v>
      </c>
      <c r="B43" s="3156"/>
      <c r="C43" s="3173">
        <v>47880</v>
      </c>
      <c r="D43" s="3173">
        <v>48060</v>
      </c>
      <c r="E43" s="3169">
        <v>1010400.3</v>
      </c>
      <c r="F43" s="3169">
        <v>673600.2</v>
      </c>
      <c r="G43" s="3165"/>
      <c r="H43" s="3165">
        <f t="shared" si="2"/>
        <v>1684000.5</v>
      </c>
      <c r="I43" s="3169">
        <f t="shared" si="0"/>
        <v>1684000.5</v>
      </c>
      <c r="J43">
        <f t="shared" si="1"/>
        <v>4.6100000000000003</v>
      </c>
    </row>
    <row r="44" spans="1:10">
      <c r="A44" s="3173">
        <v>48029</v>
      </c>
      <c r="B44" s="3156"/>
      <c r="C44" s="3173">
        <v>48061</v>
      </c>
      <c r="D44" s="3173">
        <v>48244</v>
      </c>
      <c r="E44" s="3169">
        <v>1010400.3</v>
      </c>
      <c r="F44" s="3169">
        <v>673600.2</v>
      </c>
      <c r="G44" s="3165"/>
      <c r="H44" s="3165">
        <f t="shared" si="2"/>
        <v>1684000.5</v>
      </c>
      <c r="I44" s="3169">
        <f t="shared" si="0"/>
        <v>1684000.5</v>
      </c>
      <c r="J44">
        <f t="shared" si="1"/>
        <v>4.53</v>
      </c>
    </row>
    <row r="45" spans="1:10">
      <c r="A45" s="3173">
        <v>48214</v>
      </c>
      <c r="B45" s="3156"/>
      <c r="C45" s="3173">
        <v>48245</v>
      </c>
      <c r="D45" s="3173">
        <v>48426</v>
      </c>
      <c r="E45" s="3169">
        <v>1010400.3</v>
      </c>
      <c r="F45" s="3169">
        <v>673600.2</v>
      </c>
      <c r="G45" s="3165"/>
      <c r="H45" s="3165">
        <f t="shared" si="2"/>
        <v>1684000.5</v>
      </c>
      <c r="I45" s="3169">
        <f t="shared" si="0"/>
        <v>1684000.5</v>
      </c>
      <c r="J45">
        <f t="shared" si="1"/>
        <v>4.58</v>
      </c>
    </row>
    <row r="46" spans="1:10">
      <c r="A46" s="3173">
        <v>48395</v>
      </c>
      <c r="B46" s="3173">
        <v>48502</v>
      </c>
      <c r="C46" s="3173">
        <v>48427</v>
      </c>
      <c r="D46" s="3173">
        <v>48610</v>
      </c>
      <c r="E46" s="3169">
        <v>1031549.5</v>
      </c>
      <c r="F46" s="3169">
        <v>687699.67</v>
      </c>
      <c r="G46" s="3165"/>
      <c r="H46" s="3165">
        <f t="shared" si="2"/>
        <v>1719249.17</v>
      </c>
      <c r="I46" s="3169">
        <f t="shared" si="0"/>
        <v>1719249.17</v>
      </c>
      <c r="J46">
        <f t="shared" si="1"/>
        <v>4.63</v>
      </c>
    </row>
    <row r="47" spans="1:10">
      <c r="A47" s="3173">
        <v>48580</v>
      </c>
      <c r="B47" s="3156"/>
      <c r="C47" s="3173">
        <v>48611</v>
      </c>
      <c r="D47" s="3173">
        <v>48791</v>
      </c>
      <c r="E47" s="3169">
        <v>1050816.31</v>
      </c>
      <c r="F47" s="3169">
        <v>700544.21</v>
      </c>
      <c r="G47" s="3165"/>
      <c r="H47" s="3165">
        <f t="shared" si="2"/>
        <v>1751360.52</v>
      </c>
      <c r="I47" s="3169">
        <f t="shared" si="0"/>
        <v>1751360.52</v>
      </c>
      <c r="J47">
        <f t="shared" si="1"/>
        <v>4.79</v>
      </c>
    </row>
    <row r="48" spans="1:10">
      <c r="A48" s="3173">
        <v>48760</v>
      </c>
      <c r="B48" s="3156"/>
      <c r="C48" s="3173">
        <v>48792</v>
      </c>
      <c r="D48" s="3173">
        <v>48975</v>
      </c>
      <c r="E48" s="3169">
        <v>1050816.31</v>
      </c>
      <c r="F48" s="3169">
        <v>700544.21</v>
      </c>
      <c r="G48" s="3165"/>
      <c r="H48" s="3165">
        <f t="shared" si="2"/>
        <v>1751360.52</v>
      </c>
      <c r="I48" s="3169">
        <f t="shared" si="0"/>
        <v>1751360.52</v>
      </c>
      <c r="J48">
        <f t="shared" si="1"/>
        <v>4.71</v>
      </c>
    </row>
    <row r="49" spans="1:11">
      <c r="A49" s="3173">
        <v>48945</v>
      </c>
      <c r="B49" s="3156"/>
      <c r="C49" s="3173">
        <v>48976</v>
      </c>
      <c r="D49" s="3173">
        <v>49156</v>
      </c>
      <c r="E49" s="3169">
        <v>1050816.31</v>
      </c>
      <c r="F49" s="3169">
        <v>700544.21</v>
      </c>
      <c r="G49" s="3165"/>
      <c r="H49" s="3165">
        <f t="shared" si="2"/>
        <v>1751360.52</v>
      </c>
      <c r="I49" s="3169">
        <f t="shared" si="0"/>
        <v>1751360.52</v>
      </c>
      <c r="J49">
        <f t="shared" si="1"/>
        <v>4.79</v>
      </c>
    </row>
    <row r="50" spans="1:11">
      <c r="A50" s="3173">
        <v>49125</v>
      </c>
      <c r="B50" s="3156"/>
      <c r="C50" s="3173">
        <v>49157</v>
      </c>
      <c r="D50" s="3173">
        <v>49340</v>
      </c>
      <c r="E50" s="3169">
        <v>1050816.31</v>
      </c>
      <c r="F50" s="3169">
        <v>700544.21</v>
      </c>
      <c r="G50" s="3165"/>
      <c r="H50" s="3165">
        <f t="shared" si="2"/>
        <v>1751360.52</v>
      </c>
      <c r="I50" s="3169">
        <f t="shared" si="0"/>
        <v>1751360.52</v>
      </c>
      <c r="J50">
        <f t="shared" si="1"/>
        <v>4.71</v>
      </c>
    </row>
    <row r="51" spans="1:11">
      <c r="A51" s="3173">
        <v>49310</v>
      </c>
      <c r="B51" s="3156"/>
      <c r="C51" s="3173">
        <v>49341</v>
      </c>
      <c r="D51" s="3173">
        <v>49521</v>
      </c>
      <c r="E51" s="3169">
        <v>1050816.31</v>
      </c>
      <c r="F51" s="3169">
        <v>700544.21</v>
      </c>
      <c r="G51" s="3165"/>
      <c r="H51" s="3165">
        <f t="shared" si="2"/>
        <v>1751360.52</v>
      </c>
      <c r="I51" s="3169">
        <f t="shared" si="0"/>
        <v>1751360.52</v>
      </c>
      <c r="J51">
        <f t="shared" si="1"/>
        <v>4.79</v>
      </c>
    </row>
    <row r="52" spans="1:11">
      <c r="A52" s="3173">
        <v>49490</v>
      </c>
      <c r="B52" s="3173">
        <v>49597</v>
      </c>
      <c r="C52" s="3173">
        <v>49522</v>
      </c>
      <c r="D52" s="3173">
        <v>49705</v>
      </c>
      <c r="E52" s="3169">
        <v>1072811.48</v>
      </c>
      <c r="F52" s="3169">
        <v>715207.65</v>
      </c>
      <c r="G52" s="3165"/>
      <c r="H52" s="3165">
        <f t="shared" si="2"/>
        <v>1788019.13</v>
      </c>
      <c r="I52" s="3169">
        <f t="shared" si="0"/>
        <v>1788019.13</v>
      </c>
      <c r="J52">
        <f t="shared" si="1"/>
        <v>4.8099999999999996</v>
      </c>
    </row>
    <row r="53" spans="1:11">
      <c r="A53" s="3173">
        <v>49675</v>
      </c>
      <c r="B53" s="3156"/>
      <c r="C53" s="3173">
        <v>49706</v>
      </c>
      <c r="D53" s="3173">
        <v>49887</v>
      </c>
      <c r="E53" s="3170">
        <v>1092848.9639999999</v>
      </c>
      <c r="F53" s="3170">
        <v>728565.97600000002</v>
      </c>
      <c r="G53" s="3165"/>
      <c r="H53" s="3166">
        <f t="shared" si="2"/>
        <v>1821414.94</v>
      </c>
      <c r="I53" s="3170">
        <v>1821414.9410000001</v>
      </c>
      <c r="J53">
        <f t="shared" si="1"/>
        <v>4.95</v>
      </c>
    </row>
    <row r="54" spans="1:11">
      <c r="A54" s="3173">
        <v>49856</v>
      </c>
      <c r="B54" s="3156"/>
      <c r="C54" s="3173">
        <v>49888</v>
      </c>
      <c r="D54" s="3173">
        <v>50071</v>
      </c>
      <c r="E54" s="3170">
        <v>1092848.9639999999</v>
      </c>
      <c r="F54" s="3170">
        <v>728565.97600000002</v>
      </c>
      <c r="G54" s="3165"/>
      <c r="H54" s="3165">
        <f t="shared" si="2"/>
        <v>1821414.94</v>
      </c>
      <c r="I54" s="3170">
        <v>1821414.9410000001</v>
      </c>
      <c r="J54">
        <f t="shared" si="1"/>
        <v>4.9000000000000004</v>
      </c>
    </row>
    <row r="55" spans="1:11">
      <c r="A55" s="3173">
        <v>50041</v>
      </c>
      <c r="B55" s="3156"/>
      <c r="C55" s="3173">
        <v>50072</v>
      </c>
      <c r="D55" s="3173">
        <v>50098</v>
      </c>
      <c r="E55" s="3171">
        <v>155693.55110000001</v>
      </c>
      <c r="F55" s="3170">
        <v>103795.701</v>
      </c>
      <c r="G55" s="3167"/>
      <c r="H55" s="3167">
        <f t="shared" si="2"/>
        <v>259489.25210000001</v>
      </c>
      <c r="I55" s="3171">
        <v>259489.2518</v>
      </c>
      <c r="J55">
        <f t="shared" si="1"/>
        <v>4.91</v>
      </c>
    </row>
    <row r="56" spans="1:11">
      <c r="E56" s="3165">
        <f>SUM(E27:E55)</f>
        <v>24334471.319100004</v>
      </c>
      <c r="F56" s="3168">
        <f t="shared" ref="F56:H56" si="3">SUM(F27:F55)</f>
        <v>16222980.883000001</v>
      </c>
      <c r="G56" s="3165"/>
      <c r="H56" s="3165">
        <f t="shared" si="3"/>
        <v>41076436.582099997</v>
      </c>
      <c r="I56" s="3169">
        <v>41076436.560000002</v>
      </c>
    </row>
    <row r="57" spans="1:11">
      <c r="D57" s="1405" t="s">
        <v>3464</v>
      </c>
      <c r="E57" s="3169">
        <v>24334471.309999999</v>
      </c>
      <c r="F57" s="3169">
        <v>16222980.9</v>
      </c>
      <c r="G57" s="3165"/>
      <c r="H57" s="3169">
        <v>41076436.560000002</v>
      </c>
      <c r="J57" s="3156">
        <f>ROUND((E57+F57)/((D55-C27)-H14)/B11,2)</f>
        <v>4.5999999999999996</v>
      </c>
      <c r="K57" s="3172" t="s">
        <v>3470</v>
      </c>
    </row>
    <row r="58" spans="1:11">
      <c r="E58" s="3165"/>
      <c r="F58" s="3165"/>
      <c r="G58" s="3165"/>
      <c r="H58" s="3165"/>
    </row>
    <row r="59" spans="1:11">
      <c r="C59" s="1405"/>
      <c r="D59" s="3165"/>
      <c r="E59" s="3176"/>
      <c r="F59" s="3165"/>
      <c r="G59" s="3165"/>
      <c r="H59" s="3165"/>
    </row>
    <row r="60" spans="1:11">
      <c r="E60" s="3165"/>
      <c r="F60" s="3165"/>
      <c r="G60" s="3165"/>
      <c r="H60" s="3165"/>
    </row>
    <row r="61" spans="1:11">
      <c r="E61" s="3165"/>
      <c r="F61" s="3165"/>
      <c r="G61" s="3165"/>
      <c r="H61" s="3165"/>
    </row>
    <row r="62" spans="1:11">
      <c r="E62" s="3165"/>
      <c r="F62" s="3165"/>
      <c r="G62" s="3165"/>
      <c r="H62" s="3165"/>
    </row>
    <row r="63" spans="1:11">
      <c r="A63" s="3172" t="s">
        <v>3465</v>
      </c>
      <c r="E63" s="3165"/>
      <c r="F63" s="3165"/>
      <c r="G63" s="3165"/>
      <c r="H63" s="3165"/>
    </row>
    <row r="64" spans="1:11">
      <c r="B64" s="1405" t="s">
        <v>3388</v>
      </c>
      <c r="C64" s="1405" t="s">
        <v>3466</v>
      </c>
      <c r="E64" s="1405" t="s">
        <v>3425</v>
      </c>
      <c r="G64" s="1405" t="s">
        <v>3428</v>
      </c>
      <c r="H64" s="1405" t="s">
        <v>3425</v>
      </c>
    </row>
    <row r="65" spans="1:11">
      <c r="B65">
        <v>1729</v>
      </c>
      <c r="C65" s="3162">
        <v>45580</v>
      </c>
      <c r="D65" s="3162">
        <v>50098</v>
      </c>
      <c r="E65" s="3156">
        <f>D65-C65</f>
        <v>4518</v>
      </c>
      <c r="G65" s="1405" t="s">
        <v>3429</v>
      </c>
      <c r="H65">
        <f>3.5*30</f>
        <v>105</v>
      </c>
    </row>
    <row r="66" spans="1:11">
      <c r="E66" s="3165"/>
      <c r="F66" s="3165"/>
      <c r="G66" s="3165"/>
      <c r="H66" s="3165"/>
    </row>
    <row r="67" spans="1:11">
      <c r="B67" s="1405" t="s">
        <v>3430</v>
      </c>
      <c r="C67">
        <v>2730000</v>
      </c>
      <c r="D67" s="1405" t="s">
        <v>3515</v>
      </c>
      <c r="F67" s="3165"/>
      <c r="G67" s="3165"/>
      <c r="H67" s="3165"/>
    </row>
    <row r="68" spans="1:11">
      <c r="B68" s="1405" t="s">
        <v>3432</v>
      </c>
      <c r="C68">
        <v>227500</v>
      </c>
      <c r="F68" s="3165"/>
      <c r="G68" s="3165"/>
      <c r="H68" s="3165"/>
    </row>
    <row r="69" spans="1:11">
      <c r="B69" s="1405" t="s">
        <v>3433</v>
      </c>
      <c r="F69" s="1405" t="s">
        <v>3472</v>
      </c>
      <c r="G69">
        <f>2.5+3.5</f>
        <v>6</v>
      </c>
      <c r="H69" s="3165"/>
    </row>
    <row r="70" spans="1:11">
      <c r="B70" s="1405" t="s">
        <v>3467</v>
      </c>
      <c r="F70" s="1405" t="s">
        <v>3473</v>
      </c>
      <c r="G70">
        <f>G69*30</f>
        <v>180</v>
      </c>
      <c r="H70" s="3165"/>
    </row>
    <row r="71" spans="1:11">
      <c r="B71" s="1405" t="s">
        <v>3435</v>
      </c>
      <c r="C71" s="1405" t="s">
        <v>3436</v>
      </c>
      <c r="E71" s="3165"/>
      <c r="F71" s="3165"/>
      <c r="G71" s="3165"/>
      <c r="H71" s="3165"/>
    </row>
    <row r="72" spans="1:11">
      <c r="C72" s="1405" t="s">
        <v>3437</v>
      </c>
      <c r="E72" s="3165"/>
      <c r="F72" s="3165"/>
      <c r="G72" s="3165"/>
      <c r="H72" s="3165"/>
    </row>
    <row r="73" spans="1:11">
      <c r="C73" s="1405" t="s">
        <v>3438</v>
      </c>
      <c r="E73" s="3165"/>
      <c r="F73" s="3165"/>
      <c r="G73" s="3165"/>
      <c r="H73" s="3165"/>
    </row>
    <row r="74" spans="1:11">
      <c r="E74" s="3165"/>
      <c r="F74" s="3165"/>
      <c r="G74" s="3165"/>
      <c r="H74" s="3165"/>
    </row>
    <row r="75" spans="1:11">
      <c r="A75" s="1405" t="s">
        <v>3441</v>
      </c>
      <c r="B75" s="1405" t="s">
        <v>3443</v>
      </c>
      <c r="C75" s="1405" t="s">
        <v>3444</v>
      </c>
      <c r="D75" s="1405" t="s">
        <v>3445</v>
      </c>
      <c r="E75" s="1405" t="s">
        <v>3446</v>
      </c>
      <c r="F75" s="1405" t="s">
        <v>3447</v>
      </c>
      <c r="G75" s="1405" t="s">
        <v>3448</v>
      </c>
      <c r="H75" s="1405" t="s">
        <v>3449</v>
      </c>
      <c r="I75" s="1405" t="s">
        <v>3388</v>
      </c>
      <c r="J75" s="1405" t="s">
        <v>3450</v>
      </c>
      <c r="K75" s="1405" t="s">
        <v>3451</v>
      </c>
    </row>
    <row r="76" spans="1:11">
      <c r="A76" s="1405" t="s">
        <v>3468</v>
      </c>
      <c r="B76" s="3162">
        <v>45231</v>
      </c>
      <c r="C76" s="3162">
        <v>45580</v>
      </c>
      <c r="D76" s="3162">
        <v>50098</v>
      </c>
      <c r="E76" s="3165">
        <v>2730000</v>
      </c>
      <c r="F76" s="3163">
        <v>0.05</v>
      </c>
      <c r="G76" s="3162">
        <v>45667</v>
      </c>
      <c r="H76" s="1405" t="s">
        <v>3452</v>
      </c>
      <c r="I76" s="3175" t="s">
        <v>3469</v>
      </c>
      <c r="J76" s="3163">
        <v>0.6</v>
      </c>
      <c r="K76" s="3163">
        <v>0.4</v>
      </c>
    </row>
    <row r="77" spans="1:11">
      <c r="E77" s="3165"/>
      <c r="F77" s="3165"/>
      <c r="G77" s="3165"/>
      <c r="H77" s="3165"/>
    </row>
    <row r="78" spans="1:11">
      <c r="A78" s="1405" t="s">
        <v>3453</v>
      </c>
      <c r="D78" s="3172" t="s">
        <v>3462</v>
      </c>
    </row>
    <row r="79" spans="1:11">
      <c r="A79" s="3172" t="s">
        <v>3454</v>
      </c>
      <c r="B79" s="3172" t="s">
        <v>3455</v>
      </c>
      <c r="C79" s="3172" t="s">
        <v>3456</v>
      </c>
      <c r="D79" s="3172" t="s">
        <v>3457</v>
      </c>
      <c r="E79" s="3172" t="s">
        <v>654</v>
      </c>
      <c r="F79" s="3172" t="s">
        <v>3458</v>
      </c>
      <c r="G79" s="3172" t="s">
        <v>3459</v>
      </c>
      <c r="H79" s="1405" t="s">
        <v>2592</v>
      </c>
      <c r="I79" s="3172" t="s">
        <v>3471</v>
      </c>
    </row>
    <row r="80" spans="1:11">
      <c r="A80" s="3162">
        <v>45579</v>
      </c>
      <c r="C80" s="3162">
        <v>45580</v>
      </c>
      <c r="D80" s="3162">
        <v>45761</v>
      </c>
      <c r="E80" s="3165">
        <v>819000</v>
      </c>
      <c r="F80" s="3165">
        <v>546000</v>
      </c>
      <c r="G80" s="3165">
        <v>455000</v>
      </c>
      <c r="H80" s="3165">
        <f>E80+F80+G80</f>
        <v>1820000</v>
      </c>
      <c r="I80">
        <f>ROUND((E80+F80)/(D80-C80)/$B$65,2)</f>
        <v>4.3600000000000003</v>
      </c>
      <c r="J80">
        <f>ROUND(I80*(1-0.05),2)</f>
        <v>4.1399999999999997</v>
      </c>
    </row>
    <row r="81" spans="1:10">
      <c r="A81" s="3162">
        <v>45730</v>
      </c>
      <c r="C81" s="3162">
        <v>45762</v>
      </c>
      <c r="D81" s="3162">
        <v>45944</v>
      </c>
      <c r="E81" s="3165">
        <v>819000</v>
      </c>
      <c r="F81" s="3165">
        <v>546000</v>
      </c>
      <c r="G81" s="3165"/>
      <c r="H81" s="3165">
        <f t="shared" ref="H81:H108" si="4">E81+F81+G81</f>
        <v>1365000</v>
      </c>
      <c r="I81">
        <f t="shared" ref="I81:I108" si="5">ROUND((E81+F81)/(D81-C81)/$B$65,2)</f>
        <v>4.34</v>
      </c>
      <c r="J81">
        <f t="shared" ref="J81:J108" si="6">ROUND(I81*(1-0.05),2)</f>
        <v>4.12</v>
      </c>
    </row>
    <row r="82" spans="1:10">
      <c r="A82" s="3162">
        <v>45914</v>
      </c>
      <c r="C82" s="3162">
        <v>45945</v>
      </c>
      <c r="D82" s="3162">
        <v>46126</v>
      </c>
      <c r="E82" s="3165">
        <v>819000</v>
      </c>
      <c r="F82" s="3165">
        <v>546000</v>
      </c>
      <c r="G82" s="3165"/>
      <c r="H82" s="3165">
        <f t="shared" si="4"/>
        <v>1365000</v>
      </c>
      <c r="I82">
        <f t="shared" si="5"/>
        <v>4.3600000000000003</v>
      </c>
      <c r="J82">
        <f t="shared" si="6"/>
        <v>4.1399999999999997</v>
      </c>
    </row>
    <row r="83" spans="1:10">
      <c r="A83" s="3162">
        <v>46095</v>
      </c>
      <c r="C83" s="3162">
        <v>46127</v>
      </c>
      <c r="D83" s="3162">
        <v>46309</v>
      </c>
      <c r="E83" s="3165">
        <v>819000</v>
      </c>
      <c r="F83" s="3165">
        <v>546000</v>
      </c>
      <c r="G83" s="3165"/>
      <c r="H83" s="3165">
        <f t="shared" si="4"/>
        <v>1365000</v>
      </c>
      <c r="I83">
        <f t="shared" si="5"/>
        <v>4.34</v>
      </c>
      <c r="J83">
        <f t="shared" si="6"/>
        <v>4.12</v>
      </c>
    </row>
    <row r="84" spans="1:10">
      <c r="A84" s="1405" t="s">
        <v>3460</v>
      </c>
      <c r="B84" s="3162">
        <v>46310</v>
      </c>
      <c r="C84" s="3162">
        <v>46310</v>
      </c>
      <c r="D84" s="3162">
        <v>46340</v>
      </c>
      <c r="E84" s="3165"/>
      <c r="F84" s="3165"/>
      <c r="G84" s="3165"/>
      <c r="H84" s="3165">
        <f t="shared" si="4"/>
        <v>0</v>
      </c>
      <c r="I84">
        <f t="shared" si="5"/>
        <v>0</v>
      </c>
      <c r="J84">
        <f t="shared" si="6"/>
        <v>0</v>
      </c>
    </row>
    <row r="85" spans="1:10">
      <c r="A85" s="3162">
        <v>46309</v>
      </c>
      <c r="C85" s="3162">
        <v>46341</v>
      </c>
      <c r="D85" s="3162">
        <v>46521</v>
      </c>
      <c r="E85" s="3165">
        <v>859950</v>
      </c>
      <c r="F85" s="3165">
        <v>573300</v>
      </c>
      <c r="G85" s="3165"/>
      <c r="H85" s="3165">
        <f t="shared" si="4"/>
        <v>1433250</v>
      </c>
      <c r="I85">
        <f t="shared" si="5"/>
        <v>4.6100000000000003</v>
      </c>
      <c r="J85">
        <f t="shared" si="6"/>
        <v>4.38</v>
      </c>
    </row>
    <row r="86" spans="1:10">
      <c r="A86" s="3162">
        <v>46491</v>
      </c>
      <c r="C86" s="3162">
        <v>46522</v>
      </c>
      <c r="D86" s="3162">
        <v>46705</v>
      </c>
      <c r="E86" s="3165">
        <v>859950</v>
      </c>
      <c r="F86" s="3165">
        <v>573300</v>
      </c>
      <c r="G86" s="3165"/>
      <c r="H86" s="3165">
        <f t="shared" si="4"/>
        <v>1433250</v>
      </c>
      <c r="I86">
        <f t="shared" si="5"/>
        <v>4.53</v>
      </c>
      <c r="J86">
        <f t="shared" si="6"/>
        <v>4.3</v>
      </c>
    </row>
    <row r="87" spans="1:10">
      <c r="A87" s="3162">
        <v>46674</v>
      </c>
      <c r="C87" s="3162">
        <v>46706</v>
      </c>
      <c r="D87" s="3162">
        <v>46887</v>
      </c>
      <c r="E87" s="3165">
        <v>859950</v>
      </c>
      <c r="F87" s="3165">
        <v>573300</v>
      </c>
      <c r="G87" s="3165"/>
      <c r="H87" s="3165">
        <f t="shared" si="4"/>
        <v>1433250</v>
      </c>
      <c r="I87">
        <f t="shared" si="5"/>
        <v>4.58</v>
      </c>
      <c r="J87">
        <f t="shared" si="6"/>
        <v>4.3499999999999996</v>
      </c>
    </row>
    <row r="88" spans="1:10">
      <c r="A88" s="1405" t="s">
        <v>3460</v>
      </c>
      <c r="C88" s="3162">
        <v>46888</v>
      </c>
      <c r="D88" s="3162">
        <v>46918</v>
      </c>
      <c r="E88" s="3165"/>
      <c r="F88" s="3165"/>
      <c r="G88" s="3165"/>
      <c r="H88" s="3165">
        <f t="shared" si="4"/>
        <v>0</v>
      </c>
      <c r="I88">
        <f t="shared" si="5"/>
        <v>0</v>
      </c>
      <c r="J88">
        <f t="shared" si="6"/>
        <v>0</v>
      </c>
    </row>
    <row r="89" spans="1:10">
      <c r="A89" s="3162">
        <v>46887</v>
      </c>
      <c r="C89" s="3162">
        <v>46919</v>
      </c>
      <c r="D89" s="3162">
        <v>47101</v>
      </c>
      <c r="E89" s="3165">
        <v>859950</v>
      </c>
      <c r="F89" s="3165">
        <v>573300</v>
      </c>
      <c r="G89" s="3165"/>
      <c r="H89" s="3165">
        <f t="shared" si="4"/>
        <v>1433250</v>
      </c>
      <c r="I89">
        <f t="shared" si="5"/>
        <v>4.55</v>
      </c>
      <c r="J89">
        <f t="shared" si="6"/>
        <v>4.32</v>
      </c>
    </row>
    <row r="90" spans="1:10">
      <c r="A90" s="3162">
        <v>47071</v>
      </c>
      <c r="C90" s="3162">
        <v>47102</v>
      </c>
      <c r="D90" s="3162">
        <v>47283</v>
      </c>
      <c r="E90" s="3165">
        <v>859950</v>
      </c>
      <c r="F90" s="3165">
        <v>573300</v>
      </c>
      <c r="G90" s="3165"/>
      <c r="H90" s="3165">
        <f t="shared" si="4"/>
        <v>1433250</v>
      </c>
      <c r="I90">
        <f t="shared" si="5"/>
        <v>4.58</v>
      </c>
      <c r="J90">
        <f t="shared" si="6"/>
        <v>4.3499999999999996</v>
      </c>
    </row>
    <row r="91" spans="1:10">
      <c r="A91" s="1405" t="s">
        <v>3460</v>
      </c>
      <c r="C91" s="3162">
        <v>47284</v>
      </c>
      <c r="D91" s="3162">
        <v>47313</v>
      </c>
      <c r="E91" s="3165"/>
      <c r="F91" s="3165"/>
      <c r="G91" s="3165"/>
      <c r="H91" s="3165">
        <f t="shared" si="4"/>
        <v>0</v>
      </c>
      <c r="I91">
        <f t="shared" si="5"/>
        <v>0</v>
      </c>
      <c r="J91">
        <f t="shared" si="6"/>
        <v>0</v>
      </c>
    </row>
    <row r="92" spans="1:10">
      <c r="A92" s="3162">
        <v>47283</v>
      </c>
      <c r="B92" s="3162">
        <v>47406</v>
      </c>
      <c r="C92" s="3162">
        <v>47314</v>
      </c>
      <c r="D92" s="3162">
        <v>47497</v>
      </c>
      <c r="E92" s="3165">
        <v>879033.82</v>
      </c>
      <c r="F92" s="3165">
        <v>586022.55000000005</v>
      </c>
      <c r="G92" s="3165"/>
      <c r="H92" s="3165">
        <f t="shared" si="4"/>
        <v>1465056.37</v>
      </c>
      <c r="I92">
        <f t="shared" si="5"/>
        <v>4.63</v>
      </c>
      <c r="J92">
        <f t="shared" si="6"/>
        <v>4.4000000000000004</v>
      </c>
    </row>
    <row r="93" spans="1:10">
      <c r="A93" s="3162">
        <v>47466</v>
      </c>
      <c r="C93" s="3162">
        <v>47498</v>
      </c>
      <c r="D93" s="3162">
        <v>47678</v>
      </c>
      <c r="E93" s="3165">
        <v>902947.5</v>
      </c>
      <c r="F93" s="3165">
        <v>601965</v>
      </c>
      <c r="G93" s="3165"/>
      <c r="H93" s="3165">
        <f t="shared" si="4"/>
        <v>1504912.5</v>
      </c>
      <c r="I93">
        <f t="shared" si="5"/>
        <v>4.84</v>
      </c>
      <c r="J93">
        <f t="shared" si="6"/>
        <v>4.5999999999999996</v>
      </c>
    </row>
    <row r="94" spans="1:10">
      <c r="A94" s="1405" t="s">
        <v>3461</v>
      </c>
      <c r="C94" s="3162">
        <v>47679</v>
      </c>
      <c r="D94" s="3162">
        <v>47695</v>
      </c>
      <c r="E94" s="3165"/>
      <c r="F94" s="3165"/>
      <c r="G94" s="3165"/>
      <c r="H94" s="3165">
        <f t="shared" si="4"/>
        <v>0</v>
      </c>
      <c r="I94">
        <f t="shared" si="5"/>
        <v>0</v>
      </c>
      <c r="J94">
        <f t="shared" si="6"/>
        <v>0</v>
      </c>
    </row>
    <row r="95" spans="1:10">
      <c r="A95" s="3162">
        <v>47664</v>
      </c>
      <c r="C95" s="3162">
        <v>47696</v>
      </c>
      <c r="D95" s="3162">
        <v>47879</v>
      </c>
      <c r="E95" s="3165">
        <v>902947.5</v>
      </c>
      <c r="F95" s="3165">
        <v>601965</v>
      </c>
      <c r="G95" s="3165"/>
      <c r="H95" s="3165">
        <f t="shared" si="4"/>
        <v>1504912.5</v>
      </c>
      <c r="I95">
        <f t="shared" si="5"/>
        <v>4.76</v>
      </c>
      <c r="J95">
        <f t="shared" si="6"/>
        <v>4.5199999999999996</v>
      </c>
    </row>
    <row r="96" spans="1:10">
      <c r="A96" s="3162">
        <v>47849</v>
      </c>
      <c r="C96" s="3162">
        <v>47880</v>
      </c>
      <c r="D96" s="3162">
        <v>48060</v>
      </c>
      <c r="E96" s="3165">
        <v>902947.5</v>
      </c>
      <c r="F96" s="3165">
        <v>601965</v>
      </c>
      <c r="G96" s="3165"/>
      <c r="H96" s="3165">
        <f t="shared" si="4"/>
        <v>1504912.5</v>
      </c>
      <c r="I96">
        <f t="shared" si="5"/>
        <v>4.84</v>
      </c>
      <c r="J96">
        <f t="shared" si="6"/>
        <v>4.5999999999999996</v>
      </c>
    </row>
    <row r="97" spans="1:10">
      <c r="A97" s="3162">
        <v>48029</v>
      </c>
      <c r="C97" s="3162">
        <v>48061</v>
      </c>
      <c r="D97" s="3162">
        <v>48244</v>
      </c>
      <c r="E97" s="3165">
        <v>902947.5</v>
      </c>
      <c r="F97" s="3165">
        <v>601965</v>
      </c>
      <c r="G97" s="3165"/>
      <c r="H97" s="3165">
        <f t="shared" si="4"/>
        <v>1504912.5</v>
      </c>
      <c r="I97">
        <f t="shared" si="5"/>
        <v>4.76</v>
      </c>
      <c r="J97">
        <f t="shared" si="6"/>
        <v>4.5199999999999996</v>
      </c>
    </row>
    <row r="98" spans="1:10">
      <c r="A98" s="3162">
        <v>48214</v>
      </c>
      <c r="C98" s="3162">
        <v>48245</v>
      </c>
      <c r="D98" s="3162">
        <v>48426</v>
      </c>
      <c r="E98" s="3165">
        <v>902947.5</v>
      </c>
      <c r="F98" s="3165">
        <v>601965</v>
      </c>
      <c r="G98" s="3165"/>
      <c r="H98" s="3165">
        <f t="shared" si="4"/>
        <v>1504912.5</v>
      </c>
      <c r="I98">
        <f t="shared" si="5"/>
        <v>4.8099999999999996</v>
      </c>
      <c r="J98">
        <f t="shared" si="6"/>
        <v>4.57</v>
      </c>
    </row>
    <row r="99" spans="1:10">
      <c r="A99" s="3162">
        <v>48395</v>
      </c>
      <c r="B99" s="3162">
        <v>48502</v>
      </c>
      <c r="C99" s="3162">
        <v>48427</v>
      </c>
      <c r="D99" s="3162">
        <v>48610</v>
      </c>
      <c r="E99" s="3165">
        <v>927191.02</v>
      </c>
      <c r="F99" s="3165">
        <v>618127.35</v>
      </c>
      <c r="G99" s="3165"/>
      <c r="H99" s="3165">
        <f t="shared" si="4"/>
        <v>1545318.37</v>
      </c>
      <c r="I99">
        <f t="shared" si="5"/>
        <v>4.88</v>
      </c>
      <c r="J99">
        <f t="shared" si="6"/>
        <v>4.6399999999999997</v>
      </c>
    </row>
    <row r="100" spans="1:10">
      <c r="A100" s="3162">
        <v>48580</v>
      </c>
      <c r="C100" s="3162">
        <v>48611</v>
      </c>
      <c r="D100" s="3162">
        <v>48791</v>
      </c>
      <c r="E100" s="3165">
        <v>948094.88</v>
      </c>
      <c r="F100" s="3165">
        <v>632063.25</v>
      </c>
      <c r="G100" s="3165"/>
      <c r="H100" s="3165">
        <f t="shared" si="4"/>
        <v>1580158.13</v>
      </c>
      <c r="I100">
        <f t="shared" si="5"/>
        <v>5.08</v>
      </c>
      <c r="J100">
        <f t="shared" si="6"/>
        <v>4.83</v>
      </c>
    </row>
    <row r="101" spans="1:10">
      <c r="A101" s="3162">
        <v>48760</v>
      </c>
      <c r="C101" s="3162">
        <v>48792</v>
      </c>
      <c r="D101" s="3162">
        <v>48975</v>
      </c>
      <c r="E101" s="3165">
        <v>948094.88</v>
      </c>
      <c r="F101" s="3165">
        <v>632063.25</v>
      </c>
      <c r="G101" s="3165"/>
      <c r="H101" s="3165">
        <f t="shared" si="4"/>
        <v>1580158.13</v>
      </c>
      <c r="I101">
        <f t="shared" si="5"/>
        <v>4.99</v>
      </c>
      <c r="J101">
        <f t="shared" si="6"/>
        <v>4.74</v>
      </c>
    </row>
    <row r="102" spans="1:10">
      <c r="A102" s="3162">
        <v>48945</v>
      </c>
      <c r="C102" s="3162">
        <v>48976</v>
      </c>
      <c r="D102" s="3162">
        <v>49156</v>
      </c>
      <c r="E102" s="3165">
        <v>948094.88</v>
      </c>
      <c r="F102" s="3165">
        <v>632063.25</v>
      </c>
      <c r="G102" s="3165"/>
      <c r="H102" s="3165">
        <f t="shared" si="4"/>
        <v>1580158.13</v>
      </c>
      <c r="I102">
        <f t="shared" si="5"/>
        <v>5.08</v>
      </c>
      <c r="J102">
        <f t="shared" si="6"/>
        <v>4.83</v>
      </c>
    </row>
    <row r="103" spans="1:10">
      <c r="A103" s="3162">
        <v>49125</v>
      </c>
      <c r="C103" s="3162">
        <v>49157</v>
      </c>
      <c r="D103" s="3162">
        <v>49340</v>
      </c>
      <c r="E103" s="3165">
        <v>948094.88</v>
      </c>
      <c r="F103" s="3165">
        <v>632063.25</v>
      </c>
      <c r="G103" s="3165"/>
      <c r="H103" s="3165">
        <f t="shared" si="4"/>
        <v>1580158.13</v>
      </c>
      <c r="I103">
        <f t="shared" si="5"/>
        <v>4.99</v>
      </c>
      <c r="J103">
        <f t="shared" si="6"/>
        <v>4.74</v>
      </c>
    </row>
    <row r="104" spans="1:10">
      <c r="A104" s="3162">
        <v>49310</v>
      </c>
      <c r="C104" s="3162">
        <v>49341</v>
      </c>
      <c r="D104" s="3162">
        <v>49521</v>
      </c>
      <c r="E104" s="3165">
        <v>948094.88</v>
      </c>
      <c r="F104" s="3165">
        <v>632063.25</v>
      </c>
      <c r="G104" s="3165"/>
      <c r="H104" s="3165">
        <f t="shared" si="4"/>
        <v>1580158.13</v>
      </c>
      <c r="I104">
        <f t="shared" si="5"/>
        <v>5.08</v>
      </c>
      <c r="J104">
        <f t="shared" si="6"/>
        <v>4.83</v>
      </c>
    </row>
    <row r="105" spans="1:10">
      <c r="A105" s="3162">
        <v>49490</v>
      </c>
      <c r="B105" s="3162">
        <v>49597</v>
      </c>
      <c r="C105" s="3162">
        <v>49522</v>
      </c>
      <c r="D105" s="3162">
        <v>49705</v>
      </c>
      <c r="E105" s="3165">
        <v>973550.57</v>
      </c>
      <c r="F105" s="3165">
        <v>649033.72</v>
      </c>
      <c r="G105" s="3165"/>
      <c r="H105" s="3165">
        <f t="shared" si="4"/>
        <v>1622584.29</v>
      </c>
      <c r="I105">
        <f t="shared" si="5"/>
        <v>5.13</v>
      </c>
      <c r="J105">
        <f t="shared" si="6"/>
        <v>4.87</v>
      </c>
    </row>
    <row r="106" spans="1:10">
      <c r="A106" s="3162">
        <v>49675</v>
      </c>
      <c r="C106" s="3162">
        <v>49706</v>
      </c>
      <c r="D106" s="3162">
        <v>49887</v>
      </c>
      <c r="E106" s="3165">
        <v>995499.62</v>
      </c>
      <c r="F106" s="3165">
        <v>663666.41</v>
      </c>
      <c r="G106" s="3165"/>
      <c r="H106" s="3165">
        <f t="shared" si="4"/>
        <v>1659166.03</v>
      </c>
      <c r="I106">
        <f t="shared" si="5"/>
        <v>5.3</v>
      </c>
      <c r="J106">
        <f t="shared" si="6"/>
        <v>5.04</v>
      </c>
    </row>
    <row r="107" spans="1:10">
      <c r="A107" s="3162">
        <v>49856</v>
      </c>
      <c r="C107" s="3162">
        <v>49888</v>
      </c>
      <c r="D107" s="3162">
        <v>50071</v>
      </c>
      <c r="E107" s="3165">
        <v>995499.62</v>
      </c>
      <c r="F107" s="3165">
        <v>663666.41</v>
      </c>
      <c r="G107" s="3165"/>
      <c r="H107" s="3165">
        <f t="shared" si="4"/>
        <v>1659166.03</v>
      </c>
      <c r="I107">
        <f t="shared" si="5"/>
        <v>5.24</v>
      </c>
      <c r="J107">
        <f t="shared" si="6"/>
        <v>4.9800000000000004</v>
      </c>
    </row>
    <row r="108" spans="1:10">
      <c r="A108" s="3162">
        <v>50041</v>
      </c>
      <c r="C108" s="3162">
        <v>50072</v>
      </c>
      <c r="D108" s="3162">
        <v>50098</v>
      </c>
      <c r="E108" s="3165">
        <v>141824.6</v>
      </c>
      <c r="F108" s="3165">
        <v>94549.74</v>
      </c>
      <c r="G108" s="3165"/>
      <c r="H108" s="3165">
        <f t="shared" si="4"/>
        <v>236374.34000000003</v>
      </c>
      <c r="I108">
        <f t="shared" si="5"/>
        <v>5.26</v>
      </c>
      <c r="J108">
        <f t="shared" si="6"/>
        <v>5</v>
      </c>
    </row>
    <row r="109" spans="1:10">
      <c r="D109" s="1405" t="s">
        <v>2592</v>
      </c>
      <c r="E109" s="3165">
        <f>SUM(E80:E108)</f>
        <v>21743561.150000006</v>
      </c>
      <c r="F109" s="3165">
        <f>SUM(F80:F108)</f>
        <v>14495707.430000002</v>
      </c>
      <c r="G109" s="3165"/>
      <c r="H109" s="3165">
        <f>SUM(H80:H108)</f>
        <v>36694268.579999998</v>
      </c>
    </row>
    <row r="110" spans="1:10">
      <c r="D110" s="3172" t="s">
        <v>3464</v>
      </c>
      <c r="E110" s="3169">
        <v>21743561.129999999</v>
      </c>
      <c r="F110" s="3169">
        <v>14495707.42</v>
      </c>
      <c r="G110" s="3169"/>
      <c r="H110" s="3169">
        <v>36694268.549999997</v>
      </c>
      <c r="I110" s="3156">
        <f>ROUND((E110+F110)/((D108-C80)-G70)/B65,2)</f>
        <v>4.83</v>
      </c>
      <c r="J110" s="3172" t="s">
        <v>3470</v>
      </c>
    </row>
    <row r="111" spans="1:10">
      <c r="E111" s="3165"/>
      <c r="F111" s="3165"/>
      <c r="G111" s="3165"/>
      <c r="H111" s="3165"/>
    </row>
    <row r="112" spans="1:10">
      <c r="C112" s="1405"/>
      <c r="D112" s="3165"/>
      <c r="E112" s="3176"/>
      <c r="F112" s="3165"/>
      <c r="G112" s="3165"/>
      <c r="H112" s="3165"/>
    </row>
    <row r="113" spans="1:13">
      <c r="E113" s="3165"/>
      <c r="F113" s="3165"/>
      <c r="G113" s="3165"/>
      <c r="H113" s="3165"/>
    </row>
    <row r="114" spans="1:13">
      <c r="E114" s="3165"/>
      <c r="F114" s="3165"/>
      <c r="G114" s="3165"/>
      <c r="H114" s="3165"/>
    </row>
    <row r="115" spans="1:13">
      <c r="E115" s="3165"/>
      <c r="F115" s="3165"/>
      <c r="G115" s="3165"/>
      <c r="H115" s="3165"/>
    </row>
    <row r="116" spans="1:13">
      <c r="E116" s="3165"/>
      <c r="F116" s="3165"/>
      <c r="G116" s="3165"/>
      <c r="H116" s="3165"/>
    </row>
    <row r="117" spans="1:13">
      <c r="A117" s="3172" t="s">
        <v>3474</v>
      </c>
      <c r="E117" s="3165"/>
      <c r="F117" s="3165"/>
      <c r="G117" s="3165"/>
      <c r="H117" s="3165"/>
    </row>
    <row r="118" spans="1:13">
      <c r="B118" s="1405" t="s">
        <v>3388</v>
      </c>
      <c r="C118" s="1405" t="s">
        <v>3466</v>
      </c>
      <c r="E118" s="1405" t="s">
        <v>3425</v>
      </c>
      <c r="G118" s="1405" t="s">
        <v>3428</v>
      </c>
      <c r="H118" s="1405" t="s">
        <v>3425</v>
      </c>
    </row>
    <row r="119" spans="1:13">
      <c r="B119">
        <v>421.05</v>
      </c>
      <c r="C119" s="3162">
        <v>45641</v>
      </c>
      <c r="D119" s="3162">
        <v>50098</v>
      </c>
      <c r="E119" s="3156">
        <f>D119-C119</f>
        <v>4457</v>
      </c>
      <c r="G119" s="1405" t="s">
        <v>3475</v>
      </c>
      <c r="H119">
        <f>2*30</f>
        <v>60</v>
      </c>
    </row>
    <row r="120" spans="1:13">
      <c r="E120" s="3165"/>
      <c r="F120" s="3165"/>
      <c r="G120" s="3165"/>
      <c r="H120" s="3165"/>
    </row>
    <row r="121" spans="1:13">
      <c r="B121" s="1405" t="s">
        <v>3430</v>
      </c>
      <c r="C121">
        <v>800000</v>
      </c>
      <c r="D121" s="3172" t="s">
        <v>3431</v>
      </c>
      <c r="F121" s="3165"/>
      <c r="G121" s="3165"/>
      <c r="H121" s="3165"/>
    </row>
    <row r="122" spans="1:13">
      <c r="B122" s="1405" t="s">
        <v>3432</v>
      </c>
      <c r="C122">
        <v>66666.67</v>
      </c>
      <c r="F122" s="3165"/>
      <c r="G122" s="3165"/>
      <c r="H122" s="3165"/>
    </row>
    <row r="123" spans="1:13">
      <c r="B123" s="1405" t="s">
        <v>3477</v>
      </c>
      <c r="E123" s="3165"/>
      <c r="F123" s="3165"/>
      <c r="G123" s="3165"/>
      <c r="H123" s="3165"/>
    </row>
    <row r="124" spans="1:13">
      <c r="B124" s="1405" t="s">
        <v>3478</v>
      </c>
      <c r="E124" s="3179" t="s">
        <v>3471</v>
      </c>
      <c r="F124" s="3169">
        <f>C122/30/B119</f>
        <v>5.2778110279855914</v>
      </c>
      <c r="G124" s="3165"/>
      <c r="H124" s="3165"/>
    </row>
    <row r="125" spans="1:13">
      <c r="B125" s="1405"/>
      <c r="C125" s="1405"/>
      <c r="E125" s="3165"/>
      <c r="F125" s="3165"/>
      <c r="G125" s="3165"/>
      <c r="H125" s="3165"/>
    </row>
    <row r="126" spans="1:13">
      <c r="A126" s="3200"/>
      <c r="B126" s="3200"/>
      <c r="C126" s="3200"/>
      <c r="D126" s="3200"/>
      <c r="E126" s="3200"/>
      <c r="F126" s="3200"/>
      <c r="G126" s="3200"/>
      <c r="H126" s="3201"/>
      <c r="I126" s="3201"/>
      <c r="J126" s="3201"/>
      <c r="K126" s="3201"/>
      <c r="L126" s="3201"/>
    </row>
    <row r="127" spans="1:13">
      <c r="A127" s="1405" t="s">
        <v>3441</v>
      </c>
      <c r="B127" s="1405" t="s">
        <v>3443</v>
      </c>
      <c r="C127" s="1405" t="s">
        <v>3444</v>
      </c>
      <c r="D127" s="1405" t="s">
        <v>3445</v>
      </c>
      <c r="E127" s="1405" t="s">
        <v>3446</v>
      </c>
      <c r="F127" s="1405" t="s">
        <v>3534</v>
      </c>
      <c r="G127" s="1405" t="s">
        <v>3448</v>
      </c>
      <c r="H127" s="1405" t="s">
        <v>3449</v>
      </c>
      <c r="I127" s="1405" t="s">
        <v>3388</v>
      </c>
      <c r="J127" s="1405" t="s">
        <v>3450</v>
      </c>
      <c r="K127" s="1405" t="s">
        <v>3451</v>
      </c>
      <c r="L127" s="3202"/>
      <c r="M127" s="3164"/>
    </row>
    <row r="128" spans="1:13">
      <c r="A128" s="1405" t="s">
        <v>3537</v>
      </c>
      <c r="B128" s="3162"/>
      <c r="C128" s="3162">
        <v>45641</v>
      </c>
      <c r="D128" s="3162">
        <v>50098</v>
      </c>
      <c r="E128" s="3165">
        <v>800000</v>
      </c>
      <c r="F128" s="3207">
        <v>0.05</v>
      </c>
      <c r="G128" s="3162"/>
      <c r="H128" s="1405" t="s">
        <v>3535</v>
      </c>
      <c r="I128" s="3175" t="s">
        <v>3538</v>
      </c>
      <c r="J128" s="3163">
        <v>0.6</v>
      </c>
      <c r="K128" s="3163">
        <v>0.4</v>
      </c>
      <c r="L128" s="3203"/>
    </row>
    <row r="129" spans="1:12">
      <c r="K129" s="3164"/>
      <c r="L129" s="3203"/>
    </row>
    <row r="130" spans="1:12">
      <c r="D130" s="1405"/>
      <c r="E130" s="3172" t="s">
        <v>3542</v>
      </c>
      <c r="F130" s="3156">
        <v>60</v>
      </c>
      <c r="G130" s="1405" t="s">
        <v>3539</v>
      </c>
      <c r="L130" s="3204"/>
    </row>
    <row r="131" spans="1:12">
      <c r="A131" s="1405" t="s">
        <v>3453</v>
      </c>
      <c r="D131" s="3172"/>
      <c r="L131" s="3205"/>
    </row>
    <row r="132" spans="1:12">
      <c r="A132" s="3172" t="s">
        <v>3454</v>
      </c>
      <c r="B132" s="3172" t="s">
        <v>3456</v>
      </c>
      <c r="C132" s="3172" t="s">
        <v>3457</v>
      </c>
      <c r="D132" s="3172" t="s">
        <v>654</v>
      </c>
      <c r="E132" s="3172" t="s">
        <v>3458</v>
      </c>
      <c r="G132" s="3172" t="s">
        <v>3459</v>
      </c>
      <c r="H132" s="1405" t="s">
        <v>2592</v>
      </c>
      <c r="I132" s="3172" t="s">
        <v>3536</v>
      </c>
      <c r="J132" s="3172" t="s">
        <v>3540</v>
      </c>
      <c r="L132" s="3204"/>
    </row>
    <row r="133" spans="1:12" ht="16.5">
      <c r="A133" s="3181" t="s">
        <v>3516</v>
      </c>
      <c r="B133" s="3182">
        <v>45580</v>
      </c>
      <c r="C133" s="3182">
        <v>45640</v>
      </c>
      <c r="D133" s="3183" t="s">
        <v>3517</v>
      </c>
      <c r="E133" s="3184" t="s">
        <v>3517</v>
      </c>
      <c r="F133" s="3183"/>
      <c r="G133" s="3184" t="s">
        <v>3517</v>
      </c>
      <c r="H133" s="3183" t="s">
        <v>3517</v>
      </c>
      <c r="I133" s="3180" t="s">
        <v>3518</v>
      </c>
      <c r="J133" s="1405"/>
      <c r="K133" s="1405"/>
    </row>
    <row r="134" spans="1:12" ht="16.5">
      <c r="A134" s="3185">
        <v>45611</v>
      </c>
      <c r="B134" s="3186">
        <v>45641</v>
      </c>
      <c r="C134" s="3186">
        <v>45730</v>
      </c>
      <c r="D134" s="3183">
        <v>120000</v>
      </c>
      <c r="E134" s="3184">
        <v>80000</v>
      </c>
      <c r="F134" s="3183"/>
      <c r="G134" s="3184">
        <v>200000</v>
      </c>
      <c r="H134" s="3183">
        <v>400000</v>
      </c>
      <c r="I134" s="3180"/>
      <c r="J134" s="3204">
        <f>ROUND((D134+E134)/$I$128/90,2)</f>
        <v>5.28</v>
      </c>
      <c r="K134" s="3204"/>
      <c r="L134" s="3204"/>
    </row>
    <row r="135" spans="1:12" ht="16.5">
      <c r="A135" s="3185">
        <v>45703</v>
      </c>
      <c r="B135" s="3186">
        <v>45731</v>
      </c>
      <c r="C135" s="3186">
        <v>45822</v>
      </c>
      <c r="D135" s="3183">
        <v>120000</v>
      </c>
      <c r="E135" s="3184">
        <v>80000</v>
      </c>
      <c r="F135" s="3183"/>
      <c r="G135" s="3184"/>
      <c r="H135" s="3183">
        <v>200000</v>
      </c>
      <c r="I135" s="3180" t="s">
        <v>3517</v>
      </c>
      <c r="J135" s="3204">
        <f t="shared" ref="J135:J183" si="7">ROUND((D135+E135)/$I$128/90,2)</f>
        <v>5.28</v>
      </c>
      <c r="K135" s="3204"/>
      <c r="L135" s="3204"/>
    </row>
    <row r="136" spans="1:12" ht="16.5">
      <c r="A136" s="3187">
        <v>45791</v>
      </c>
      <c r="B136" s="3188">
        <v>45823</v>
      </c>
      <c r="C136" s="3189">
        <v>45914</v>
      </c>
      <c r="D136" s="3183">
        <v>120000</v>
      </c>
      <c r="E136" s="3184">
        <v>80000</v>
      </c>
      <c r="F136" s="3190"/>
      <c r="G136" s="3184"/>
      <c r="H136" s="3183">
        <v>200000</v>
      </c>
      <c r="I136" s="3180"/>
      <c r="J136" s="3204">
        <f t="shared" si="7"/>
        <v>5.28</v>
      </c>
      <c r="K136" s="3204"/>
      <c r="L136" s="3204"/>
    </row>
    <row r="137" spans="1:12" ht="255">
      <c r="A137" s="3187">
        <v>45883</v>
      </c>
      <c r="B137" s="3189">
        <v>45915</v>
      </c>
      <c r="C137" s="3189">
        <v>46005</v>
      </c>
      <c r="D137" s="3183">
        <v>122301</v>
      </c>
      <c r="E137" s="3184">
        <v>81534</v>
      </c>
      <c r="F137" s="3191">
        <v>45945</v>
      </c>
      <c r="G137" s="3184"/>
      <c r="H137" s="3183">
        <v>203835</v>
      </c>
      <c r="I137" s="3192" t="s">
        <v>3519</v>
      </c>
      <c r="J137" s="3204">
        <f t="shared" si="7"/>
        <v>5.38</v>
      </c>
      <c r="K137" s="3204"/>
      <c r="L137" s="3204"/>
    </row>
    <row r="138" spans="1:12" ht="16.5">
      <c r="A138" s="3193">
        <v>45975</v>
      </c>
      <c r="B138" s="3188">
        <v>46006</v>
      </c>
      <c r="C138" s="3189">
        <v>46095</v>
      </c>
      <c r="D138" s="3183">
        <v>126000</v>
      </c>
      <c r="E138" s="3184">
        <v>84000</v>
      </c>
      <c r="F138" s="3183"/>
      <c r="G138" s="3184"/>
      <c r="H138" s="3183">
        <v>210000</v>
      </c>
      <c r="I138" s="3194" t="s">
        <v>3520</v>
      </c>
      <c r="J138" s="3204">
        <f t="shared" si="7"/>
        <v>5.54</v>
      </c>
      <c r="K138" s="3204"/>
      <c r="L138" s="3204"/>
    </row>
    <row r="139" spans="1:12" ht="16.5">
      <c r="A139" s="3187">
        <v>46067</v>
      </c>
      <c r="B139" s="3189">
        <v>46096</v>
      </c>
      <c r="C139" s="3189">
        <v>46187</v>
      </c>
      <c r="D139" s="3183">
        <v>126000</v>
      </c>
      <c r="E139" s="3184">
        <v>84000</v>
      </c>
      <c r="F139" s="3183"/>
      <c r="G139" s="3184"/>
      <c r="H139" s="3183">
        <v>210000</v>
      </c>
      <c r="I139" s="3194"/>
      <c r="J139" s="3204">
        <f t="shared" si="7"/>
        <v>5.54</v>
      </c>
      <c r="K139" s="3204"/>
      <c r="L139" s="3204"/>
    </row>
    <row r="140" spans="1:12" ht="16.5">
      <c r="A140" s="3195" t="s">
        <v>3521</v>
      </c>
      <c r="B140" s="3182">
        <v>46188</v>
      </c>
      <c r="C140" s="3182">
        <v>46217</v>
      </c>
      <c r="D140" s="3183"/>
      <c r="E140" s="3184"/>
      <c r="F140" s="3183"/>
      <c r="G140" s="3184"/>
      <c r="H140" s="3183"/>
      <c r="I140" s="3180" t="s">
        <v>3522</v>
      </c>
      <c r="J140" s="3204">
        <f t="shared" si="7"/>
        <v>0</v>
      </c>
      <c r="K140" s="3204"/>
      <c r="L140" s="3204"/>
    </row>
    <row r="141" spans="1:12" ht="16.5">
      <c r="A141" s="3193">
        <v>46187</v>
      </c>
      <c r="B141" s="3188">
        <v>46218</v>
      </c>
      <c r="C141" s="3189">
        <v>46309</v>
      </c>
      <c r="D141" s="3183">
        <v>126000</v>
      </c>
      <c r="E141" s="3184">
        <v>84000</v>
      </c>
      <c r="F141" s="3183"/>
      <c r="G141" s="3184"/>
      <c r="H141" s="3183">
        <v>210000</v>
      </c>
      <c r="I141" s="3194"/>
      <c r="J141" s="3204">
        <f t="shared" si="7"/>
        <v>5.54</v>
      </c>
      <c r="K141" s="3205"/>
      <c r="L141" s="3205"/>
    </row>
    <row r="142" spans="1:12" ht="16.5">
      <c r="A142" s="3187">
        <v>46279</v>
      </c>
      <c r="B142" s="3189">
        <v>46310</v>
      </c>
      <c r="C142" s="3188">
        <v>46401</v>
      </c>
      <c r="D142" s="3183">
        <v>126000</v>
      </c>
      <c r="E142" s="3184">
        <v>84000</v>
      </c>
      <c r="F142" s="3183"/>
      <c r="G142" s="3184"/>
      <c r="H142" s="3183">
        <v>210000</v>
      </c>
      <c r="I142" s="3194"/>
      <c r="J142" s="3204">
        <f t="shared" si="7"/>
        <v>5.54</v>
      </c>
      <c r="K142" s="3204"/>
      <c r="L142" s="3204"/>
    </row>
    <row r="143" spans="1:12" ht="16.5">
      <c r="A143" s="3193">
        <v>46370</v>
      </c>
      <c r="B143" s="3188">
        <v>46402</v>
      </c>
      <c r="C143" s="3189">
        <v>46491</v>
      </c>
      <c r="D143" s="3183">
        <v>126000</v>
      </c>
      <c r="E143" s="3184">
        <v>84000</v>
      </c>
      <c r="F143" s="3183"/>
      <c r="G143" s="3184"/>
      <c r="H143" s="3183">
        <v>210000</v>
      </c>
      <c r="I143" s="3194"/>
      <c r="J143" s="3204">
        <f t="shared" si="7"/>
        <v>5.54</v>
      </c>
      <c r="K143" s="3204"/>
      <c r="L143" s="3204"/>
    </row>
    <row r="144" spans="1:12" ht="16.5">
      <c r="A144" s="3187">
        <v>46460</v>
      </c>
      <c r="B144" s="3189">
        <v>46492</v>
      </c>
      <c r="C144" s="3189">
        <v>46582</v>
      </c>
      <c r="D144" s="3183">
        <v>126000</v>
      </c>
      <c r="E144" s="3184">
        <v>84000</v>
      </c>
      <c r="F144" s="3183"/>
      <c r="G144" s="3184"/>
      <c r="H144" s="3183">
        <v>210000</v>
      </c>
      <c r="I144" s="3194"/>
      <c r="J144" s="3204">
        <f t="shared" si="7"/>
        <v>5.54</v>
      </c>
      <c r="K144" s="3204"/>
      <c r="L144" s="3204"/>
    </row>
    <row r="145" spans="1:12" ht="16.5">
      <c r="A145" s="3195" t="s">
        <v>3521</v>
      </c>
      <c r="B145" s="3182">
        <v>46583</v>
      </c>
      <c r="C145" s="3182">
        <v>46613</v>
      </c>
      <c r="D145" s="3183"/>
      <c r="E145" s="3184"/>
      <c r="F145" s="3183"/>
      <c r="G145" s="3184"/>
      <c r="H145" s="3183"/>
      <c r="I145" s="3180" t="s">
        <v>3522</v>
      </c>
      <c r="J145" s="3204">
        <f t="shared" si="7"/>
        <v>0</v>
      </c>
      <c r="K145" s="3204"/>
      <c r="L145" s="3204"/>
    </row>
    <row r="146" spans="1:12" ht="255">
      <c r="A146" s="3193">
        <v>46582</v>
      </c>
      <c r="B146" s="3188">
        <v>46614</v>
      </c>
      <c r="C146" s="3189">
        <v>46705</v>
      </c>
      <c r="D146" s="3183"/>
      <c r="E146" s="3184"/>
      <c r="F146" s="3191">
        <v>46675</v>
      </c>
      <c r="G146" s="3184"/>
      <c r="H146" s="3183">
        <v>210575</v>
      </c>
      <c r="I146" s="3192" t="s">
        <v>3523</v>
      </c>
      <c r="J146" s="3204">
        <f t="shared" si="7"/>
        <v>0</v>
      </c>
      <c r="K146" s="3205"/>
      <c r="L146" s="3205"/>
    </row>
    <row r="147" spans="1:12" ht="16.5">
      <c r="A147" s="3193">
        <v>46674</v>
      </c>
      <c r="B147" s="3188">
        <v>46706</v>
      </c>
      <c r="C147" s="3188">
        <v>46797</v>
      </c>
      <c r="D147" s="3183">
        <v>132300</v>
      </c>
      <c r="E147" s="3184">
        <v>88200</v>
      </c>
      <c r="F147" s="3183"/>
      <c r="G147" s="3184"/>
      <c r="H147" s="3183">
        <v>220500</v>
      </c>
      <c r="I147" s="3194" t="s">
        <v>3524</v>
      </c>
      <c r="J147" s="3204">
        <f t="shared" si="7"/>
        <v>5.82</v>
      </c>
      <c r="K147" s="3204"/>
      <c r="L147" s="3204"/>
    </row>
    <row r="148" spans="1:12" ht="16.5">
      <c r="A148" s="3193">
        <v>46766</v>
      </c>
      <c r="B148" s="3188">
        <v>46798</v>
      </c>
      <c r="C148" s="3189">
        <v>46887</v>
      </c>
      <c r="D148" s="3183">
        <v>132300</v>
      </c>
      <c r="E148" s="3184">
        <v>88200</v>
      </c>
      <c r="F148" s="3183"/>
      <c r="G148" s="3184"/>
      <c r="H148" s="3183">
        <v>220500</v>
      </c>
      <c r="I148" s="3194"/>
      <c r="J148" s="3204">
        <f t="shared" si="7"/>
        <v>5.82</v>
      </c>
      <c r="K148" s="3204"/>
      <c r="L148" s="3204"/>
    </row>
    <row r="149" spans="1:12" ht="16.5">
      <c r="A149" s="3187">
        <v>46857</v>
      </c>
      <c r="B149" s="3189">
        <v>46888</v>
      </c>
      <c r="C149" s="3189">
        <v>46979</v>
      </c>
      <c r="D149" s="3183">
        <v>132300</v>
      </c>
      <c r="E149" s="3184">
        <v>88200</v>
      </c>
      <c r="F149" s="3183"/>
      <c r="G149" s="3184"/>
      <c r="H149" s="3183">
        <v>220500</v>
      </c>
      <c r="I149" s="3194"/>
      <c r="J149" s="3204">
        <f t="shared" si="7"/>
        <v>5.82</v>
      </c>
      <c r="K149" s="3204"/>
      <c r="L149" s="3204"/>
    </row>
    <row r="150" spans="1:12" ht="16.5">
      <c r="A150" s="3187">
        <v>46948</v>
      </c>
      <c r="B150" s="3189">
        <v>46980</v>
      </c>
      <c r="C150" s="3189">
        <v>47071</v>
      </c>
      <c r="D150" s="3183">
        <v>132300</v>
      </c>
      <c r="E150" s="3184">
        <v>88200</v>
      </c>
      <c r="F150" s="3183"/>
      <c r="G150" s="3184"/>
      <c r="H150" s="3183">
        <v>220500</v>
      </c>
      <c r="I150" s="3192"/>
      <c r="J150" s="3204">
        <f t="shared" si="7"/>
        <v>5.82</v>
      </c>
      <c r="K150" s="3205"/>
      <c r="L150" s="3205"/>
    </row>
    <row r="151" spans="1:12" ht="16.5">
      <c r="A151" s="3187">
        <v>47040</v>
      </c>
      <c r="B151" s="3189">
        <v>47072</v>
      </c>
      <c r="C151" s="3189">
        <v>47163</v>
      </c>
      <c r="D151" s="3183">
        <v>132300</v>
      </c>
      <c r="E151" s="3184">
        <v>88200</v>
      </c>
      <c r="F151" s="3183"/>
      <c r="G151" s="3184"/>
      <c r="H151" s="3183">
        <v>220500</v>
      </c>
      <c r="I151" s="3194"/>
      <c r="J151" s="3204">
        <f t="shared" si="7"/>
        <v>5.82</v>
      </c>
      <c r="K151" s="3204"/>
      <c r="L151" s="3204"/>
    </row>
    <row r="152" spans="1:12" ht="16.5">
      <c r="A152" s="3187">
        <v>47132</v>
      </c>
      <c r="B152" s="3189">
        <v>47164</v>
      </c>
      <c r="C152" s="3189">
        <v>47252</v>
      </c>
      <c r="D152" s="3183">
        <v>132300</v>
      </c>
      <c r="E152" s="3184">
        <v>88200</v>
      </c>
      <c r="F152" s="3183"/>
      <c r="G152" s="3184"/>
      <c r="H152" s="3183">
        <v>220500</v>
      </c>
      <c r="I152" s="3194"/>
      <c r="J152" s="3204">
        <f t="shared" si="7"/>
        <v>5.82</v>
      </c>
      <c r="K152" s="3204"/>
      <c r="L152" s="3204"/>
    </row>
    <row r="153" spans="1:12" ht="16.5">
      <c r="A153" s="3187">
        <v>47222</v>
      </c>
      <c r="B153" s="3189">
        <v>47253</v>
      </c>
      <c r="C153" s="3189">
        <v>47344</v>
      </c>
      <c r="D153" s="3183">
        <v>132300</v>
      </c>
      <c r="E153" s="3184">
        <v>88200</v>
      </c>
      <c r="F153" s="3183"/>
      <c r="G153" s="3184"/>
      <c r="H153" s="3183">
        <v>220500</v>
      </c>
      <c r="I153" s="3194"/>
      <c r="J153" s="3204">
        <f t="shared" si="7"/>
        <v>5.82</v>
      </c>
      <c r="K153" s="3204"/>
      <c r="L153" s="3204"/>
    </row>
    <row r="154" spans="1:12" ht="255">
      <c r="A154" s="3187">
        <v>47313</v>
      </c>
      <c r="B154" s="3189">
        <v>47345</v>
      </c>
      <c r="C154" s="3189">
        <v>47436</v>
      </c>
      <c r="D154" s="3183">
        <v>132662</v>
      </c>
      <c r="E154" s="3184">
        <v>88442</v>
      </c>
      <c r="F154" s="3191">
        <v>47406</v>
      </c>
      <c r="G154" s="3184"/>
      <c r="H154" s="3183">
        <v>221104</v>
      </c>
      <c r="I154" s="3192" t="s">
        <v>3525</v>
      </c>
      <c r="J154" s="3204">
        <f t="shared" si="7"/>
        <v>5.83</v>
      </c>
      <c r="K154" s="3205"/>
      <c r="L154" s="3205"/>
    </row>
    <row r="155" spans="1:12" ht="16.5">
      <c r="A155" s="3187">
        <v>47405</v>
      </c>
      <c r="B155" s="3189">
        <v>47437</v>
      </c>
      <c r="C155" s="3189">
        <v>47528</v>
      </c>
      <c r="D155" s="3183">
        <v>138915</v>
      </c>
      <c r="E155" s="3184">
        <v>92610</v>
      </c>
      <c r="F155" s="3183"/>
      <c r="G155" s="3184"/>
      <c r="H155" s="3183">
        <v>231525</v>
      </c>
      <c r="I155" s="3194" t="s">
        <v>3526</v>
      </c>
      <c r="J155" s="3204">
        <f t="shared" si="7"/>
        <v>6.11</v>
      </c>
      <c r="K155" s="3204"/>
      <c r="L155" s="3204"/>
    </row>
    <row r="156" spans="1:12" ht="16.5">
      <c r="A156" s="3187">
        <v>47497</v>
      </c>
      <c r="B156" s="3189">
        <v>47529</v>
      </c>
      <c r="C156" s="3189">
        <v>47617</v>
      </c>
      <c r="D156" s="3183">
        <v>138915</v>
      </c>
      <c r="E156" s="3184">
        <v>92610</v>
      </c>
      <c r="F156" s="3183"/>
      <c r="G156" s="3184"/>
      <c r="H156" s="3183">
        <v>231525</v>
      </c>
      <c r="I156" s="3194"/>
      <c r="J156" s="3204">
        <f t="shared" si="7"/>
        <v>6.11</v>
      </c>
      <c r="K156" s="3204"/>
      <c r="L156" s="3204"/>
    </row>
    <row r="157" spans="1:12" ht="16.5">
      <c r="A157" s="3187">
        <v>47587</v>
      </c>
      <c r="B157" s="3189">
        <v>47618</v>
      </c>
      <c r="C157" s="3189">
        <v>47709</v>
      </c>
      <c r="D157" s="3183">
        <v>138915</v>
      </c>
      <c r="E157" s="3184">
        <v>92610</v>
      </c>
      <c r="F157" s="3183"/>
      <c r="G157" s="3184"/>
      <c r="H157" s="3183">
        <v>231525</v>
      </c>
      <c r="I157" s="3194"/>
      <c r="J157" s="3204">
        <f t="shared" si="7"/>
        <v>6.11</v>
      </c>
      <c r="K157" s="3204"/>
      <c r="L157" s="3204"/>
    </row>
    <row r="158" spans="1:12" ht="16.5">
      <c r="A158" s="3187">
        <v>47678</v>
      </c>
      <c r="B158" s="3189">
        <v>47710</v>
      </c>
      <c r="C158" s="3189">
        <v>47801</v>
      </c>
      <c r="D158" s="3183">
        <v>138915</v>
      </c>
      <c r="E158" s="3184">
        <v>92610</v>
      </c>
      <c r="F158" s="3183"/>
      <c r="G158" s="3184"/>
      <c r="H158" s="3183">
        <v>231525</v>
      </c>
      <c r="I158" s="3194"/>
      <c r="J158" s="3204">
        <f t="shared" si="7"/>
        <v>6.11</v>
      </c>
      <c r="K158" s="3205"/>
      <c r="L158" s="3205"/>
    </row>
    <row r="159" spans="1:12" ht="16.5">
      <c r="A159" s="3187">
        <v>47770</v>
      </c>
      <c r="B159" s="3188">
        <v>47802</v>
      </c>
      <c r="C159" s="3189">
        <v>47893</v>
      </c>
      <c r="D159" s="3183">
        <v>138915</v>
      </c>
      <c r="E159" s="3184">
        <v>92610</v>
      </c>
      <c r="F159" s="3183"/>
      <c r="G159" s="3184"/>
      <c r="H159" s="3183">
        <v>231525</v>
      </c>
      <c r="I159" s="3194"/>
      <c r="J159" s="3204">
        <f t="shared" si="7"/>
        <v>6.11</v>
      </c>
      <c r="K159" s="3205"/>
      <c r="L159" s="3205"/>
    </row>
    <row r="160" spans="1:12" ht="16.5">
      <c r="A160" s="3187">
        <v>47862</v>
      </c>
      <c r="B160" s="3189">
        <v>47894</v>
      </c>
      <c r="C160" s="3189">
        <v>47982</v>
      </c>
      <c r="D160" s="3183">
        <v>138915</v>
      </c>
      <c r="E160" s="3184">
        <v>92610</v>
      </c>
      <c r="F160" s="3183"/>
      <c r="G160" s="3184"/>
      <c r="H160" s="3183">
        <v>231525</v>
      </c>
      <c r="I160" s="3194"/>
      <c r="J160" s="3204">
        <f t="shared" si="7"/>
        <v>6.11</v>
      </c>
      <c r="K160" s="3205"/>
      <c r="L160" s="3205"/>
    </row>
    <row r="161" spans="1:12" ht="16.5">
      <c r="A161" s="3187">
        <v>47952</v>
      </c>
      <c r="B161" s="3189">
        <v>47983</v>
      </c>
      <c r="C161" s="3189">
        <v>48074</v>
      </c>
      <c r="D161" s="3183">
        <v>138915</v>
      </c>
      <c r="E161" s="3184">
        <v>92610</v>
      </c>
      <c r="F161" s="3183"/>
      <c r="G161" s="3184"/>
      <c r="H161" s="3183">
        <v>231525</v>
      </c>
      <c r="I161" s="3194"/>
      <c r="J161" s="3204">
        <f t="shared" si="7"/>
        <v>6.11</v>
      </c>
      <c r="K161" s="3205"/>
      <c r="L161" s="3205"/>
    </row>
    <row r="162" spans="1:12" ht="240">
      <c r="A162" s="3187">
        <v>48043</v>
      </c>
      <c r="B162" s="3189">
        <v>48075</v>
      </c>
      <c r="C162" s="3189">
        <v>48166</v>
      </c>
      <c r="D162" s="3183">
        <v>139296</v>
      </c>
      <c r="E162" s="3184">
        <v>92864</v>
      </c>
      <c r="F162" s="3191">
        <v>48136</v>
      </c>
      <c r="G162" s="3184"/>
      <c r="H162" s="3183">
        <v>232160</v>
      </c>
      <c r="I162" s="3192" t="s">
        <v>3527</v>
      </c>
      <c r="J162" s="3204">
        <f t="shared" si="7"/>
        <v>6.13</v>
      </c>
      <c r="K162" s="3205"/>
      <c r="L162" s="3205"/>
    </row>
    <row r="163" spans="1:12" ht="16.5">
      <c r="A163" s="3187">
        <v>48135</v>
      </c>
      <c r="B163" s="3189">
        <v>48167</v>
      </c>
      <c r="C163" s="3189">
        <v>48258</v>
      </c>
      <c r="D163" s="3183">
        <v>145860.75</v>
      </c>
      <c r="E163" s="3184">
        <v>97240.5</v>
      </c>
      <c r="F163" s="3183"/>
      <c r="G163" s="3184"/>
      <c r="H163" s="3183">
        <v>243101.25</v>
      </c>
      <c r="I163" s="3194" t="s">
        <v>3528</v>
      </c>
      <c r="J163" s="3204">
        <f t="shared" si="7"/>
        <v>6.42</v>
      </c>
      <c r="K163" s="3205"/>
      <c r="L163" s="3205"/>
    </row>
    <row r="164" spans="1:12" ht="16.5">
      <c r="A164" s="3187">
        <v>48227</v>
      </c>
      <c r="B164" s="3189">
        <v>48259</v>
      </c>
      <c r="C164" s="3189">
        <v>48348</v>
      </c>
      <c r="D164" s="3183">
        <v>145860.75</v>
      </c>
      <c r="E164" s="3184">
        <v>97240.5</v>
      </c>
      <c r="F164" s="3183"/>
      <c r="G164" s="3184"/>
      <c r="H164" s="3183">
        <v>243101.25</v>
      </c>
      <c r="I164" s="3194"/>
      <c r="J164" s="3204">
        <f t="shared" si="7"/>
        <v>6.42</v>
      </c>
      <c r="K164" s="3205"/>
      <c r="L164" s="3205"/>
    </row>
    <row r="165" spans="1:12" ht="16.5">
      <c r="A165" s="3187">
        <v>48318</v>
      </c>
      <c r="B165" s="3189">
        <v>48349</v>
      </c>
      <c r="C165" s="3189">
        <v>48440</v>
      </c>
      <c r="D165" s="3183">
        <v>145860.75</v>
      </c>
      <c r="E165" s="3184">
        <v>97240.5</v>
      </c>
      <c r="F165" s="3183"/>
      <c r="G165" s="3184"/>
      <c r="H165" s="3183">
        <v>243101.25</v>
      </c>
      <c r="I165" s="3194"/>
      <c r="J165" s="3204">
        <f t="shared" si="7"/>
        <v>6.42</v>
      </c>
      <c r="K165" s="3205"/>
      <c r="L165" s="3205"/>
    </row>
    <row r="166" spans="1:12" ht="16.5">
      <c r="A166" s="3187">
        <v>48409</v>
      </c>
      <c r="B166" s="3189">
        <v>48441</v>
      </c>
      <c r="C166" s="3189">
        <v>48532</v>
      </c>
      <c r="D166" s="3183">
        <v>145860.75</v>
      </c>
      <c r="E166" s="3184">
        <v>97240.5</v>
      </c>
      <c r="F166" s="3183"/>
      <c r="G166" s="3184"/>
      <c r="H166" s="3183">
        <v>243101.25</v>
      </c>
      <c r="I166" s="3194"/>
      <c r="J166" s="3204">
        <f t="shared" si="7"/>
        <v>6.42</v>
      </c>
      <c r="K166" s="3205"/>
      <c r="L166" s="3205"/>
    </row>
    <row r="167" spans="1:12" ht="16.5">
      <c r="A167" s="3187">
        <v>48501</v>
      </c>
      <c r="B167" s="3189">
        <v>48533</v>
      </c>
      <c r="C167" s="3189">
        <v>48624</v>
      </c>
      <c r="D167" s="3183">
        <v>145860.75</v>
      </c>
      <c r="E167" s="3184">
        <v>97240.5</v>
      </c>
      <c r="F167" s="3183"/>
      <c r="G167" s="3184"/>
      <c r="H167" s="3183">
        <v>243101.25</v>
      </c>
      <c r="I167" s="3194"/>
      <c r="J167" s="3204">
        <f t="shared" si="7"/>
        <v>6.42</v>
      </c>
      <c r="K167" s="3205"/>
      <c r="L167" s="3205"/>
    </row>
    <row r="168" spans="1:12" ht="16.5">
      <c r="A168" s="3187">
        <v>48593</v>
      </c>
      <c r="B168" s="3189">
        <v>48625</v>
      </c>
      <c r="C168" s="3189">
        <v>48713</v>
      </c>
      <c r="D168" s="3183">
        <v>145860.75</v>
      </c>
      <c r="E168" s="3184">
        <v>97240.5</v>
      </c>
      <c r="F168" s="3183"/>
      <c r="G168" s="3184"/>
      <c r="H168" s="3183">
        <v>243101.25</v>
      </c>
      <c r="I168" s="3194"/>
      <c r="J168" s="3204">
        <f t="shared" si="7"/>
        <v>6.42</v>
      </c>
      <c r="K168" s="3205"/>
      <c r="L168" s="3205"/>
    </row>
    <row r="169" spans="1:12" ht="16.5">
      <c r="A169" s="3187">
        <v>48683</v>
      </c>
      <c r="B169" s="3189">
        <v>48714</v>
      </c>
      <c r="C169" s="3189">
        <v>48805</v>
      </c>
      <c r="D169" s="3183">
        <v>145860.75</v>
      </c>
      <c r="E169" s="3184">
        <v>97240.5</v>
      </c>
      <c r="F169" s="3183"/>
      <c r="G169" s="3184"/>
      <c r="H169" s="3183">
        <v>243101.25</v>
      </c>
      <c r="I169" s="3194"/>
      <c r="J169" s="3204">
        <f t="shared" si="7"/>
        <v>6.42</v>
      </c>
      <c r="K169" s="3205"/>
      <c r="L169" s="3205"/>
    </row>
    <row r="170" spans="1:12" ht="255">
      <c r="A170" s="3187">
        <v>48774</v>
      </c>
      <c r="B170" s="3189">
        <v>48806</v>
      </c>
      <c r="C170" s="3189">
        <v>48897</v>
      </c>
      <c r="D170" s="3183">
        <v>146260.20000000001</v>
      </c>
      <c r="E170" s="3184">
        <v>97506.8</v>
      </c>
      <c r="F170" s="3191">
        <v>48867</v>
      </c>
      <c r="G170" s="3184"/>
      <c r="H170" s="3183">
        <v>243767</v>
      </c>
      <c r="I170" s="3196" t="s">
        <v>3529</v>
      </c>
      <c r="J170" s="3204">
        <f t="shared" si="7"/>
        <v>6.43</v>
      </c>
      <c r="K170" s="3205"/>
      <c r="L170" s="3205"/>
    </row>
    <row r="171" spans="1:12" ht="30">
      <c r="A171" s="3187">
        <v>48866</v>
      </c>
      <c r="B171" s="3189">
        <v>48898</v>
      </c>
      <c r="C171" s="3189">
        <v>48989</v>
      </c>
      <c r="D171" s="3183">
        <v>153154</v>
      </c>
      <c r="E171" s="3184">
        <v>102102</v>
      </c>
      <c r="F171" s="3183"/>
      <c r="G171" s="3184"/>
      <c r="H171" s="3183">
        <v>255256</v>
      </c>
      <c r="I171" s="3194" t="s">
        <v>3530</v>
      </c>
      <c r="J171" s="3204">
        <f t="shared" si="7"/>
        <v>6.74</v>
      </c>
      <c r="K171" s="3205"/>
      <c r="L171" s="3205"/>
    </row>
    <row r="172" spans="1:12" ht="16.5">
      <c r="A172" s="3187">
        <v>48958</v>
      </c>
      <c r="B172" s="3189">
        <v>48990</v>
      </c>
      <c r="C172" s="3189">
        <v>49078</v>
      </c>
      <c r="D172" s="3183">
        <v>153154</v>
      </c>
      <c r="E172" s="3184">
        <v>102102</v>
      </c>
      <c r="F172" s="3183"/>
      <c r="G172" s="3184"/>
      <c r="H172" s="3183">
        <v>255256</v>
      </c>
      <c r="I172" s="3194"/>
      <c r="J172" s="3204">
        <f t="shared" si="7"/>
        <v>6.74</v>
      </c>
      <c r="K172" s="3205"/>
      <c r="L172" s="3205"/>
    </row>
    <row r="173" spans="1:12" ht="16.5">
      <c r="A173" s="3187">
        <v>49048</v>
      </c>
      <c r="B173" s="3189">
        <v>49079</v>
      </c>
      <c r="C173" s="3189">
        <v>49170</v>
      </c>
      <c r="D173" s="3183">
        <v>153154</v>
      </c>
      <c r="E173" s="3184">
        <v>102102</v>
      </c>
      <c r="F173" s="3183"/>
      <c r="G173" s="3184"/>
      <c r="H173" s="3183">
        <v>255256</v>
      </c>
      <c r="I173" s="3194"/>
      <c r="J173" s="3204">
        <f t="shared" si="7"/>
        <v>6.74</v>
      </c>
      <c r="K173" s="3205"/>
      <c r="L173" s="3205"/>
    </row>
    <row r="174" spans="1:12" ht="16.5">
      <c r="A174" s="3187">
        <v>49139</v>
      </c>
      <c r="B174" s="3189">
        <v>49171</v>
      </c>
      <c r="C174" s="3189">
        <v>49262</v>
      </c>
      <c r="D174" s="3183">
        <v>153154</v>
      </c>
      <c r="E174" s="3184">
        <v>102102</v>
      </c>
      <c r="F174" s="3183"/>
      <c r="G174" s="3184"/>
      <c r="H174" s="3183">
        <v>255256</v>
      </c>
      <c r="I174" s="3194"/>
      <c r="J174" s="3204">
        <f t="shared" si="7"/>
        <v>6.74</v>
      </c>
      <c r="K174" s="3205"/>
      <c r="L174" s="3205"/>
    </row>
    <row r="175" spans="1:12" ht="16.5">
      <c r="A175" s="3187">
        <v>49231</v>
      </c>
      <c r="B175" s="3189">
        <v>49263</v>
      </c>
      <c r="C175" s="3189">
        <v>49354</v>
      </c>
      <c r="D175" s="3183">
        <v>153154</v>
      </c>
      <c r="E175" s="3184">
        <v>102102</v>
      </c>
      <c r="F175" s="3183"/>
      <c r="G175" s="3184"/>
      <c r="H175" s="3183">
        <v>255256</v>
      </c>
      <c r="I175" s="3194"/>
      <c r="J175" s="3204">
        <f t="shared" si="7"/>
        <v>6.74</v>
      </c>
      <c r="K175" s="3205"/>
      <c r="L175" s="3205"/>
    </row>
    <row r="176" spans="1:12" ht="16.5">
      <c r="A176" s="3187">
        <v>49323</v>
      </c>
      <c r="B176" s="3189">
        <v>49355</v>
      </c>
      <c r="C176" s="3189">
        <v>49443</v>
      </c>
      <c r="D176" s="3183">
        <v>153154</v>
      </c>
      <c r="E176" s="3184">
        <v>102102</v>
      </c>
      <c r="F176" s="3183"/>
      <c r="G176" s="3184"/>
      <c r="H176" s="3183">
        <v>255256</v>
      </c>
      <c r="I176" s="3194"/>
      <c r="J176" s="3204">
        <f t="shared" si="7"/>
        <v>6.74</v>
      </c>
      <c r="K176" s="3205"/>
      <c r="L176" s="3205"/>
    </row>
    <row r="177" spans="1:12" ht="16.5">
      <c r="A177" s="3187">
        <v>49413</v>
      </c>
      <c r="B177" s="3189">
        <v>49444</v>
      </c>
      <c r="C177" s="3189">
        <v>49535</v>
      </c>
      <c r="D177" s="3183">
        <v>153154</v>
      </c>
      <c r="E177" s="3184">
        <v>102102</v>
      </c>
      <c r="F177" s="3183"/>
      <c r="G177" s="3184"/>
      <c r="H177" s="3183">
        <v>255256</v>
      </c>
      <c r="I177" s="3194"/>
      <c r="J177" s="3204">
        <f t="shared" si="7"/>
        <v>6.74</v>
      </c>
      <c r="K177" s="3205"/>
      <c r="L177" s="3205"/>
    </row>
    <row r="178" spans="1:12" ht="255">
      <c r="A178" s="3187">
        <v>49504</v>
      </c>
      <c r="B178" s="3189">
        <v>49536</v>
      </c>
      <c r="C178" s="3189">
        <v>49627</v>
      </c>
      <c r="D178" s="3183">
        <v>153573.6</v>
      </c>
      <c r="E178" s="3184">
        <v>102382.39999999999</v>
      </c>
      <c r="F178" s="3191">
        <v>49597</v>
      </c>
      <c r="G178" s="3184"/>
      <c r="H178" s="3183">
        <v>255956</v>
      </c>
      <c r="I178" s="3192" t="s">
        <v>3531</v>
      </c>
      <c r="J178" s="3204">
        <f t="shared" si="7"/>
        <v>6.75</v>
      </c>
      <c r="K178" s="3205"/>
      <c r="L178" s="3205"/>
    </row>
    <row r="179" spans="1:12" ht="30">
      <c r="A179" s="3187">
        <v>49596</v>
      </c>
      <c r="B179" s="3189">
        <v>49628</v>
      </c>
      <c r="C179" s="3189">
        <v>49719</v>
      </c>
      <c r="D179" s="3183">
        <v>160811.4</v>
      </c>
      <c r="E179" s="3184">
        <v>107207.6</v>
      </c>
      <c r="F179" s="3183"/>
      <c r="G179" s="3184"/>
      <c r="H179" s="3183">
        <v>268019</v>
      </c>
      <c r="I179" s="3194" t="s">
        <v>3532</v>
      </c>
      <c r="J179" s="3204">
        <f t="shared" si="7"/>
        <v>7.07</v>
      </c>
      <c r="K179" s="3205"/>
      <c r="L179" s="3205"/>
    </row>
    <row r="180" spans="1:12" ht="16.5">
      <c r="A180" s="3187">
        <v>49688</v>
      </c>
      <c r="B180" s="3189">
        <v>49720</v>
      </c>
      <c r="C180" s="3189">
        <v>49809</v>
      </c>
      <c r="D180" s="3183">
        <v>160811.4</v>
      </c>
      <c r="E180" s="3184">
        <v>107207.6</v>
      </c>
      <c r="F180" s="3183"/>
      <c r="G180" s="3184"/>
      <c r="H180" s="3183">
        <v>268019</v>
      </c>
      <c r="I180" s="3194"/>
      <c r="J180" s="3204">
        <f t="shared" si="7"/>
        <v>7.07</v>
      </c>
      <c r="K180" s="3205"/>
      <c r="L180" s="3205"/>
    </row>
    <row r="181" spans="1:12" ht="16.5">
      <c r="A181" s="3187">
        <v>49779</v>
      </c>
      <c r="B181" s="3189">
        <v>49810</v>
      </c>
      <c r="C181" s="3189">
        <v>49901</v>
      </c>
      <c r="D181" s="3183">
        <v>160811.4</v>
      </c>
      <c r="E181" s="3184">
        <v>107207.6</v>
      </c>
      <c r="F181" s="3183"/>
      <c r="G181" s="3184"/>
      <c r="H181" s="3183">
        <v>268019</v>
      </c>
      <c r="I181" s="3194"/>
      <c r="J181" s="3204">
        <f t="shared" si="7"/>
        <v>7.07</v>
      </c>
      <c r="K181" s="3205"/>
      <c r="L181" s="3205"/>
    </row>
    <row r="182" spans="1:12" ht="16.5">
      <c r="A182" s="3187">
        <v>49870</v>
      </c>
      <c r="B182" s="3189">
        <v>49902</v>
      </c>
      <c r="C182" s="3189">
        <v>49993</v>
      </c>
      <c r="D182" s="3183">
        <v>160811.4</v>
      </c>
      <c r="E182" s="3184">
        <v>107207.6</v>
      </c>
      <c r="F182" s="3183"/>
      <c r="G182" s="3184"/>
      <c r="H182" s="3183">
        <v>268019</v>
      </c>
      <c r="I182" s="3194"/>
      <c r="J182" s="3204">
        <f t="shared" si="7"/>
        <v>7.07</v>
      </c>
    </row>
    <row r="183" spans="1:12" ht="135">
      <c r="A183" s="3187">
        <v>49962</v>
      </c>
      <c r="B183" s="3197">
        <v>49994</v>
      </c>
      <c r="C183" s="3197">
        <v>50088</v>
      </c>
      <c r="D183" s="3198">
        <v>166098.6</v>
      </c>
      <c r="E183" s="3199">
        <v>110732.4</v>
      </c>
      <c r="F183" s="3198"/>
      <c r="G183" s="3199"/>
      <c r="H183" s="3198">
        <v>276831</v>
      </c>
      <c r="I183" s="3192" t="s">
        <v>3533</v>
      </c>
      <c r="J183" s="3204">
        <f t="shared" si="7"/>
        <v>7.31</v>
      </c>
    </row>
    <row r="184" spans="1:12">
      <c r="D184" s="3206">
        <f>SUM(D133:D183)</f>
        <v>6611045.2500000009</v>
      </c>
      <c r="E184" s="3206">
        <f>SUM(E133:E183)</f>
        <v>4407359.5</v>
      </c>
      <c r="G184" s="1405" t="s">
        <v>2592</v>
      </c>
      <c r="H184" s="3206">
        <f>SUM(H133:H183)</f>
        <v>11428979.75</v>
      </c>
    </row>
    <row r="185" spans="1:12">
      <c r="G185" s="1405" t="s">
        <v>3541</v>
      </c>
      <c r="H185">
        <f>(D128-C128)-F130</f>
        <v>4397</v>
      </c>
    </row>
    <row r="186" spans="1:12">
      <c r="G186" s="3172" t="s">
        <v>3540</v>
      </c>
      <c r="H186" s="3156">
        <f>ROUND((H184-G134)/I128/H185,2)</f>
        <v>6.07</v>
      </c>
      <c r="I186" s="3175"/>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45791</v>
      </c>
      <c r="B1" s="2927" t="s">
        <v>3377</v>
      </c>
      <c r="C1" s="2928"/>
      <c r="D1" s="2928"/>
      <c r="E1" s="2928"/>
      <c r="F1" s="2928"/>
      <c r="G1" s="2928"/>
      <c r="H1" s="2928"/>
      <c r="I1" s="2928"/>
      <c r="J1" s="2894"/>
      <c r="K1" s="2928" t="s">
        <v>454</v>
      </c>
      <c r="L1" s="2928"/>
      <c r="M1" s="2928"/>
      <c r="N1" s="2928"/>
      <c r="O1" s="2928"/>
      <c r="P1" s="2928"/>
      <c r="Q1" s="2894"/>
      <c r="R1" s="3533" t="s">
        <v>456</v>
      </c>
      <c r="S1" s="3534"/>
      <c r="T1" s="3534"/>
      <c r="U1" s="3534"/>
      <c r="V1" s="3534"/>
      <c r="W1" s="3534"/>
      <c r="X1" s="2894"/>
      <c r="Y1" s="3533" t="s">
        <v>457</v>
      </c>
      <c r="Z1" s="3534"/>
      <c r="AA1" s="3534"/>
      <c r="AB1" s="3534"/>
      <c r="AC1" s="3534"/>
      <c r="AD1" s="3534"/>
    </row>
    <row r="2" spans="1:44" s="2009" customFormat="1" ht="14.2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2.75">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2.75">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2.75">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2.75">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2.75">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2.75">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2.75">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2.75">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2.75">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2.75">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2.75">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2.75">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2.75">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2.75">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2.75">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3380</v>
      </c>
    </row>
    <row r="27" spans="1:44">
      <c r="I27" s="1405" t="s">
        <v>2825</v>
      </c>
    </row>
    <row r="29" spans="1:44" s="2008" customFormat="1" ht="12.75">
      <c r="B29" s="2927" t="s">
        <v>3378</v>
      </c>
      <c r="C29" s="2928"/>
      <c r="D29" s="2928"/>
      <c r="E29" s="2928"/>
      <c r="F29" s="2928"/>
      <c r="G29" s="2928"/>
      <c r="H29" s="2928"/>
      <c r="I29" s="2928"/>
      <c r="J29" s="2894"/>
      <c r="K29" s="2928" t="s">
        <v>2826</v>
      </c>
      <c r="L29" s="2928"/>
      <c r="M29" s="2928"/>
      <c r="N29" s="2928"/>
      <c r="O29" s="2928"/>
      <c r="P29" s="2928"/>
      <c r="Q29" s="2894"/>
      <c r="R29" s="3533" t="s">
        <v>2827</v>
      </c>
      <c r="S29" s="3534"/>
      <c r="T29" s="3534"/>
      <c r="U29" s="3534"/>
      <c r="V29" s="3534"/>
      <c r="W29" s="3534"/>
      <c r="X29" s="2894"/>
      <c r="Y29" s="3533" t="s">
        <v>2828</v>
      </c>
      <c r="Z29" s="3534"/>
      <c r="AA29" s="3534"/>
      <c r="AB29" s="3534"/>
      <c r="AC29" s="3534"/>
      <c r="AD29" s="3534"/>
    </row>
    <row r="30" spans="1:44" s="2009" customFormat="1" ht="14.2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2.75">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2.75">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2.75">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2.75">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2.75">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2.75">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2.75">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2.75">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2.75">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2.75">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2.75">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2.75">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2.75">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2.75">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2.75">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38" t="s">
        <v>452</v>
      </c>
      <c r="C1" s="3538"/>
      <c r="D1" s="3538"/>
      <c r="E1" s="3538"/>
      <c r="F1" s="3538"/>
      <c r="G1" s="3534" t="s">
        <v>453</v>
      </c>
      <c r="H1" s="3534"/>
      <c r="I1" s="3534"/>
      <c r="J1" s="3534"/>
      <c r="K1" s="3534"/>
      <c r="L1" s="3534"/>
      <c r="N1" s="3534" t="s">
        <v>454</v>
      </c>
      <c r="O1" s="3534"/>
      <c r="P1" s="3534"/>
      <c r="Q1" s="3534"/>
      <c r="S1" s="3534" t="s">
        <v>455</v>
      </c>
      <c r="T1" s="3534"/>
      <c r="U1" s="3534"/>
      <c r="V1" s="3534"/>
      <c r="X1" s="3533" t="s">
        <v>456</v>
      </c>
      <c r="Y1" s="3534"/>
      <c r="Z1" s="3534"/>
      <c r="AA1" s="3534"/>
      <c r="AB1" s="3534"/>
      <c r="AD1" s="3533" t="s">
        <v>457</v>
      </c>
      <c r="AE1" s="3534"/>
      <c r="AF1" s="3534"/>
      <c r="AG1" s="3534"/>
      <c r="AH1" s="353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4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3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4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3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3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3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3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3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4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4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3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3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3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3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3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3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3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3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3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3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3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3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3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3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3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3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3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3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3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3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3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3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46" t="s">
        <v>2839</v>
      </c>
      <c r="B1" s="3546"/>
      <c r="C1" s="3546"/>
      <c r="D1" s="3546"/>
      <c r="E1" s="3546"/>
      <c r="F1" s="3546"/>
      <c r="G1" s="3547"/>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44"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45"/>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1" t="str">
        <f>IF(项目基本情况!B9="房地产市场价值","估价结果一览表","结果表-2")</f>
        <v>结果表-2</v>
      </c>
      <c r="B1" s="3231"/>
      <c r="C1" s="3231"/>
      <c r="D1" s="3231"/>
      <c r="E1" s="3231"/>
      <c r="F1" s="3231"/>
      <c r="G1" s="3231"/>
      <c r="H1" s="3231"/>
      <c r="I1" s="3231"/>
    </row>
    <row r="2" spans="1:9" ht="30" customHeight="1" thickTop="1">
      <c r="A2" s="3232" t="s">
        <v>928</v>
      </c>
      <c r="B2" s="3232" t="s">
        <v>929</v>
      </c>
      <c r="C2" s="3232" t="s">
        <v>930</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27"/>
      <c r="B3" s="3227"/>
      <c r="C3" s="3227"/>
      <c r="D3" s="801" t="s">
        <v>925</v>
      </c>
      <c r="E3" s="801" t="s">
        <v>931</v>
      </c>
      <c r="F3" s="801" t="s">
        <v>925</v>
      </c>
      <c r="G3" s="801" t="s">
        <v>926</v>
      </c>
      <c r="H3" s="801" t="s">
        <v>925</v>
      </c>
      <c r="I3" s="801" t="s">
        <v>926</v>
      </c>
    </row>
    <row r="4" spans="1:9" ht="30">
      <c r="A4" s="1403" t="str">
        <f>项目基本情况!S2</f>
        <v>北京市朝阳区芍药居北里101号1幢5层601房地产</v>
      </c>
      <c r="B4" s="801">
        <f>项目基本情况!C17</f>
        <v>3797.1</v>
      </c>
      <c r="C4" s="801">
        <f>项目基本情况!C18</f>
        <v>0</v>
      </c>
      <c r="D4" s="801">
        <f>结果表!D118</f>
        <v>0</v>
      </c>
      <c r="E4" s="801">
        <f>结果表!E118</f>
        <v>0</v>
      </c>
      <c r="F4" s="801">
        <f>结果表!F118</f>
        <v>0</v>
      </c>
      <c r="G4" s="801">
        <f>结果表!G118</f>
        <v>0</v>
      </c>
      <c r="H4" s="801">
        <f ca="1">结果表!H118</f>
        <v>9591</v>
      </c>
      <c r="I4" s="801">
        <f ca="1">结果表!I118</f>
        <v>25259</v>
      </c>
    </row>
    <row r="5" spans="1:9" ht="30" customHeight="1">
      <c r="A5" s="3227" t="s">
        <v>927</v>
      </c>
      <c r="B5" s="3227"/>
      <c r="C5" s="3227"/>
      <c r="D5" s="3227" t="str">
        <f>结果表!D119</f>
        <v>零元整</v>
      </c>
      <c r="E5" s="3227"/>
      <c r="F5" s="3227" t="str">
        <f>结果表!F119</f>
        <v>零元整</v>
      </c>
      <c r="G5" s="3227"/>
      <c r="H5" s="3227" t="str">
        <f ca="1">结果表!H119</f>
        <v>玖仟伍佰玖拾壹万元整</v>
      </c>
      <c r="I5" s="3227"/>
    </row>
    <row r="6" spans="1:9" ht="15.75">
      <c r="A6" s="3226" t="str">
        <f>结果表!A120</f>
        <v>估价师知悉的法定优先受偿款</v>
      </c>
      <c r="B6" s="3226"/>
      <c r="C6" s="3226"/>
      <c r="D6" s="3226">
        <f>结果表!D120</f>
        <v>0</v>
      </c>
      <c r="E6" s="3226"/>
      <c r="F6" s="3226"/>
      <c r="G6" s="3226"/>
      <c r="H6" s="3226"/>
      <c r="I6" s="3226"/>
    </row>
    <row r="7" spans="1:9" ht="15">
      <c r="A7" s="3227" t="s">
        <v>927</v>
      </c>
      <c r="B7" s="3227"/>
      <c r="C7" s="3227"/>
      <c r="D7" s="3228" t="str">
        <f>结果表!D121</f>
        <v>零元整</v>
      </c>
      <c r="E7" s="3229"/>
      <c r="F7" s="3229"/>
      <c r="G7" s="3229"/>
      <c r="H7" s="3229"/>
      <c r="I7" s="3230"/>
    </row>
    <row r="8" spans="1:9" ht="15.75">
      <c r="A8" s="3226" t="str">
        <f>结果表!A122</f>
        <v>房地产抵押价值</v>
      </c>
      <c r="B8" s="3226"/>
      <c r="C8" s="3226"/>
      <c r="D8" s="3226">
        <f ca="1">结果表!D122</f>
        <v>9591</v>
      </c>
      <c r="E8" s="3226"/>
      <c r="F8" s="3226"/>
      <c r="G8" s="3226"/>
      <c r="H8" s="3226"/>
      <c r="I8" s="3226"/>
    </row>
    <row r="9" spans="1:9" ht="15">
      <c r="A9" s="3227" t="s">
        <v>927</v>
      </c>
      <c r="B9" s="3227"/>
      <c r="C9" s="3227"/>
      <c r="D9" s="3227" t="str">
        <f ca="1">结果表!D123</f>
        <v>玖仟伍佰玖拾壹万元整</v>
      </c>
      <c r="E9" s="3227"/>
      <c r="F9" s="3227"/>
      <c r="G9" s="3227"/>
      <c r="H9" s="3227"/>
      <c r="I9" s="3227"/>
    </row>
    <row r="10" spans="1:9" ht="15.75">
      <c r="A10" s="3226" t="str">
        <f>结果表!A124</f>
        <v/>
      </c>
      <c r="B10" s="3226"/>
      <c r="C10" s="3226"/>
      <c r="D10" s="3226" t="str">
        <f>结果表!D124</f>
        <v>——</v>
      </c>
      <c r="E10" s="3226"/>
      <c r="F10" s="3226"/>
      <c r="G10" s="3226"/>
      <c r="H10" s="3226"/>
      <c r="I10" s="3226"/>
    </row>
    <row r="11" spans="1:9" ht="15">
      <c r="A11" s="3227" t="s">
        <v>927</v>
      </c>
      <c r="B11" s="3227"/>
      <c r="C11" s="3227"/>
      <c r="D11" s="3227" t="e">
        <f>结果表!D125</f>
        <v>#VALUE!</v>
      </c>
      <c r="E11" s="3227"/>
      <c r="F11" s="3227"/>
      <c r="G11" s="3227"/>
      <c r="H11" s="3227"/>
      <c r="I11" s="3227"/>
    </row>
    <row r="12" spans="1:9" ht="15.75">
      <c r="A12" s="3226" t="str">
        <f>结果表!A126</f>
        <v>抵押净值</v>
      </c>
      <c r="B12" s="3226"/>
      <c r="C12" s="3226"/>
      <c r="D12" s="3226">
        <f ca="1">结果表!D126</f>
        <v>9586</v>
      </c>
      <c r="E12" s="3226"/>
      <c r="F12" s="3226"/>
      <c r="G12" s="3226"/>
      <c r="H12" s="3226"/>
      <c r="I12" s="3226"/>
    </row>
    <row r="13" spans="1:9" ht="15.75" thickBot="1">
      <c r="A13" s="3224" t="s">
        <v>927</v>
      </c>
      <c r="B13" s="3224"/>
      <c r="C13" s="3224"/>
      <c r="D13" s="3224" t="str">
        <f ca="1">结果表!D127</f>
        <v>玖仟伍佰捌拾陆万元整</v>
      </c>
      <c r="E13" s="3224"/>
      <c r="F13" s="3224"/>
      <c r="G13" s="3224"/>
      <c r="H13" s="3224"/>
      <c r="I13" s="3224"/>
    </row>
    <row r="14" spans="1:9" ht="15" thickTop="1">
      <c r="A14" s="3225" t="s">
        <v>932</v>
      </c>
      <c r="B14" s="3225"/>
      <c r="C14" s="3225"/>
      <c r="D14" s="3225"/>
      <c r="E14" s="3225"/>
      <c r="F14" s="3225"/>
      <c r="G14" s="3225"/>
      <c r="H14" s="3225"/>
      <c r="I14" s="322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9" t="s">
        <v>949</v>
      </c>
      <c r="B1" s="3239"/>
      <c r="C1" s="3239"/>
      <c r="D1" s="3239"/>
    </row>
    <row r="2" spans="1:4" ht="18">
      <c r="A2" s="3240" t="s">
        <v>933</v>
      </c>
      <c r="B2" s="3240"/>
      <c r="C2" s="3240"/>
      <c r="D2" s="324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0" t="s">
        <v>939</v>
      </c>
      <c r="B6" s="3240"/>
      <c r="C6" s="3240"/>
      <c r="D6" s="324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1" t="s">
        <v>942</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3" t="str">
        <f>IF(项目基本情况!B8="抵押","4.本次评估估价师所知悉的法定优先受偿款情况说明如下：","——")</f>
        <v>4.本次评估估价师所知悉的法定优先受偿款情况说明如下：</v>
      </c>
      <c r="B14" s="3238"/>
      <c r="C14" s="3238"/>
      <c r="D14" s="3238"/>
    </row>
    <row r="15" spans="1:4" ht="42" customHeight="1">
      <c r="A15" s="323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5" t="s">
        <v>943</v>
      </c>
      <c r="B16" s="3235"/>
      <c r="C16" s="3235"/>
      <c r="D16" s="3235"/>
    </row>
    <row r="17" spans="1:4" ht="144" customHeight="1">
      <c r="A17" s="3235" t="s">
        <v>944</v>
      </c>
      <c r="B17" s="3235"/>
      <c r="C17" s="3235"/>
      <c r="D17" s="3235"/>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3"/>
      <c r="C20" s="3233"/>
      <c r="D20" s="3233"/>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6"/>
      <c r="C21" s="3236"/>
      <c r="D21" s="3236"/>
    </row>
    <row r="22" spans="1:4" ht="18.75" customHeight="1">
      <c r="A22" s="3237" t="s">
        <v>945</v>
      </c>
      <c r="B22" s="3237"/>
      <c r="C22" s="3237"/>
      <c r="D22" s="323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4">
        <v>42551</v>
      </c>
      <c r="D31" s="32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7" t="s">
        <v>956</v>
      </c>
      <c r="B15" s="3242" t="s">
        <v>109</v>
      </c>
      <c r="C15" s="3243"/>
    </row>
    <row r="16" spans="1:7" ht="13.5">
      <c r="A16" s="3248"/>
      <c r="B16" s="3242" t="s">
        <v>42</v>
      </c>
      <c r="C16" s="3243"/>
    </row>
    <row r="17" spans="1:3" ht="13.5">
      <c r="A17" s="3248"/>
      <c r="B17" s="3245" t="s">
        <v>957</v>
      </c>
      <c r="C17" s="1429" t="s">
        <v>956</v>
      </c>
    </row>
    <row r="18" spans="1:3" ht="13.5">
      <c r="A18" s="3248"/>
      <c r="B18" s="3245"/>
      <c r="C18" s="1429" t="s">
        <v>958</v>
      </c>
    </row>
    <row r="19" spans="1:3" ht="13.5">
      <c r="A19" s="3248"/>
      <c r="B19" s="3245"/>
      <c r="C19" s="1429" t="s">
        <v>959</v>
      </c>
    </row>
    <row r="20" spans="1:3" ht="13.5">
      <c r="A20" s="3249"/>
      <c r="B20" s="3244" t="s">
        <v>960</v>
      </c>
      <c r="C20" s="3243"/>
    </row>
    <row r="21" spans="1:3" ht="13.5">
      <c r="A21" s="1430" t="s">
        <v>961</v>
      </c>
      <c r="B21" s="1431"/>
      <c r="C21" s="1432"/>
    </row>
    <row r="22" spans="1:3" ht="13.5">
      <c r="A22" s="3246" t="s">
        <v>962</v>
      </c>
      <c r="B22" s="3244" t="s">
        <v>963</v>
      </c>
      <c r="C22" s="3243"/>
    </row>
    <row r="23" spans="1:3" ht="13.5">
      <c r="A23" s="3246"/>
      <c r="B23" s="3244" t="s">
        <v>964</v>
      </c>
      <c r="C23" s="3243"/>
    </row>
    <row r="24" spans="1:3" ht="13.5">
      <c r="A24" s="3246"/>
      <c r="B24" s="3244" t="s">
        <v>965</v>
      </c>
      <c r="C24" s="3243"/>
    </row>
    <row r="25" spans="1:3" ht="13.5">
      <c r="A25" s="3246"/>
      <c r="B25" s="3245" t="s">
        <v>966</v>
      </c>
      <c r="C25" s="1429" t="s">
        <v>967</v>
      </c>
    </row>
    <row r="26" spans="1:3" ht="13.5">
      <c r="A26" s="3246"/>
      <c r="B26" s="3245"/>
      <c r="C26" s="1429" t="s">
        <v>968</v>
      </c>
    </row>
    <row r="27" spans="1:3" ht="13.5">
      <c r="A27" s="3246"/>
      <c r="B27" s="3245"/>
      <c r="C27" s="1429" t="s">
        <v>969</v>
      </c>
    </row>
    <row r="28" spans="1:3" ht="13.5">
      <c r="A28" s="3246"/>
      <c r="B28" s="3245"/>
      <c r="C28" s="1429" t="s">
        <v>970</v>
      </c>
    </row>
    <row r="29" spans="1:3" ht="13.5">
      <c r="A29" s="3246"/>
      <c r="B29" s="3245"/>
      <c r="C29" s="1429" t="s">
        <v>971</v>
      </c>
    </row>
    <row r="30" spans="1:3" ht="13.5">
      <c r="A30" s="3246"/>
      <c r="B30" s="3245"/>
      <c r="C30" s="1429" t="s">
        <v>972</v>
      </c>
    </row>
    <row r="31" spans="1:3" ht="13.5">
      <c r="A31" s="3246"/>
      <c r="B31" s="3245"/>
      <c r="C31" s="1429" t="s">
        <v>973</v>
      </c>
    </row>
    <row r="32" spans="1:3" ht="13.5">
      <c r="A32" s="3246"/>
      <c r="B32" s="3245"/>
      <c r="C32" s="1429" t="s">
        <v>974</v>
      </c>
    </row>
    <row r="33" spans="1:3" ht="13.5">
      <c r="A33" s="3246"/>
      <c r="B33" s="324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45792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50" t="s">
        <v>2160</v>
      </c>
      <c r="B17" s="3250"/>
      <c r="C17" s="3250"/>
      <c r="D17" s="3250"/>
      <c r="E17" s="3250"/>
      <c r="F17" s="3250"/>
      <c r="G17" s="3250"/>
      <c r="H17" s="3250"/>
    </row>
    <row r="18" spans="1:8" ht="24" customHeight="1">
      <c r="A18" s="3251" t="s">
        <v>2161</v>
      </c>
      <c r="B18" s="3251"/>
      <c r="C18" s="3251"/>
      <c r="D18" s="2159"/>
      <c r="E18" s="3252" t="s">
        <v>2162</v>
      </c>
      <c r="F18" s="3251"/>
      <c r="G18" s="325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vt:lpstr>
      <vt:lpstr>租赁合同明细</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2025-05-15T07:27:33Z</dcterms:modified>
</cp:coreProperties>
</file>