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48" i="34" l="1"/>
  <c r="C34" i="34"/>
  <c r="G48" i="34"/>
  <c r="E48" i="34"/>
  <c r="I37" i="34"/>
  <c r="G37" i="34"/>
  <c r="E37" i="34"/>
  <c r="H12" i="4" l="1"/>
  <c r="C37" i="34" l="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C33" i="2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S43"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3" i="61"/>
  <c r="F6" i="61"/>
  <c r="D19" i="57"/>
  <c r="D4" i="61"/>
  <c r="E2" i="36"/>
  <c r="D7" i="61"/>
  <c r="F4" i="61"/>
  <c r="D20" i="57"/>
  <c r="E2" i="21"/>
  <c r="F3" i="61"/>
  <c r="D5" i="61"/>
  <c r="F5" i="61"/>
  <c r="E2" i="34"/>
  <c r="D6" i="61"/>
  <c r="C20" i="57"/>
  <c r="E2" i="11"/>
  <c r="E2" i="35"/>
  <c r="C19" i="57"/>
  <c r="E2" i="33"/>
  <c r="H23" i="31"/>
  <c r="F7" i="61"/>
  <c r="E2" i="37"/>
  <c r="D80" i="57" l="1"/>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E7" i="34"/>
  <c r="G7" i="34" s="1"/>
  <c r="I7" i="34" s="1"/>
  <c r="AC10" i="34"/>
  <c r="U9" i="34"/>
  <c r="S37" i="34"/>
  <c r="AC37"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37" i="34" l="1"/>
  <c r="AB27" i="34"/>
  <c r="AA2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c r="D48" i="9" s="1"/>
  <c r="N52" i="9" s="1"/>
  <c r="O57" i="9" s="1"/>
  <c r="C72" i="9" l="1"/>
  <c r="C79" i="9" s="1"/>
  <c r="C80" i="9" s="1"/>
  <c r="E80" i="9" s="1"/>
  <c r="E81" i="9" s="1"/>
  <c r="D5" i="62"/>
  <c r="C85" i="9"/>
  <c r="C64" i="9"/>
  <c r="C63" i="9" s="1"/>
  <c r="C67" i="9" s="1"/>
  <c r="C68" i="9" s="1"/>
  <c r="D54" i="9" s="1"/>
  <c r="D52" i="9"/>
  <c r="C93" i="9"/>
  <c r="C86" i="9" s="1"/>
  <c r="N49" i="9"/>
  <c r="Q57" i="9" s="1"/>
  <c r="D6" i="62"/>
  <c r="C6" i="62"/>
  <c r="O58" i="9"/>
  <c r="M68" i="9" l="1"/>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<sst xmlns="http://schemas.openxmlformats.org/spreadsheetml/2006/main" count="7071" uniqueCount="3094">
  <si>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</si>
  <si>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</si>
  <si>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</si>
  <si>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</si>
  <si>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</si>
  <si>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</si>
  <si>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</si>
  <si>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</si>
  <si>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</si>
  <si>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</si>
  <si>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</si>
  <si>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</si>
  <si>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</si>
  <si>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</si>
  <si>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</si>
  <si>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</si>
  <si>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</si>
  <si>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</si>
  <si>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</si>
  <si>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</si>
  <si>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</si>
  <si>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</si>
  <si>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</si>
  <si>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</si>
  <si>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</si>
  <si>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</si>
  <si>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</si>
  <si>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</si>
  <si>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</si>
  <si>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</si>
  <si>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</si>
  <si>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</si>
  <si>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</si>
  <si>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</si>
  <si>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</si>
  <si>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</si>
  <si>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</si>
  <si>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</si>
  <si>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</si>
  <si>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</si>
  <si>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</si>
  <si>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</si>
  <si>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</si>
  <si>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</si>
  <si>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</si>
  <si>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</si>
  <si>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</si>
  <si>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</si>
  <si>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</si>
  <si>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</si>
  <si>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</si>
  <si>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</si>
  <si>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</si>
  <si>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</si>
  <si>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</si>
  <si>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</si>
  <si>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</si>
  <si>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</si>
  <si>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</si>
  <si>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</si>
  <si>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</si>
  <si>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</si>
  <si>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</si>
  <si>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</si>
  <si>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</si>
  <si>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</si>
  <si>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</si>
  <si>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</si>
  <si>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</si>
  <si>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</si>
  <si>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</si>
  <si>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</si>
  <si>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</si>
  <si>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</si>
  <si>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</si>
  <si>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</si>
  <si>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</si>
  <si>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</si>
  <si>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</si>
  <si>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</si>
  <si>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</si>
  <si>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</si>
  <si>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</si>
  <si>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</si>
  <si>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</si>
  <si>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</si>
  <si>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</si>
  <si>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</si>
  <si>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</si>
  <si>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</si>
  <si>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</si>
  <si>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</si>
  <si>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</si>
  <si>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</si>
  <si>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</si>
  <si>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</si>
  <si>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</si>
  <si>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</si>
  <si>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</si>
  <si>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</si>
  <si>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</si>
  <si>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</si>
  <si>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</si>
  <si>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</si>
  <si>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</si>
  <si>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</si>
  <si>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</si>
  <si>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</si>
  <si>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</si>
  <si>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</si>
  <si>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</si>
  <si>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</si>
  <si>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</si>
  <si>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</si>
  <si>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</si>
  <si>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</si>
  <si>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</si>
  <si>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</si>
  <si>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</si>
  <si>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</si>
  <si>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</si>
  <si>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</si>
  <si>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</si>
  <si>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</si>
  <si>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</si>
  <si>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</si>
  <si>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</si>
  <si>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</si>
  <si>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</si>
  <si>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</si>
  <si>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</si>
  <si>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</si>
  <si>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</si>
  <si>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</si>
  <si>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</si>
  <si>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</si>
  <si>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</si>
  <si>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</si>
  <si>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</si>
  <si>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</si>
  <si>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</si>
  <si>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</si>
  <si>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</si>
  <si>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</si>
  <si>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</si>
  <si>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</si>
  <si>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</si>
  <si>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</si>
  <si>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</si>
  <si>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</si>
  <si>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</si>
  <si>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</si>
  <si>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</si>
  <si>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</si>
  <si>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</si>
  <si>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</si>
  <si>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</si>
  <si>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</si>
  <si>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</si>
  <si>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</si>
  <si>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</si>
  <si>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</si>
  <si>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</si>
  <si>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</si>
  <si>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</si>
  <si>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</si>
  <si>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</si>
  <si>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</si>
  <si>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</si>
  <si>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</si>
  <si>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</si>
  <si>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</si>
  <si>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</si>
  <si>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</si>
  <si>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</si>
  <si>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</si>
  <si>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</si>
  <si>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</si>
  <si>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</si>
  <si>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</si>
  <si>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</si>
  <si>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</si>
  <si>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</si>
  <si>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</si>
  <si>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</si>
  <si>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</si>
  <si>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</si>
  <si>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</si>
  <si>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</si>
  <si>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</si>
  <si>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</si>
  <si>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</si>
  <si>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</si>
  <si>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</si>
  <si>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</si>
  <si>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</si>
  <si>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</si>
  <si>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</si>
  <si>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</si>
  <si>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</si>
  <si>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</si>
  <si>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</si>
  <si>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</si>
  <si>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</si>
  <si>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</si>
  <si>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</si>
  <si>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</si>
  <si>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</si>
  <si>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</si>
  <si>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</si>
  <si>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</si>
  <si>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</si>
  <si>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</si>
  <si>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</si>
  <si>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</si>
  <si>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</si>
  <si>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</si>
  <si>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</si>
  <si>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</si>
  <si>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</si>
  <si>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</si>
  <si>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</si>
  <si>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</si>
  <si>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</si>
  <si>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</si>
  <si>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</si>
  <si>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</si>
  <si>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</si>
  <si>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</si>
  <si>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</si>
  <si>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</si>
  <si>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</si>
  <si>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</si>
  <si>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</si>
  <si>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</si>
  <si>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</si>
  <si>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</si>
  <si>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</si>
  <si>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</si>
  <si>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</si>
  <si>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</si>
  <si>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</si>
  <si>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</si>
  <si>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</si>
  <si>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</si>
  <si>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</si>
  <si>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</si>
  <si>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</si>
  <si>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</si>
  <si>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</si>
  <si>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</si>
  <si>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</si>
  <si>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</si>
  <si>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</si>
  <si>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</si>
  <si>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</si>
  <si>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</si>
  <si>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</si>
  <si>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</si>
  <si>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</si>
  <si>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</si>
  <si>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</si>
  <si>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</si>
  <si>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</si>
  <si>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</si>
  <si>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</si>
  <si>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</si>
  <si>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</si>
  <si>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</si>
  <si>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</si>
  <si>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</si>
  <si>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</si>
  <si>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</si>
  <si>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</si>
  <si>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</si>
  <si>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</si>
  <si>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</si>
  <si>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</si>
  <si>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</si>
  <si>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</si>
  <si>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</si>
  <si>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</si>
  <si>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</si>
  <si>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</si>
  <si>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</si>
  <si>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</si>
  <si>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</si>
  <si>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</si>
  <si>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</si>
  <si>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</si>
  <si>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</si>
  <si>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</si>
  <si>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</si>
  <si>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</si>
  <si>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</si>
  <si>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</si>
  <si>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</si>
  <si>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</si>
  <si>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</si>
  <si>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</si>
  <si>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</si>
  <si>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</si>
  <si>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</si>
  <si>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</si>
  <si>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</si>
  <si>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</si>
  <si>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</si>
  <si>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</si>
  <si>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</si>
  <si>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</si>
  <si>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</si>
  <si>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</si>
  <si>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</si>
  <si>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</si>
  <si>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</si>
  <si>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</si>
  <si>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</si>
  <si>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</si>
  <si>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</si>
  <si>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</si>
  <si>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</si>
  <si>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</si>
  <si>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</si>
  <si>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</si>
  <si>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</si>
  <si>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</si>
  <si>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</si>
  <si>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</si>
  <si>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</si>
  <si>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</si>
  <si>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</si>
  <si>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</si>
  <si>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</si>
  <si>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</si>
  <si>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</si>
  <si>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</si>
  <si>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</si>
  <si>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</si>
  <si>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</si>
  <si>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</si>
  <si>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</si>
  <si>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</si>
  <si>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</si>
  <si>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</si>
  <si>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</si>
  <si>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</si>
  <si>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</si>
  <si>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</si>
  <si>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</si>
  <si>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</si>
  <si>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</si>
  <si>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</si>
  <si>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</si>
  <si>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</si>
  <si>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</si>
  <si>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</si>
  <si>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</si>
  <si>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</si>
  <si>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</si>
  <si>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</si>
  <si>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</si>
  <si>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</si>
  <si>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</si>
  <si>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</si>
  <si>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</si>
  <si>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</si>
  <si>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</si>
  <si>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</si>
  <si>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</si>
  <si>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</si>
  <si>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</si>
  <si>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</si>
  <si>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</si>
  <si>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</si>
  <si>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</si>
  <si>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</si>
  <si>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</si>
  <si>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</si>
  <si>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</si>
  <si>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</si>
  <si>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</si>
  <si>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</si>
  <si>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</si>
  <si>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</si>
  <si>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</si>
  <si>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</si>
  <si>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</si>
  <si>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</si>
  <si>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</si>
  <si>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</si>
  <si>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</si>
  <si>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</si>
  <si>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</si>
  <si>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</si>
  <si>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</si>
  <si>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</si>
  <si>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</si>
  <si>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</si>
  <si>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</si>
  <si>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</si>
  <si>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</si>
  <si>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</si>
  <si>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</si>
  <si>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</si>
  <si>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</si>
  <si>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</si>
  <si>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</si>
  <si>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</si>
  <si>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</si>
  <si>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</si>
  <si>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</si>
  <si>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</si>
  <si>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</si>
  <si>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</si>
  <si>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</si>
  <si>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</si>
  <si>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</si>
  <si>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</si>
  <si>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</si>
  <si>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</si>
  <si>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</si>
  <si>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</si>
  <si>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</si>
  <si>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</si>
  <si>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</si>
  <si>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</si>
  <si>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</si>
  <si>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</si>
  <si>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</si>
  <si>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</si>
  <si>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</si>
  <si>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</si>
  <si>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</si>
  <si>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</si>
  <si>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</si>
  <si>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</si>
  <si>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</si>
  <si>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</si>
  <si>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</si>
  <si>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</si>
  <si>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</si>
  <si>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</si>
  <si>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</si>
  <si>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</si>
  <si>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</si>
  <si>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</si>
  <si>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</si>
  <si>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</si>
  <si>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</si>
  <si>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</si>
  <si>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</si>
  <si>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</si>
  <si>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</si>
  <si>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</si>
  <si>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</si>
  <si>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</si>
  <si>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</si>
  <si>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</si>
  <si>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</si>
  <si>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</si>
  <si>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</si>
  <si>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</si>
  <si>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</si>
  <si>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</si>
  <si>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</si>
  <si>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</si>
  <si>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</si>
  <si>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</si>
  <si>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</si>
  <si>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</si>
  <si>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</si>
  <si>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</si>
  <si>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</si>
  <si>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</si>
  <si>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</si>
  <si>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</si>
  <si>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</si>
  <si>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</si>
  <si>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</si>
  <si>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</si>
  <si>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</si>
  <si>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</si>
  <si>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</si>
  <si>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</si>
  <si>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</si>
  <si>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</si>
  <si>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</si>
  <si>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</si>
  <si>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</si>
  <si>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</si>
  <si>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</si>
  <si>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</si>
  <si>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</si>
  <si>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</si>
  <si>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</si>
  <si>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</si>
  <si>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</si>
  <si>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</si>
  <si>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</si>
  <si>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</si>
  <si>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</si>
  <si>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</si>
  <si>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</si>
  <si>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</si>
  <si>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</si>
  <si>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</si>
  <si>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</si>
  <si>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</si>
  <si>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</si>
  <si>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</si>
  <si>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</si>
  <si>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</si>
  <si>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</si>
  <si>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</si>
  <si>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</si>
  <si>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</si>
  <si>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</si>
  <si>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</si>
  <si>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</si>
  <si>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</si>
  <si>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</si>
  <si>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</si>
  <si>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</si>
  <si>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</si>
  <si>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</si>
  <si>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</si>
  <si>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</si>
  <si>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</si>
  <si>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</si>
  <si>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</si>
  <si>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</si>
  <si>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</si>
  <si>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</si>
  <si>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</si>
  <si>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</si>
  <si>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</si>
  <si>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</si>
  <si>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</si>
  <si>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</si>
  <si>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</si>
  <si>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</si>
  <si>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</si>
  <si>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</si>
  <si>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</si>
  <si>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</si>
  <si>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</si>
  <si>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</si>
  <si>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</si>
  <si>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</si>
  <si>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</si>
  <si>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</si>
  <si>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</si>
  <si>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</si>
  <si>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</si>
  <si>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</si>
  <si>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</si>
  <si>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</si>
  <si>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</si>
  <si>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</si>
  <si>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</si>
  <si>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</si>
  <si>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</si>
  <si>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</si>
  <si>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</si>
  <si>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</si>
  <si>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</si>
  <si>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</si>
  <si>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</si>
  <si>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</si>
  <si>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</si>
  <si>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</si>
  <si>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</si>
  <si>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</si>
  <si>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</si>
  <si>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</si>
  <si>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</si>
  <si>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</si>
  <si>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</si>
  <si>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</si>
  <si>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</si>
  <si>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</si>
  <si>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</si>
  <si>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</si>
  <si>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</si>
  <si>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</si>
  <si>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</si>
  <si>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</si>
  <si>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</si>
  <si>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</si>
  <si>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</si>
  <si>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</si>
  <si>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</si>
  <si>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</si>
  <si>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</si>
  <si>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</si>
  <si>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</si>
  <si>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</si>
  <si>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</si>
  <si>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</si>
  <si>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</si>
  <si>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</si>
  <si>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</si>
  <si>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</si>
  <si>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</si>
  <si>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</si>
  <si>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</si>
  <si>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</si>
  <si>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</si>
  <si>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</si>
  <si>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</si>
  <si>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</si>
  <si>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</si>
  <si>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</si>
  <si>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</si>
  <si>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</si>
  <si>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</si>
  <si>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</si>
  <si>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</si>
  <si>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</si>
  <si>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</si>
  <si>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</si>
  <si>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</si>
  <si>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</si>
  <si>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</si>
  <si>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</si>
  <si>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</si>
  <si>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</si>
  <si>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</si>
  <si>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</si>
  <si>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</si>
  <si>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</si>
  <si>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</si>
  <si>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</si>
  <si>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</si>
  <si>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</si>
  <si>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</si>
  <si>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</si>
  <si>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</si>
  <si>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</si>
  <si>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</si>
  <si>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</si>
  <si>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</si>
  <si>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</si>
  <si>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</si>
  <si>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</si>
  <si>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</si>
  <si>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</si>
  <si>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</si>
  <si>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</si>
  <si>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</si>
  <si>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</si>
  <si>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</si>
  <si>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</si>
  <si>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</si>
  <si>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</si>
  <si>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</si>
  <si>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</si>
  <si>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</si>
  <si>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</si>
  <si>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</si>
  <si>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</si>
  <si>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</si>
  <si>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</si>
  <si>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</si>
  <si>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</si>
  <si>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</si>
  <si>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</si>
  <si>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</si>
  <si>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</si>
  <si>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</si>
  <si>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</si>
  <si>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</si>
  <si>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</si>
  <si>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</si>
  <si>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</si>
  <si>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</si>
  <si>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</si>
  <si>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</si>
  <si>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</si>
  <si>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</si>
  <si>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</si>
  <si>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</si>
  <si>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</si>
  <si>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</si>
  <si>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</si>
  <si>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</si>
  <si>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</si>
  <si>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</si>
  <si>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</si>
  <si>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</si>
  <si>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</si>
  <si>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</si>
  <si>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</si>
  <si>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</si>
  <si>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</si>
  <si>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</si>
  <si>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</si>
  <si>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</si>
  <si>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</si>
  <si>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</si>
  <si>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</si>
  <si>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</si>
  <si>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</si>
  <si>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</si>
  <si>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</si>
  <si>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</si>
  <si>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</si>
  <si>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</si>
  <si>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</si>
  <si>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</si>
  <si>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</si>
  <si>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</si>
  <si>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</si>
  <si>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</si>
  <si>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</si>
  <si>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</si>
  <si>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</si>
  <si>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</si>
  <si>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</si>
  <si>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</si>
  <si>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</si>
  <si>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</si>
  <si>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</si>
  <si>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</si>
  <si>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</si>
  <si>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</si>
  <si>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</si>
  <si>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</si>
  <si>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</si>
  <si>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</si>
  <si>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</si>
  <si>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</si>
  <si>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</si>
  <si>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</si>
  <si>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</si>
  <si>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</si>
  <si>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</si>
  <si>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</si>
  <si>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</si>
  <si>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</si>
  <si>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</si>
  <si>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</si>
  <si>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</si>
  <si>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</si>
  <si>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</si>
  <si>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</si>
  <si>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</si>
  <si>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</si>
  <si>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</si>
  <si>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</si>
  <si>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</si>
  <si>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</si>
  <si>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</si>
  <si>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</si>
  <si>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</si>
  <si>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</si>
  <si>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</si>
  <si>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</si>
  <si>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</si>
  <si>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</si>
  <si>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</si>
  <si>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</si>
  <si>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</si>
  <si>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</si>
  <si>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</si>
  <si>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</si>
  <si>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</si>
  <si>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</si>
  <si>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</si>
  <si>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</si>
  <si>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</si>
  <si>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</si>
  <si>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</si>
  <si>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</si>
  <si>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</si>
  <si>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</si>
  <si>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</si>
  <si>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</si>
  <si>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</si>
  <si>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</si>
  <si>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</si>
  <si>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</si>
  <si>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</si>
  <si>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</si>
  <si>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</si>
  <si>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</si>
  <si>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</si>
  <si>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</si>
  <si>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</si>
  <si>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</si>
  <si>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</si>
  <si>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</si>
  <si>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</si>
  <si>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</si>
  <si>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</si>
  <si>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</si>
  <si>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</si>
  <si>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</si>
  <si>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</si>
  <si>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</si>
  <si>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</si>
  <si>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</si>
  <si>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</si>
  <si>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</si>
  <si>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</si>
  <si>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</si>
  <si>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</si>
  <si>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</si>
  <si>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</si>
  <si>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</si>
  <si>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</si>
  <si>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</si>
  <si>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</si>
  <si>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</si>
  <si>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</si>
  <si>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</si>
  <si>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</si>
  <si>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</si>
  <si>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</si>
  <si>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</si>
  <si>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</si>
  <si>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</si>
  <si>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</si>
  <si>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</si>
  <si>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</si>
  <si>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</si>
  <si>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</si>
  <si>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</si>
  <si>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</si>
  <si>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</si>
  <si>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</si>
  <si>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</si>
  <si>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</si>
  <si>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</si>
  <si>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</si>
  <si>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</si>
  <si>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</si>
  <si>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</si>
  <si>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</si>
  <si>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</si>
  <si>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</si>
  <si>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</si>
  <si>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</si>
  <si>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</si>
  <si>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</si>
  <si>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</si>
  <si>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</si>
  <si>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</si>
  <si>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</si>
  <si>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</si>
  <si>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</si>
  <si>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</si>
  <si>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</si>
  <si>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</si>
  <si>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</si>
  <si>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</si>
  <si>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</si>
  <si>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</si>
  <si>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</si>
  <si>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</si>
  <si>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</si>
  <si>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</si>
  <si>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</si>
  <si>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</si>
  <si>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</si>
  <si>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</si>
  <si>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</si>
  <si>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</si>
  <si>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</si>
  <si>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</si>
  <si>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</si>
  <si>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</si>
  <si>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</si>
  <si>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</si>
  <si>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</si>
  <si>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</si>
  <si>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</si>
  <si>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</si>
  <si>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</si>
  <si>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</si>
  <si>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</si>
  <si>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</si>
  <si>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</si>
  <si>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</si>
  <si>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</si>
  <si>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</si>
  <si>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</si>
  <si>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</si>
  <si>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</si>
  <si>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</si>
  <si>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</si>
  <si>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</si>
  <si>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</si>
  <si>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</si>
  <si>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</si>
  <si>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</si>
  <si>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</si>
  <si>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</si>
  <si>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</si>
  <si>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</si>
  <si>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</si>
  <si>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</si>
  <si>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</si>
  <si>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</si>
  <si>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</si>
  <si>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</si>
  <si>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</si>
  <si>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</si>
  <si>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</si>
  <si>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</si>
  <si>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</si>
  <si>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</si>
  <si>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</si>
  <si>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</si>
  <si>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</si>
  <si>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</si>
  <si>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</si>
  <si>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</si>
  <si>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</si>
  <si>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</si>
  <si>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</si>
  <si>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</si>
  <si>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</si>
  <si>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</si>
  <si>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</si>
  <si>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</si>
  <si>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</si>
  <si>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</si>
  <si>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</si>
  <si>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</si>
  <si>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</si>
  <si>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</si>
  <si>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</si>
  <si>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</si>
  <si>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</si>
  <si>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</si>
  <si>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</si>
  <si>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</si>
  <si>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</si>
  <si>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</si>
  <si>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</si>
  <si>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</si>
  <si>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</si>
  <si>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</si>
  <si>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</si>
  <si>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</si>
  <si>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</si>
  <si>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</si>
  <si>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</si>
  <si>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</si>
  <si>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</si>
  <si>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</si>
  <si>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</si>
  <si>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</si>
  <si>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</si>
  <si>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</si>
  <si>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</si>
  <si>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</si>
  <si>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</si>
  <si>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</si>
  <si>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</si>
  <si>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</si>
  <si>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</si>
  <si>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</si>
  <si>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</si>
  <si>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</si>
  <si>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</si>
  <si>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</si>
  <si>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</si>
  <si>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</si>
  <si>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</si>
  <si>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</si>
  <si>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</si>
  <si>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</si>
  <si>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</si>
  <si>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</si>
  <si>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</si>
  <si>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</si>
  <si>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</si>
  <si>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</si>
  <si>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</si>
  <si>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</si>
  <si>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</si>
  <si>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</si>
  <si>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</si>
  <si>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</si>
  <si>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</si>
  <si>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</si>
  <si>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</si>
  <si>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</si>
  <si>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</si>
  <si>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</si>
  <si>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</si>
  <si>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</si>
  <si>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</si>
  <si>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</si>
  <si>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</si>
  <si>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</si>
  <si>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</si>
  <si>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</si>
  <si>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</si>
  <si>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</si>
  <si>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</si>
  <si>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</si>
  <si>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</si>
  <si>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</si>
  <si>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</si>
  <si>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</si>
  <si>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</si>
  <si>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</si>
  <si>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</si>
  <si>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</si>
  <si>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</si>
  <si>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</si>
  <si>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</si>
  <si>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</si>
  <si>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</si>
  <si>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</si>
  <si>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</si>
  <si>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</si>
  <si>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</si>
  <si>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</si>
  <si>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</si>
  <si>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</si>
  <si>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</si>
  <si>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</si>
  <si>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</si>
  <si>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</si>
  <si>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</si>
  <si>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</si>
  <si>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</si>
  <si>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</si>
  <si>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</si>
  <si>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</si>
  <si>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</si>
  <si>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</si>
  <si>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</si>
  <si>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</si>
  <si>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</si>
  <si>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</si>
  <si>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</si>
  <si>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</si>
  <si>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</si>
  <si>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</si>
  <si>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</si>
  <si>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</si>
  <si>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</si>
  <si>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</si>
  <si>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</si>
  <si>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</si>
  <si>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</si>
  <si>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</si>
  <si>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</si>
  <si>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</si>
  <si>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</si>
  <si>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</si>
  <si>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</si>
  <si>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</si>
  <si>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</si>
  <si>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</si>
  <si>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</si>
  <si>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</si>
  <si>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</si>
  <si>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</si>
  <si>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</si>
  <si>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</si>
  <si>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</si>
  <si>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</si>
  <si>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</si>
  <si>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</si>
  <si>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</si>
  <si>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</si>
  <si>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</si>
  <si>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</si>
  <si>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</si>
  <si>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</si>
  <si>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</si>
  <si>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</si>
  <si>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</si>
  <si>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</si>
  <si>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</si>
  <si>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</si>
  <si>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</si>
  <si>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</si>
  <si>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</si>
  <si>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</si>
  <si>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</si>
  <si>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</si>
  <si>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</si>
  <si>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</si>
  <si>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</si>
  <si>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</si>
  <si>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</si>
  <si>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</si>
  <si>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</si>
  <si>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</si>
  <si>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</si>
  <si>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</si>
  <si>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</si>
  <si>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</si>
  <si>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</si>
  <si>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</si>
  <si>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</si>
  <si>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</si>
  <si>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</si>
  <si>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</si>
  <si>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</si>
  <si>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</si>
  <si>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</si>
  <si>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</si>
  <si>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</si>
  <si>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</si>
  <si>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</si>
  <si>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</si>
  <si>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</si>
  <si>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</si>
  <si>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</si>
  <si>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</si>
  <si>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</si>
  <si>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</si>
  <si>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</si>
  <si>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</si>
  <si>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</si>
  <si>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</si>
  <si>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</si>
  <si>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</si>
  <si>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</si>
  <si>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</si>
  <si>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</si>
  <si>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</si>
  <si>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</si>
  <si>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</si>
  <si>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</si>
  <si>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</si>
  <si>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</si>
  <si>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</si>
  <si>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</si>
  <si>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</si>
  <si>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</si>
  <si>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</si>
  <si>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</si>
  <si>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</si>
  <si>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</si>
  <si>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</si>
  <si>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</si>
  <si>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</si>
  <si>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</si>
  <si>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</si>
  <si>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</si>
  <si>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</si>
  <si>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</si>
  <si>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</si>
  <si>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</si>
  <si>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</si>
  <si>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</si>
  <si>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</si>
  <si>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</si>
  <si>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</si>
  <si>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</si>
  <si>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</si>
  <si>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</si>
  <si>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</si>
  <si>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</si>
  <si>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</si>
  <si>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</si>
  <si>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</si>
  <si>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</si>
  <si>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</si>
  <si>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</si>
  <si>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</si>
  <si>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</si>
  <si>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</si>
  <si>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</si>
  <si>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</si>
  <si>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</si>
  <si>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</si>
  <si>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</si>
  <si>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</si>
  <si>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</si>
  <si>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</si>
  <si>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</si>
  <si>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</si>
  <si>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</si>
  <si>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</si>
  <si>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</si>
  <si>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</si>
  <si>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</si>
  <si>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</si>
  <si>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</si>
  <si>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</si>
  <si>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</si>
  <si>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</si>
  <si>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</si>
  <si>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</si>
  <si>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</si>
  <si>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</si>
  <si>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</si>
  <si>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</si>
  <si>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</si>
  <si>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</si>
  <si>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</si>
  <si>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</si>
  <si>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</si>
  <si>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</si>
  <si>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</si>
  <si>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</si>
  <si>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</si>
  <si>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</si>
  <si>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</si>
  <si>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</si>
  <si>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</si>
  <si>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</si>
  <si>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</si>
  <si>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</si>
  <si>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</si>
  <si>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</si>
  <si>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</si>
  <si>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</si>
  <si>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</si>
  <si>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</si>
  <si>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</si>
  <si>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</si>
  <si>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</si>
  <si>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</si>
  <si>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</si>
  <si>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</si>
  <si>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</si>
  <si>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</si>
  <si>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</si>
  <si>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</si>
  <si>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</si>
  <si>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</si>
  <si>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</si>
  <si>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</si>
  <si>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</si>
  <si>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</si>
  <si>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</si>
  <si>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</si>
  <si>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</si>
  <si>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</si>
  <si>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</si>
  <si>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</si>
  <si>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</si>
  <si>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</si>
  <si>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</si>
  <si>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</si>
  <si>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</si>
  <si>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</si>
  <si>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</si>
  <si>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</si>
  <si>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</si>
  <si>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</si>
  <si>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</si>
  <si>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</si>
  <si>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</si>
  <si>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</si>
  <si>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</si>
  <si>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</si>
  <si>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</si>
  <si>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</si>
  <si>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</si>
  <si>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</si>
  <si>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</si>
  <si>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</si>
  <si>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</si>
  <si>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</si>
  <si>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</si>
  <si>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</si>
  <si>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</si>
  <si>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</si>
  <si>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</si>
  <si>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</si>
  <si>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</si>
  <si>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</si>
  <si>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</si>
  <si>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</si>
  <si>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</si>
  <si>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</si>
  <si>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</si>
  <si>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</si>
  <si>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</si>
  <si>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</si>
  <si>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</si>
  <si>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</si>
  <si>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</si>
  <si>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</si>
  <si>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</si>
  <si>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</si>
  <si>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</si>
  <si>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</si>
  <si>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</si>
  <si>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</si>
  <si>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</si>
  <si>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</si>
  <si>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</si>
  <si>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</si>
  <si>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</si>
  <si>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</si>
  <si>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</si>
  <si>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</si>
  <si>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</si>
  <si>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</si>
  <si>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</si>
  <si>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</si>
  <si>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</si>
  <si>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</si>
  <si>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</si>
  <si>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</si>
  <si>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</si>
  <si>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</si>
  <si>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</si>
  <si>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</si>
  <si>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</si>
  <si>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</si>
  <si>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</si>
  <si>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</si>
  <si>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</si>
  <si>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</si>
  <si>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</si>
  <si>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</si>
  <si>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</si>
  <si>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</si>
  <si>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</si>
  <si>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</si>
  <si>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</si>
  <si>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</si>
  <si>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</si>
  <si>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</si>
  <si>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</si>
  <si>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</si>
  <si>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</si>
  <si>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</si>
  <si>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</si>
  <si>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</si>
  <si>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</si>
  <si>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</si>
  <si>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</si>
  <si>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</si>
  <si>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</si>
  <si>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</si>
  <si>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</si>
  <si>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</si>
  <si>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</si>
  <si>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</si>
  <si>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</si>
  <si>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</si>
  <si>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</si>
  <si>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</si>
  <si>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</si>
  <si>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</si>
  <si>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</si>
  <si>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</si>
  <si>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</si>
  <si>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</si>
  <si>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</si>
  <si>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</si>
  <si>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</si>
  <si>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</si>
  <si>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</si>
  <si>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</si>
  <si>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</si>
  <si>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</si>
  <si>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</si>
  <si>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</si>
  <si>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</si>
  <si>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</si>
  <si>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</si>
  <si>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</si>
  <si>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</si>
  <si>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</si>
  <si>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</si>
  <si>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</si>
  <si>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</si>
  <si>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</si>
  <si>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</si>
  <si>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</si>
  <si>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</si>
  <si>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</si>
  <si>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</si>
  <si>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</si>
  <si>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</si>
  <si>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</si>
  <si>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</si>
  <si>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</si>
  <si>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</si>
  <si>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</si>
  <si>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</si>
  <si>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</si>
  <si>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</si>
  <si>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</si>
  <si>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</si>
  <si>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</si>
  <si>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</si>
  <si>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</si>
  <si>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</si>
  <si>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</si>
  <si>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</si>
  <si>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</si>
  <si>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</si>
  <si>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</si>
  <si>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</si>
  <si>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</si>
  <si>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</si>
  <si>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</si>
  <si>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</si>
  <si>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</si>
  <si>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</si>
  <si>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</si>
  <si>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</si>
  <si>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</si>
  <si>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</si>
  <si>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</si>
  <si>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</si>
  <si>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</si>
  <si>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</si>
  <si>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</si>
  <si>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</si>
  <si>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</si>
  <si>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</si>
  <si>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</si>
  <si>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</si>
  <si>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</si>
  <si>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</si>
  <si>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</si>
  <si>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</si>
  <si>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</si>
  <si>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</si>
  <si>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</si>
  <si>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</si>
  <si>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</si>
  <si>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</si>
  <si>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</si>
  <si>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</si>
  <si>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</si>
  <si>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</si>
  <si>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</si>
  <si>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</si>
  <si>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</si>
  <si>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</si>
  <si>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</si>
  <si>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</si>
  <si>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</si>
  <si>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</si>
  <si>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</si>
  <si>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</si>
  <si>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</si>
  <si>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</si>
  <si>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</si>
  <si>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</si>
  <si>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</si>
  <si>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</si>
  <si>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</si>
  <si>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</si>
  <si>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</si>
  <si>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</si>
  <si>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</si>
  <si>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</si>
  <si>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</si>
  <si>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</si>
  <si>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</si>
  <si>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</si>
  <si>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</si>
  <si>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</si>
  <si>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</si>
  <si>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</si>
  <si>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</si>
  <si>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</si>
  <si>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</si>
  <si>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</si>
  <si>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</si>
  <si>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</si>
  <si>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</si>
  <si>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</si>
  <si>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</si>
  <si>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</si>
  <si>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</si>
  <si>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</si>
  <si>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</si>
  <si>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</si>
  <si>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</si>
  <si>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</si>
  <si>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</si>
  <si>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</si>
  <si>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</si>
  <si>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</si>
  <si>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</si>
  <si>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</si>
  <si>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</si>
  <si>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</si>
  <si>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</si>
  <si>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</si>
  <si>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</si>
  <si>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</si>
  <si>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</si>
  <si>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</si>
  <si>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</si>
  <si>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</si>
  <si>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</si>
  <si>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</si>
  <si>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</si>
  <si>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</si>
  <si>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</si>
  <si>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</si>
  <si>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</si>
  <si>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</si>
  <si>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</si>
  <si>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</si>
  <si>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</si>
  <si>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</si>
  <si>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</si>
  <si>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</si>
  <si>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</si>
  <si>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</si>
  <si>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</si>
  <si>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</si>
  <si>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</si>
  <si>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</si>
  <si>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</si>
  <si>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</si>
  <si>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</si>
  <si>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</si>
  <si>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</si>
  <si>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</si>
  <si>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</si>
  <si>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</si>
  <si>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</si>
  <si>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</si>
  <si>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</si>
  <si>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</si>
  <si>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</si>
  <si>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</si>
  <si>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</si>
  <si>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</si>
  <si>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</si>
  <si>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</si>
  <si>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</si>
  <si>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</si>
  <si>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</si>
  <si>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</si>
  <si>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</si>
  <si>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</si>
  <si>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</si>
  <si>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</si>
  <si>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</si>
  <si>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</si>
  <si>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</si>
  <si>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</si>
  <si>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</si>
  <si>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</si>
  <si>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</si>
  <si>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</si>
  <si>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</si>
  <si>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</si>
  <si>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</si>
  <si>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</si>
  <si>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</si>
  <si>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</si>
  <si>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</si>
  <si>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</si>
  <si>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</si>
  <si>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</si>
  <si>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</si>
  <si>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</si>
  <si>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</si>
  <si>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</si>
  <si>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</si>
  <si>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</si>
  <si>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</si>
  <si>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</si>
  <si>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</si>
  <si>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</si>
  <si>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</si>
  <si>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</si>
  <si>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</si>
  <si>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</si>
  <si>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</si>
  <si>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</si>
  <si>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</si>
  <si>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</si>
  <si>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</si>
  <si>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</si>
  <si>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</si>
  <si>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</si>
  <si>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</si>
  <si>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</si>
  <si>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</si>
  <si>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</si>
  <si>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</si>
  <si>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</si>
  <si>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</si>
  <si>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</si>
  <si>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</si>
  <si>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</si>
  <si>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</si>
  <si>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</si>
  <si>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</si>
  <si>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</si>
  <si>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</si>
  <si>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</si>
  <si>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</si>
  <si>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</si>
  <si>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</si>
  <si>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</si>
  <si>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</si>
  <si>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</si>
  <si>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</si>
  <si>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</si>
  <si>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</si>
  <si>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</si>
  <si>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</si>
  <si>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</si>
  <si>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</si>
  <si>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</si>
  <si>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</si>
  <si>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</si>
  <si>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</si>
  <si>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</si>
  <si>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</si>
  <si>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</si>
  <si>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</si>
  <si>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</si>
  <si>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</si>
  <si>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</si>
  <si>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</si>
  <si>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</si>
  <si>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</si>
  <si>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</si>
  <si>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</si>
  <si>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</si>
  <si>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</si>
  <si>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</si>
  <si>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</si>
  <si>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</si>
  <si>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</si>
  <si>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</si>
  <si>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</si>
  <si>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</si>
  <si>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</si>
  <si>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</si>
  <si>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</si>
  <si>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</si>
  <si>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</si>
  <si>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</si>
  <si>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</si>
  <si>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</si>
  <si>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</si>
  <si>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</si>
  <si>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</si>
  <si>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</si>
  <si>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</si>
  <si>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</si>
  <si>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</si>
  <si>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</si>
  <si>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</si>
  <si>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</si>
  <si>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</si>
  <si>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</si>
  <si>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</si>
  <si>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</si>
  <si>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</si>
  <si>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</si>
  <si>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</si>
  <si>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</si>
  <si>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</si>
  <si>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</si>
  <si>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</si>
  <si>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</si>
  <si>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</si>
  <si>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</si>
  <si>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</si>
  <si>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</si>
  <si>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</si>
  <si>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</si>
  <si>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</si>
  <si>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</si>
  <si>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</si>
  <si>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</si>
  <si>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</si>
  <si>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</si>
  <si>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</si>
  <si>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</si>
  <si>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</si>
  <si>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</si>
  <si>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</si>
  <si>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</si>
  <si>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</si>
  <si>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</si>
  <si>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</si>
  <si>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</si>
  <si>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</si>
  <si>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</si>
  <si>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</si>
  <si>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</si>
  <si>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</si>
  <si>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</si>
  <si>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</si>
  <si>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</si>
  <si>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</si>
  <si>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</si>
  <si>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</si>
  <si>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</si>
  <si>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</si>
  <si>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</si>
  <si>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</si>
  <si>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</si>
  <si>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</si>
  <si>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</si>
  <si>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</si>
  <si>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</si>
  <si>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</si>
  <si>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</si>
  <si>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</si>
  <si>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</si>
  <si>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</si>
  <si>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</si>
  <si>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</si>
  <si>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</si>
  <si>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</si>
  <si>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</si>
  <si>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</si>
  <si>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</si>
  <si>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</si>
  <si>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</si>
  <si>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</si>
  <si>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</si>
  <si>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</si>
  <si>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</si>
  <si>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</si>
  <si>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</si>
  <si>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</si>
  <si>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</si>
  <si>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</si>
  <si>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</si>
  <si>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</si>
  <si>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</si>
  <si>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</si>
  <si>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</si>
  <si>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</si>
  <si>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</si>
  <si>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</si>
  <si>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</si>
  <si>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</si>
  <si>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</si>
  <si>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</si>
  <si>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</si>
  <si>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</si>
  <si>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</si>
  <si>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</si>
  <si>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</si>
  <si>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</si>
  <si>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</si>
  <si>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</si>
  <si>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</si>
  <si>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</si>
  <si>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</si>
  <si>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</si>
  <si>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</si>
  <si>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</si>
  <si>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</si>
  <si>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</si>
  <si>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</si>
  <si>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</si>
  <si>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</si>
  <si>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</si>
  <si>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</si>
  <si>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</si>
  <si>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</si>
  <si>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</si>
  <si>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</si>
  <si>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</si>
  <si>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</si>
  <si>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</si>
  <si>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</si>
  <si>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</si>
  <si>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</si>
  <si>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</si>
  <si>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</si>
  <si>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</si>
  <si>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</si>
  <si>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</si>
  <si>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</si>
  <si>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</si>
  <si>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</si>
  <si>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</si>
  <si>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</si>
  <si>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</si>
  <si>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</si>
  <si>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</si>
  <si>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</si>
  <si>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</si>
  <si>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</si>
  <si>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</si>
  <si>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</si>
  <si>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</si>
  <si>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</si>
  <si>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</si>
  <si>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</si>
  <si>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</si>
  <si>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</si>
  <si>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</si>
  <si>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</si>
  <si>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</si>
  <si>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</si>
  <si>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</si>
  <si>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</si>
  <si>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</si>
  <si>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</si>
  <si>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</si>
  <si>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</si>
  <si>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</si>
  <si>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</si>
  <si>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</si>
  <si>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</si>
  <si>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</si>
  <si>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</si>
  <si>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</si>
  <si>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</si>
  <si>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</si>
  <si>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</si>
  <si>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</si>
  <si>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</si>
  <si>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</si>
  <si>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</si>
  <si>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</si>
  <si>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</si>
  <si>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</si>
  <si>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</si>
  <si>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</si>
  <si>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</si>
  <si>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</si>
  <si>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</si>
  <si>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</si>
  <si>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</si>
  <si>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</si>
  <si>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</si>
  <si>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</si>
  <si>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</si>
  <si>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</si>
  <si>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</si>
  <si>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</si>
  <si>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</si>
  <si>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</si>
  <si>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</si>
  <si>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</si>
  <si>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</si>
  <si>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</si>
  <si>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</si>
  <si>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</si>
  <si>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</si>
  <si>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</si>
  <si>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</si>
  <si>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</si>
  <si>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</si>
  <si>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</si>
  <si>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</si>
  <si>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</si>
  <si>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</si>
  <si>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</si>
  <si>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</si>
  <si>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</si>
  <si>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</si>
  <si>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</si>
  <si>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</si>
  <si>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</si>
  <si>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</si>
  <si>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</si>
  <si>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</si>
  <si>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</si>
  <si>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</si>
  <si>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</si>
  <si>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</si>
  <si>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</si>
  <si>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</si>
  <si>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</si>
  <si>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</si>
  <si>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</si>
  <si>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</si>
  <si>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</si>
  <si>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</si>
  <si>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</si>
  <si>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</si>
  <si>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</si>
  <si>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</si>
  <si>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</si>
  <si>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</si>
  <si>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</si>
  <si>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</si>
  <si>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</si>
  <si>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</si>
  <si>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</si>
  <si>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</si>
  <si>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</si>
  <si>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</si>
  <si>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</si>
  <si>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</si>
  <si>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</si>
  <si>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</si>
  <si>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</si>
  <si>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</si>
  <si>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</si>
  <si>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</si>
  <si>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</si>
  <si>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</si>
  <si>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</si>
  <si>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</si>
  <si>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</si>
  <si>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</si>
  <si>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</si>
  <si>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</si>
  <si>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</si>
  <si>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</si>
  <si>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</si>
  <si>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</si>
  <si>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</si>
  <si>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</si>
  <si>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</si>
  <si>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</si>
  <si>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</si>
  <si>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</si>
  <si>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</si>
  <si>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</si>
  <si>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</si>
  <si>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</si>
  <si>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</si>
  <si>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</si>
  <si>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</si>
  <si>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</si>
  <si>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</si>
  <si>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</si>
  <si>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</si>
  <si>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</si>
  <si>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</si>
  <si>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</si>
  <si>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</si>
  <si>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</si>
  <si>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</si>
  <si>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</si>
  <si>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</si>
  <si>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</si>
  <si>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</si>
  <si>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</si>
  <si>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</si>
  <si>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</si>
  <si>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</si>
  <si>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</si>
  <si>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</si>
  <si>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</si>
  <si>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</si>
  <si>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</si>
  <si>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</si>
  <si>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</si>
  <si>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</si>
  <si>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</si>
  <si>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</si>
  <si>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</si>
  <si>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</si>
  <si>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</si>
  <si>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</si>
  <si>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</si>
  <si>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</si>
  <si>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</si>
  <si>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</si>
  <si>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</si>
  <si>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</si>
  <si>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</si>
  <si>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</si>
  <si>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</si>
  <si>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</si>
  <si>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</si>
  <si>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</si>
  <si>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</si>
  <si>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</si>
  <si>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</si>
  <si>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</si>
  <si>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</si>
  <si>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</si>
  <si>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</si>
  <si>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</si>
  <si>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</si>
  <si>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</si>
  <si>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</si>
  <si>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</si>
  <si>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</si>
  <si>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</si>
  <si>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</si>
  <si>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</si>
  <si>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</si>
  <si>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</si>
  <si>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</si>
  <si>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</si>
  <si>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</si>
  <si>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</si>
  <si>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</si>
  <si>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</si>
  <si>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</si>
  <si>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</si>
  <si>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</si>
  <si>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</si>
  <si>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</si>
  <si>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</si>
  <si>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</si>
  <si>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</si>
  <si>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</si>
  <si>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</si>
  <si>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</si>
  <si>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</si>
  <si>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</si>
  <si>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</si>
  <si>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</si>
  <si>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</si>
  <si>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</si>
  <si>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</si>
  <si>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</si>
  <si>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</si>
  <si>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</si>
  <si>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</si>
  <si>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</si>
  <si>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</si>
  <si>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</si>
  <si>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</si>
  <si>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</si>
  <si>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</si>
  <si>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</si>
  <si>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</si>
  <si>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</si>
  <si>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</si>
  <si>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</si>
  <si>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</si>
  <si>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</si>
  <si>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</si>
  <si>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</si>
  <si>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</si>
  <si>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</si>
  <si>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</si>
  <si>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</si>
  <si>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</si>
  <si>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</si>
  <si>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</si>
  <si>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</si>
  <si>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</si>
  <si>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</si>
  <si>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</si>
  <si>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</si>
  <si>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</si>
  <si>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</si>
  <si>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</si>
  <si>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</si>
  <si>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</si>
  <si>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</si>
  <si>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</si>
  <si>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</si>
  <si>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</si>
  <si>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</si>
  <si>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</si>
  <si>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</si>
  <si>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</si>
  <si>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</si>
  <si>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</si>
  <si>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</si>
  <si>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</si>
  <si>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</si>
  <si>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</si>
  <si>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</si>
  <si>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</si>
  <si>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</si>
  <si>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</si>
  <si>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</si>
  <si>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</si>
  <si>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</si>
  <si>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</si>
  <si>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</si>
  <si>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</si>
  <si>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</si>
  <si>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</si>
  <si>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</si>
  <si>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</si>
  <si>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</si>
  <si>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</si>
  <si>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</si>
  <si>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</si>
  <si>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</si>
  <si>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</si>
  <si>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</si>
  <si>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</si>
  <si>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</si>
  <si>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</si>
  <si>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</si>
  <si>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</si>
  <si>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</si>
  <si>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</si>
  <si>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</si>
  <si>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</si>
  <si>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</si>
  <si>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</si>
  <si>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</si>
  <si>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</si>
  <si>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</si>
  <si>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</si>
  <si>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</si>
  <si>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</si>
  <si>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</si>
  <si>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</si>
  <si>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</si>
  <si>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</si>
  <si>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</si>
  <si>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</si>
  <si>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</si>
  <si>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</si>
  <si>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</si>
  <si>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</si>
  <si>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</si>
  <si>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</si>
  <si>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</si>
  <si>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</si>
  <si>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</si>
  <si>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</si>
  <si>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</si>
  <si>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</si>
  <si>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</si>
  <si>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</si>
  <si>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</si>
  <si>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</si>
  <si>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</si>
  <si>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</si>
  <si>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</si>
  <si>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</si>
  <si>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</si>
  <si>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</si>
  <si>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</si>
  <si>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</si>
  <si>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</si>
  <si>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</si>
  <si>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</si>
  <si>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</si>
  <si>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</si>
  <si>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</si>
  <si>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</si>
  <si>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</si>
  <si>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</si>
  <si>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</si>
  <si>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</si>
  <si>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</si>
  <si>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</si>
  <si>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</si>
  <si>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</si>
  <si>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</si>
  <si>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</si>
  <si>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</si>
  <si>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</si>
  <si>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</si>
  <si>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</si>
  <si>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</si>
  <si>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</si>
  <si>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</si>
  <si>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</si>
  <si>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</si>
  <si>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</si>
  <si>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</si>
  <si>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</si>
  <si>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</si>
  <si>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</si>
  <si>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</si>
  <si>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</si>
  <si>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</si>
  <si>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</si>
  <si>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</si>
  <si>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</si>
  <si>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</si>
  <si>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</si>
  <si>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</si>
  <si>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</si>
  <si>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</si>
  <si>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</si>
  <si>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</si>
  <si>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</si>
  <si>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</si>
  <si>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</si>
  <si>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</si>
  <si>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</si>
  <si>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</si>
  <si>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</si>
  <si>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</si>
  <si>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</si>
  <si>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</si>
  <si>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</si>
  <si>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</si>
  <si>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</si>
  <si>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</si>
  <si>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</si>
  <si>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</si>
  <si>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</si>
  <si>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</si>
  <si>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</si>
  <si>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</si>
  <si>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</si>
  <si>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</si>
  <si>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</si>
  <si>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</si>
  <si>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</si>
  <si>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</si>
  <si>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</si>
  <si>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</si>
  <si>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</si>
  <si>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</si>
  <si>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</si>
  <si>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</si>
  <si>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</si>
  <si>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</si>
  <si>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</si>
  <si>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</si>
  <si>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</si>
  <si>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</si>
  <si>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</si>
  <si>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</si>
  <si>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</si>
  <si>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</si>
  <si>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</si>
  <si>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</si>
  <si>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</si>
  <si>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</si>
  <si>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</si>
  <si>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</si>
  <si>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</si>
  <si>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</si>
  <si>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</si>
  <si>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</si>
  <si>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</si>
  <si>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</si>
  <si>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</si>
  <si>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</si>
  <si>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</si>
  <si>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</si>
  <si>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</si>
  <si>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</si>
  <si>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</si>
  <si>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</si>
  <si>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</si>
  <si>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</si>
  <si>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</si>
  <si>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</si>
  <si>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</si>
  <si>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</si>
  <si>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</si>
  <si>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</si>
  <si>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</si>
  <si>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</si>
  <si>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</si>
  <si>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</si>
  <si>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</si>
  <si>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</si>
  <si>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</si>
  <si>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</si>
  <si>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</si>
  <si>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</si>
  <si>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</si>
  <si>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</si>
  <si>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</si>
  <si>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</si>
  <si>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</si>
  <si>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</si>
  <si>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</si>
  <si>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</si>
  <si>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</si>
  <si>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</si>
  <si>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</si>
  <si>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</si>
  <si>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</si>
  <si>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</si>
  <si>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</si>
  <si>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</si>
  <si>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</si>
  <si>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</si>
  <si>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</si>
  <si>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</si>
  <si>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</si>
  <si>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</si>
  <si>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</si>
  <si>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</si>
  <si>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</si>
  <si>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</si>
  <si>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</si>
  <si>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</si>
  <si>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</si>
  <si>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</si>
  <si>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</si>
  <si>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</si>
  <si>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</si>
  <si>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</si>
  <si>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</si>
  <si>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</si>
  <si>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</si>
  <si>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</si>
  <si>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</si>
  <si>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</si>
  <si>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</si>
  <si>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</si>
  <si>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</si>
  <si>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</si>
  <si>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</si>
  <si>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</si>
  <si>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</si>
  <si>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</si>
  <si>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</si>
  <si>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</si>
  <si>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</si>
  <si>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</si>
  <si>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</si>
  <si>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</si>
  <si>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</si>
  <si>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</si>
  <si>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</si>
  <si>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</si>
  <si>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</si>
  <si>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</si>
  <si>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</si>
  <si>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</si>
  <si>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</si>
  <si>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</si>
  <si>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</si>
  <si>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</si>
  <si>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</si>
  <si>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</si>
  <si>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</si>
  <si>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</si>
  <si>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</si>
  <si>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</si>
  <si>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</si>
  <si>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</si>
  <si>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</si>
  <si>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</si>
  <si>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</si>
  <si>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</si>
  <si>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</si>
  <si>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</si>
  <si>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</si>
  <si>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</si>
  <si>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</si>
  <si>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</si>
  <si>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</si>
  <si>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</si>
  <si>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</si>
  <si>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</si>
  <si>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</si>
  <si>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</si>
  <si>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</si>
  <si>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</si>
  <si>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</si>
  <si>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</si>
  <si>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</si>
  <si>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</si>
  <si>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</si>
  <si>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</si>
  <si>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</si>
  <si>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</si>
  <si>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</si>
  <si>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</si>
  <si>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</si>
  <si>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</si>
  <si>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</si>
  <si>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</si>
  <si>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</si>
  <si>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</si>
  <si>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</si>
  <si>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</si>
  <si>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</si>
  <si>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</si>
  <si>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</si>
  <si>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</si>
  <si>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</si>
  <si>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</si>
  <si>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</si>
  <si>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</si>
  <si>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</si>
  <si>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</si>
  <si>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</si>
  <si>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</si>
  <si>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</si>
  <si>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</si>
  <si>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</si>
  <si>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</si>
  <si>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</si>
  <si>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</si>
  <si>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</si>
  <si>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</si>
  <si>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</si>
  <si>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</si>
  <si>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</si>
  <si>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</si>
  <si>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</si>
  <si>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</si>
  <si>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</si>
  <si>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</si>
  <si>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</si>
  <si>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</si>
  <si>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</si>
  <si>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</si>
  <si>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</si>
  <si>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</si>
  <si>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</si>
  <si>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</si>
  <si>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</si>
  <si>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</si>
  <si>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</si>
  <si>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</si>
  <si>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</si>
  <si>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</si>
  <si>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</si>
  <si>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</si>
  <si>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</si>
  <si>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</si>
  <si>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</si>
  <si>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</si>
  <si>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</si>
  <si>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</si>
  <si>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</si>
  <si>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</si>
  <si>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</si>
  <si>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</si>
  <si>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</si>
  <si>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</si>
  <si>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</si>
  <si>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</si>
  <si>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</si>
  <si>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</si>
  <si>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</si>
  <si>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</si>
  <si>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</si>
  <si>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</si>
  <si>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</si>
  <si>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</si>
  <si>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</si>
  <si>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</si>
  <si>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</si>
  <si>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</si>
  <si>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</si>
  <si>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</si>
  <si>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</si>
  <si>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</si>
  <si>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</si>
  <si>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</si>
  <si>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</si>
  <si>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</si>
  <si>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</si>
  <si>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</si>
  <si>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</si>
  <si>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</si>
  <si>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</si>
  <si>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</si>
  <si>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</si>
  <si>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</si>
  <si>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</si>
  <si>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</si>
  <si>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</si>
  <si>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</si>
  <si>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</si>
  <si>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</si>
  <si>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</si>
  <si>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</si>
  <si>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</si>
  <si>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</si>
  <si>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</si>
  <si>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</si>
  <si>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</si>
  <si>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</si>
  <si>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</si>
  <si>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</si>
  <si>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</si>
  <si>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</si>
  <si>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</si>
  <si>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</si>
  <si>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</si>
  <si>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</si>
  <si>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</si>
  <si>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</si>
  <si>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</si>
  <si>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</si>
  <si>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</si>
  <si>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</si>
  <si>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</si>
  <si>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</si>
  <si>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</si>
  <si>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</si>
  <si>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</si>
  <si>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</si>
  <si>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</si>
  <si>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</si>
  <si>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</si>
  <si>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</si>
  <si>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</si>
  <si>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</si>
  <si>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</si>
  <si>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</si>
  <si>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</si>
  <si>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</si>
  <si>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</si>
  <si>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</si>
  <si>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</si>
  <si>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</si>
  <si>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</si>
  <si>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</si>
  <si>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</si>
  <si>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</si>
  <si>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</si>
  <si>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</si>
  <si>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</si>
  <si>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</si>
  <si>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</si>
  <si>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</si>
  <si>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</si>
  <si>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</si>
  <si>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</si>
  <si>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</si>
  <si>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</si>
  <si>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</si>
  <si>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</si>
  <si>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</si>
  <si>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</si>
  <si>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</si>
  <si>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</si>
  <si>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</si>
  <si>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</si>
  <si>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</si>
  <si>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</si>
  <si>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</si>
  <si>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</si>
  <si>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</si>
  <si>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</si>
  <si>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</si>
  <si>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</si>
  <si>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</si>
  <si>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</si>
  <si>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</si>
  <si>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</si>
  <si>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</si>
  <si>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</si>
  <si>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</si>
  <si>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</si>
  <si>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</si>
  <si>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</si>
  <si>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</si>
  <si>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</si>
  <si>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</si>
  <si>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</si>
  <si>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</si>
  <si>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</si>
  <si>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</si>
  <si>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</si>
  <si>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</si>
  <si>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</si>
  <si>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</si>
  <si>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</si>
  <si>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</si>
  <si>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</si>
  <si>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</si>
  <si>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</si>
  <si>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</si>
  <si>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</si>
  <si>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</si>
  <si>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</si>
  <si>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</si>
  <si>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</si>
  <si>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</si>
  <si>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</si>
  <si>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</si>
  <si>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</si>
  <si>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</si>
  <si>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</si>
  <si>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</si>
  <si>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</si>
  <si>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</si>
  <si>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</si>
  <si>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</si>
  <si>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</si>
  <si>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</si>
  <si>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</si>
  <si>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</si>
  <si>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</si>
  <si>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</si>
  <si>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</si>
  <si>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</si>
  <si>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</si>
  <si>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</si>
  <si>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</si>
  <si>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</si>
  <si>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</si>
  <si>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</si>
  <si>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</si>
  <si>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</si>
  <si>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</si>
  <si>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</si>
  <si>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</si>
  <si>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</si>
  <si>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</si>
  <si>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</si>
  <si>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</si>
  <si>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</si>
  <si>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</si>
  <si>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</si>
  <si>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</si>
  <si>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</si>
  <si>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</si>
  <si>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</si>
  <si>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</si>
  <si>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</si>
  <si>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</si>
  <si>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</si>
  <si>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</si>
  <si>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</si>
  <si>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</si>
  <si>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</si>
  <si>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</si>
  <si>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</si>
  <si>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</si>
  <si>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</si>
  <si>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</si>
  <si>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</si>
  <si>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</si>
  <si>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</si>
  <si>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</si>
  <si>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</si>
  <si>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</si>
  <si>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</si>
  <si>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</si>
  <si>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</si>
  <si>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</si>
  <si>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</si>
  <si>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</si>
  <si>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</si>
  <si>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</si>
  <si>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</si>
  <si>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</si>
  <si>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</si>
  <si>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</si>
  <si>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</si>
  <si>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</si>
  <si>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</si>
  <si>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</si>
  <si>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</si>
  <si>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</si>
  <si>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</si>
  <si>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</si>
  <si>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</si>
  <si>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</si>
  <si>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</si>
  <si>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</si>
  <si>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</si>
  <si>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</si>
  <si>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</si>
  <si>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</si>
  <si>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</si>
  <si>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</si>
  <si>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</si>
  <si>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</si>
  <si>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</si>
  <si>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</si>
  <si>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</si>
  <si>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</si>
  <si>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</si>
  <si>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</si>
  <si>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</si>
  <si>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</si>
  <si>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</si>
  <si>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</si>
  <si>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</si>
  <si>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</si>
  <si>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</si>
  <si>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</si>
  <si>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</si>
  <si>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</si>
  <si>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</si>
  <si>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</si>
  <si>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</si>
  <si>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</si>
  <si>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</si>
  <si>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</si>
  <si>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</si>
  <si>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</si>
  <si>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</si>
  <si>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</si>
  <si>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</si>
  <si>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</si>
  <si>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</si>
  <si>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</si>
  <si>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</si>
  <si>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</si>
  <si>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</si>
  <si>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</si>
  <si>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</si>
  <si>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</si>
  <si>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</si>
  <si>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</si>
  <si>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</si>
  <si>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</si>
  <si>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</si>
  <si>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</si>
  <si>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</si>
  <si>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</si>
  <si>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</si>
  <si>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</si>
  <si>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</si>
  <si>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</si>
  <si>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</si>
  <si>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</si>
  <si>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</si>
  <si>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</si>
  <si>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</si>
  <si>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</si>
  <si>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</si>
  <si>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</si>
  <si>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</si>
  <si>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</si>
  <si>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</si>
  <si>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</si>
  <si>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</si>
  <si>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</si>
  <si>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</si>
  <si>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</si>
  <si>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</si>
  <si>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</si>
  <si>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</si>
  <si>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</si>
  <si>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</si>
  <si>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</si>
  <si>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</si>
  <si>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</si>
  <si>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</si>
  <si>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</si>
  <si>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</si>
  <si>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</si>
  <si>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</si>
  <si>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</si>
  <si>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</si>
  <si>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</si>
  <si>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</si>
  <si>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</si>
  <si>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</si>
  <si>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</si>
  <si>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</si>
  <si>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</si>
  <si>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</si>
  <si>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</si>
  <si>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</si>
  <si>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</si>
  <si>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</si>
  <si>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</si>
  <si>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</si>
  <si>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</si>
  <si>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</si>
  <si>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</si>
  <si>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</si>
  <si>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</si>
  <si>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</si>
  <si>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</si>
  <si>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</si>
  <si>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</si>
  <si>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</si>
  <si>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</si>
  <si>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</si>
  <si>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</si>
  <si>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</si>
  <si>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</si>
  <si>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</si>
  <si>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</si>
  <si>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</si>
  <si>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</si>
  <si>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</si>
  <si>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</si>
  <si>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</si>
  <si>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</si>
  <si>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</si>
  <si>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</si>
  <si>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</si>
  <si>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</si>
  <si>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</si>
  <si>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</si>
  <si>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</si>
  <si>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</si>
  <si>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</si>
  <si>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</si>
  <si>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</si>
  <si>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</si>
  <si>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</si>
  <si>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</si>
  <si>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</si>
  <si>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</si>
  <si>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</si>
  <si>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</si>
  <si>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</si>
  <si>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</si>
  <si>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</si>
  <si>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</si>
  <si>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</si>
  <si>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</si>
  <si>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</si>
  <si>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</si>
  <si>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</si>
  <si>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</si>
  <si>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</si>
  <si>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</si>
  <si>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</si>
  <si>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</si>
  <si>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</si>
  <si>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</si>
  <si>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</si>
  <si>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</si>
  <si>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</si>
  <si>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</si>
  <si>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</si>
  <si>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</si>
  <si>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</si>
  <si>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</si>
  <si>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</si>
  <si>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</si>
  <si>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</si>
  <si>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</si>
  <si>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</si>
  <si>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</si>
  <si>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</si>
  <si>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</si>
  <si>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</si>
  <si>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</si>
  <si>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</si>
  <si>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</si>
  <si>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</si>
  <si>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</si>
  <si>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</si>
  <si>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</si>
  <si>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</si>
  <si>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</si>
  <si>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</si>
  <si>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</si>
  <si>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</si>
  <si>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</si>
  <si>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</si>
  <si>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</si>
  <si>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</si>
  <si>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</si>
  <si>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</si>
  <si>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</si>
  <si>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</si>
  <si>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</si>
  <si>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</si>
  <si>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</si>
  <si>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</si>
  <si>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</si>
  <si>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</si>
  <si>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</si>
  <si>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</si>
  <si>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</si>
  <si>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</si>
  <si>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</si>
  <si>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</si>
  <si>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</si>
  <si>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</si>
  <si>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</si>
  <si>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</si>
  <si>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</si>
  <si>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</si>
  <si>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</si>
  <si>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</si>
  <si>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</si>
  <si>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</si>
  <si>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</si>
  <si>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</si>
  <si>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</si>
  <si>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</si>
  <si>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</si>
  <si>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</si>
  <si>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</si>
  <si>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</si>
  <si>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</si>
  <si>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</si>
  <si>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</si>
  <si>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</si>
  <si>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</si>
  <si>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</si>
  <si>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</si>
  <si>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</si>
  <si>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</si>
  <si>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</si>
  <si>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</si>
  <si>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</si>
  <si>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</si>
  <si>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</si>
  <si>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</si>
  <si>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</si>
  <si>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</si>
  <si>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</si>
  <si>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</si>
  <si>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</si>
  <si>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</si>
  <si>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</si>
  <si>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</si>
  <si>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</si>
  <si>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</si>
  <si>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</si>
  <si>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</si>
  <si>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</si>
  <si>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</si>
  <si>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</si>
  <si>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</si>
  <si>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</si>
  <si>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</si>
  <si>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</si>
  <si>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</si>
  <si>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</si>
  <si>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</si>
  <si>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</si>
  <si>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</si>
  <si>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</si>
  <si>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</si>
  <si>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</si>
  <si>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</si>
  <si>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</si>
  <si>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</si>
  <si>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</si>
  <si>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</si>
  <si>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</si>
  <si>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</si>
  <si>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</si>
  <si>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</si>
  <si>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</si>
  <si>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</si>
  <si>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</si>
  <si>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</si>
  <si>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</si>
  <si>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</si>
  <si>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</si>
  <si>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</si>
  <si>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</si>
  <si>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</si>
  <si>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</si>
  <si>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</si>
  <si>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</si>
  <si>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</si>
  <si>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</si>
  <si>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</si>
  <si>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</si>
  <si>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</si>
  <si>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</si>
  <si>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</si>
  <si>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</si>
  <si>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</si>
  <si>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</si>
  <si>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</si>
  <si>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</si>
  <si>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</si>
  <si>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</si>
  <si>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</si>
  <si>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</si>
  <si>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</si>
  <si>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</si>
  <si>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</si>
  <si>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</si>
  <si>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</si>
  <si>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</si>
  <si>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</si>
  <si>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</si>
  <si>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</si>
  <si>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</si>
  <si>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</si>
  <si>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</si>
  <si>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</si>
  <si>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</si>
  <si>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</si>
  <si>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</si>
  <si>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</si>
  <si>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</si>
  <si>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</si>
  <si>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</si>
  <si>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</si>
  <si>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</si>
  <si>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</si>
  <si>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</si>
  <si>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</si>
  <si>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</si>
  <si>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</si>
  <si>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</si>
  <si>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</si>
  <si>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</si>
  <si>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</si>
  <si>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</si>
  <si>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</si>
  <si>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</si>
  <si>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</si>
  <si>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</si>
  <si>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</si>
  <si>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</si>
  <si>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</si>
  <si>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</si>
  <si>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</si>
  <si>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</si>
  <si>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</si>
  <si>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</si>
  <si>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</si>
  <si>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</si>
  <si>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</si>
  <si>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</si>
  <si>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</si>
  <si>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</si>
  <si>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</si>
  <si>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</si>
  <si>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</si>
  <si>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</si>
  <si>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</si>
  <si>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</si>
  <si>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</si>
  <si>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</si>
  <si>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</si>
  <si>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</si>
  <si>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</si>
  <si>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</si>
  <si>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</si>
  <si>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</si>
  <si>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</si>
  <si>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</si>
  <si>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</si>
  <si>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</si>
  <si>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</si>
  <si>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</si>
  <si>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</si>
  <si>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</si>
  <si>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</si>
  <si>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</si>
  <si>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</si>
  <si>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</si>
  <si>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</si>
  <si>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</si>
  <si>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</si>
  <si>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</si>
  <si>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</si>
  <si>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</si>
  <si>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</si>
  <si>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</si>
  <si>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</si>
  <si>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</si>
  <si>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</si>
  <si>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</si>
  <si>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</si>
  <si>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</si>
  <si>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</si>
  <si>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</si>
  <si>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</si>
  <si>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</si>
  <si>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</si>
  <si>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</si>
  <si>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</si>
  <si>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</si>
  <si>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</si>
  <si>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</si>
  <si>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</si>
  <si>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</si>
  <si>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</si>
  <si>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</si>
  <si>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</si>
  <si>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</si>
  <si>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</si>
  <si>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</si>
  <si>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</si>
  <si>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</si>
  <si>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</si>
  <si>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</si>
  <si>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</si>
  <si>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</si>
  <si>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</si>
  <si>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</si>
  <si>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</si>
  <si>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</si>
  <si>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</si>
  <si>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</si>
  <si>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</si>
  <si>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</si>
  <si>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</si>
  <si>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</si>
  <si>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</si>
  <si>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</si>
  <si>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40-50（含）</t>
  </si>
  <si>
    <t>元</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</si>
  <si>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</si>
  <si>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</si>
  <si>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</si>
  <si>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</si>
  <si>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</si>
  <si>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</si>
  <si>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</si>
  <si>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</si>
  <si>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</si>
  <si>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</si>
  <si>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</si>
  <si>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</si>
  <si>
    <t>简装</t>
    <phoneticPr fontId="26" type="noConversion"/>
  </si>
  <si>
    <t>毛坯</t>
    <phoneticPr fontId="26" type="noConversion"/>
  </si>
  <si>
    <t>吴薇</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</si>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</sst>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（注册号:0）、吴薇（注册号:1419970001)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估价对象为北京市房地产，为XX所有。根据《》[]，估价对象建筑面积为507.9平方米。根据《》[]，估价对象（分摊）出让国有建设用地使用权面积为平方米。估价对象用途为。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2022年10月24日</v>
      </c>
    </row>
    <row r="10" spans="1:2">
      <c r="A10" s="1139" t="s">
        <v>865</v>
      </c>
      <c r="B10" s="1126" t="str">
        <f>'预评函-1'!A13</f>
        <v>本次估价的“房地产价值”是指在正常市场情况下，在价值时点2022年10月24日，估价对象规划用途为，假定未设立法定优先受偿款下的房地产市场价值。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507.9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t="str">
        <f>'预评函-3'!A5</f>
        <v>吴薇</v>
      </c>
    </row>
    <row r="55" spans="1:2" s="1136" customFormat="1" ht="15.75" thickBot="1">
      <c r="A55" s="1140" t="s">
        <v>906</v>
      </c>
      <c r="B55" s="1128">
        <f ca="1">'预评函-3'!B5</f>
        <v>1419970001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M19" sqref="M1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44858</v>
      </c>
      <c r="E2" s="782"/>
      <c r="F2" s="782"/>
      <c r="G2" s="1121"/>
      <c r="H2" s="2818"/>
    </row>
    <row r="3" spans="1:17" ht="13.5" thickBot="1">
      <c r="A3" s="2508" t="s">
        <v>1292</v>
      </c>
      <c r="B3" s="2509"/>
      <c r="C3" s="2510">
        <f>SUMIF(注册房地产估价师,B3,估价师及机构信息!B3:B16)</f>
        <v>0</v>
      </c>
      <c r="D3" s="2509" t="s">
        <v>3092</v>
      </c>
      <c r="E3" s="2511">
        <f ca="1">SUMIF(注册房地产估价师,D3,估价师及机构信息!B3:B16)</f>
        <v>1419970001</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3093</v>
      </c>
      <c r="C7" s="1453" t="str">
        <f>IF(B7="自然人","姓名","名称")</f>
        <v>姓名</v>
      </c>
      <c r="D7" s="1366" t="s">
        <v>2480</v>
      </c>
      <c r="E7" s="783"/>
      <c r="F7" s="783"/>
      <c r="G7" s="1122"/>
    </row>
    <row r="8" spans="1:17" ht="13.5" thickTop="1">
      <c r="A8" s="3393" t="s">
        <v>1301</v>
      </c>
      <c r="B8" s="1367" t="s">
        <v>1302</v>
      </c>
      <c r="C8" s="3405"/>
      <c r="D8" s="3406"/>
      <c r="E8" s="2516" t="s">
        <v>1303</v>
      </c>
      <c r="F8" s="2517" t="s">
        <v>1304</v>
      </c>
      <c r="G8" s="2518" t="str">
        <f>C6</f>
        <v>XX</v>
      </c>
    </row>
    <row r="9" spans="1:17" ht="25.5">
      <c r="A9" s="3393"/>
      <c r="B9" s="259" t="s">
        <v>1305</v>
      </c>
      <c r="C9" s="3322" t="s">
        <v>3035</v>
      </c>
      <c r="D9" s="1368" t="s">
        <v>3034</v>
      </c>
      <c r="E9" s="2812" t="s">
        <v>1306</v>
      </c>
      <c r="F9" s="2519"/>
      <c r="G9" s="2520"/>
    </row>
    <row r="10" spans="1:17" ht="13.5" thickBot="1">
      <c r="A10" s="3393"/>
      <c r="B10" s="259" t="s">
        <v>1307</v>
      </c>
      <c r="C10" s="3407"/>
      <c r="D10" s="3408"/>
      <c r="E10" s="2813" t="s">
        <v>1308</v>
      </c>
      <c r="F10" s="2521"/>
      <c r="G10" s="2522"/>
    </row>
    <row r="11" spans="1:17" ht="13.5" thickBot="1">
      <c r="A11" s="3393"/>
      <c r="B11" s="1370" t="s">
        <v>1309</v>
      </c>
      <c r="C11" s="3409"/>
      <c r="D11" s="3410"/>
      <c r="E11" s="769"/>
      <c r="F11" s="769"/>
      <c r="G11" s="788"/>
    </row>
    <row r="12" spans="1:17" ht="13.5" thickBot="1">
      <c r="A12" s="3396" t="s">
        <v>2587</v>
      </c>
      <c r="B12" s="2814" t="s">
        <v>1310</v>
      </c>
      <c r="C12" s="766">
        <v>507.9</v>
      </c>
      <c r="D12" s="1371" t="s">
        <v>1311</v>
      </c>
      <c r="E12" s="1372"/>
      <c r="F12" s="1373"/>
      <c r="G12" s="788"/>
      <c r="H12" s="2819">
        <f>C12*23000/10000</f>
        <v>1168.17</v>
      </c>
    </row>
    <row r="13" spans="1:17" ht="21" customHeight="1" thickBot="1">
      <c r="A13" s="3397"/>
      <c r="B13" s="2815" t="s">
        <v>1312</v>
      </c>
      <c r="C13" s="767"/>
      <c r="D13" s="1374" t="s">
        <v>1313</v>
      </c>
      <c r="E13" s="1375"/>
      <c r="F13" s="769"/>
      <c r="G13" s="788"/>
      <c r="I13" s="3382"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382"/>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382"/>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11" t="s">
        <v>1320</v>
      </c>
      <c r="C17" s="3412"/>
      <c r="D17" s="3413" t="s">
        <v>1321</v>
      </c>
      <c r="E17" s="3414"/>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2" t="s">
        <v>2586</v>
      </c>
      <c r="B24" s="3392"/>
      <c r="C24" s="3392"/>
      <c r="D24" s="3392"/>
      <c r="E24" s="3392"/>
      <c r="F24" s="3392"/>
      <c r="G24" s="3392"/>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9" t="s">
        <v>1334</v>
      </c>
      <c r="D28" s="3400"/>
      <c r="E28" s="759"/>
      <c r="F28" s="761" t="s">
        <v>1334</v>
      </c>
      <c r="G28" s="759"/>
      <c r="K28" s="2819"/>
    </row>
    <row r="29" spans="1:66">
      <c r="A29" s="762" t="s">
        <v>1335</v>
      </c>
      <c r="B29" s="756"/>
      <c r="C29" s="3401" t="s">
        <v>1336</v>
      </c>
      <c r="D29" s="3402"/>
      <c r="E29" s="756"/>
      <c r="F29" s="762" t="s">
        <v>1336</v>
      </c>
      <c r="G29" s="756"/>
      <c r="K29" s="2819"/>
    </row>
    <row r="30" spans="1:66">
      <c r="A30" s="762" t="s">
        <v>1337</v>
      </c>
      <c r="B30" s="756"/>
      <c r="C30" s="3401" t="s">
        <v>1337</v>
      </c>
      <c r="D30" s="3402"/>
      <c r="E30" s="756"/>
      <c r="F30" s="762" t="s">
        <v>1338</v>
      </c>
      <c r="G30" s="756"/>
      <c r="K30" s="2819"/>
    </row>
    <row r="31" spans="1:66">
      <c r="A31" s="762" t="s">
        <v>1339</v>
      </c>
      <c r="B31" s="756"/>
      <c r="C31" s="3389" t="s">
        <v>1340</v>
      </c>
      <c r="D31" s="769"/>
      <c r="E31" s="2542"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3"/>
    </row>
    <row r="36" spans="1:7">
      <c r="A36" s="762" t="s">
        <v>1310</v>
      </c>
      <c r="B36" s="756"/>
      <c r="C36" s="3401" t="s">
        <v>1354</v>
      </c>
      <c r="D36" s="3402"/>
      <c r="E36" s="756"/>
      <c r="F36" s="2544"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5"/>
      <c r="C42" s="3383" t="s">
        <v>1369</v>
      </c>
      <c r="D42" s="3384"/>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47"/>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C35" sqref="C35"/>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44858</v>
      </c>
      <c r="C2" s="1613"/>
      <c r="D2" s="3417"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3077</v>
      </c>
      <c r="C3" s="1613"/>
      <c r="D3" s="3418"/>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3036</v>
      </c>
      <c r="C4" s="1613"/>
      <c r="D4" s="3418"/>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507.9</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3037</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40</v>
      </c>
      <c r="C13" s="2882"/>
      <c r="D13" s="2848" t="s">
        <v>1397</v>
      </c>
      <c r="E13" s="2568">
        <f>ROUND(E12*B5,0)</f>
        <v>101580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0.94</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0.05</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2031600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2014</v>
      </c>
      <c r="C27" s="1613"/>
      <c r="D27" s="3071" t="s">
        <v>3039</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3038</v>
      </c>
      <c r="D29" s="2850" t="s">
        <v>1423</v>
      </c>
      <c r="E29" s="2869">
        <f>E30+E31</f>
        <v>5.6000000000000001E-2</v>
      </c>
      <c r="F29" s="1238"/>
      <c r="G29" s="2884"/>
      <c r="H29" s="2884"/>
      <c r="K29" s="1613"/>
      <c r="N29" s="1613"/>
    </row>
    <row r="30" spans="1:41" ht="14.25">
      <c r="A30" s="2845" t="str">
        <f>IF(B29="租赁期内按合同租金","合同租金","市场租金")</f>
        <v>市场租金</v>
      </c>
      <c r="B30" s="2585">
        <v>5</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6.000000000000001E-3</v>
      </c>
      <c r="F31" s="1238"/>
      <c r="G31" s="2884"/>
      <c r="H31" s="2884"/>
      <c r="K31" s="1613"/>
      <c r="N31" s="1613"/>
    </row>
    <row r="32" spans="1:41" ht="14.25">
      <c r="A32" s="2845" t="s">
        <v>1426</v>
      </c>
      <c r="B32" s="2570">
        <v>2.5000000000000001E-2</v>
      </c>
      <c r="D32" s="2852" t="s">
        <v>1429</v>
      </c>
      <c r="E32" s="2587">
        <v>7.0000000000000007E-2</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40</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9" t="s">
        <v>1463</v>
      </c>
      <c r="B1" s="3420"/>
      <c r="C1" s="3420"/>
      <c r="D1" s="3420"/>
      <c r="E1" s="3420"/>
      <c r="F1" s="3420"/>
      <c r="G1" s="3420"/>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8" customWidth="1"/>
    <col min="2" max="16384" width="14.625" style="2498"/>
  </cols>
  <sheetData>
    <row r="1" spans="1:9" ht="16.5">
      <c r="A1" s="2496" t="s">
        <v>973</v>
      </c>
      <c r="B1" s="2496">
        <f>SUM(B14:B23)</f>
        <v>507.9</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44858</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19369782</v>
      </c>
      <c r="C5" s="2496">
        <f ca="1">ROUND(B5*10000/$B$1,0)</f>
        <v>381369994</v>
      </c>
      <c r="D5" s="2496" t="e">
        <f ca="1">ROUND(B5*10000/$B$2,0)</f>
        <v>#DIV/0!</v>
      </c>
      <c r="E5" s="1562"/>
      <c r="F5" s="2497"/>
      <c r="G5" s="2497"/>
    </row>
    <row r="6" spans="1:9" ht="16.5">
      <c r="A6" s="2496" t="s">
        <v>981</v>
      </c>
      <c r="B6" s="2496">
        <f ca="1">SUM(G14:G23)</f>
        <v>1936.9782</v>
      </c>
      <c r="C6" s="2496">
        <f t="shared" ref="C6:C8" ca="1" si="0">ROUND(B6*10000/$B$1,0)</f>
        <v>38137</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507.9</v>
      </c>
      <c r="C14" s="2832">
        <f>项目基本情况!C13</f>
        <v>0</v>
      </c>
      <c r="D14" s="2832">
        <f ca="1">结果表!I102</f>
        <v>19369782</v>
      </c>
      <c r="E14" s="2832">
        <f ca="1">结果表!I103</f>
        <v>38137</v>
      </c>
      <c r="F14" s="2832" t="e">
        <f ca="1">ROUND(D14*10000/C14,0)</f>
        <v>#DIV/0!</v>
      </c>
      <c r="G14" s="2832">
        <f ca="1">IF('数据-取费表'!B3="万元",IF(A14="估价对象1（结果表）",结果表!D125,'结果表 (1修多)'!D129),IF(A14="估价对象1（结果表）",结果表!D125,'结果表 (1修多)'!D129)/10000)</f>
        <v>1936.9782</v>
      </c>
      <c r="H14" s="2832" t="e">
        <f>IF('数据-取费表'!B3="万元",IF(A14="估价对象1（结果表）",结果表!D127,'结果表 (1修多)'!D131),IF(A14="估价对象1（结果表）",结果表!D127,'结果表 (1修多)'!D131)/10000)</f>
        <v>#VALUE!</v>
      </c>
      <c r="I14" s="2832" t="e">
        <f>IF('数据-取费表'!B3="万元",IF(A14="估价对象1（结果表）",结果表!D129,'结果表 (1修多)'!D133),IF(A14="估价对象1（结果表）",结果表!D129,'结果表 (1修多)'!D133)/10000)</f>
        <v>#VALUE!</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04" zoomScaleNormal="100" zoomScaleSheetLayoutView="100" zoomScalePageLayoutView="80" workbookViewId="0">
      <selection activeCell="H122" sqref="H122:I122"/>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北京市房地产抵押价值预评估</v>
      </c>
      <c r="B2" s="3476"/>
      <c r="C2" s="3476"/>
      <c r="D2" s="3476"/>
      <c r="E2" s="3476"/>
      <c r="F2" s="3476"/>
      <c r="G2" s="3476"/>
      <c r="H2" s="3476"/>
      <c r="I2" s="3476"/>
      <c r="J2" s="2759"/>
    </row>
    <row r="3" spans="1:15" ht="12.75">
      <c r="A3" s="3479" t="s">
        <v>1471</v>
      </c>
      <c r="B3" s="3480"/>
      <c r="C3" s="3480"/>
      <c r="D3" s="3480"/>
      <c r="E3" s="3480"/>
      <c r="F3" s="3480"/>
      <c r="G3" s="3480"/>
      <c r="H3" s="3480"/>
      <c r="I3" s="3480"/>
      <c r="J3" s="2760"/>
    </row>
    <row r="4" spans="1:15" ht="14.25">
      <c r="A4" s="2628" t="s">
        <v>1472</v>
      </c>
      <c r="B4" s="2628" t="s">
        <v>1473</v>
      </c>
      <c r="C4" s="2629" t="s">
        <v>3078</v>
      </c>
      <c r="D4" s="2629" t="s">
        <v>3066</v>
      </c>
      <c r="E4" s="3425" t="s">
        <v>1474</v>
      </c>
      <c r="F4" s="3463"/>
      <c r="G4" s="3463"/>
      <c r="H4" s="3463"/>
      <c r="I4" s="3464"/>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v>6</v>
      </c>
      <c r="D14" s="3478">
        <v>4</v>
      </c>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6</v>
      </c>
      <c r="D17" s="2631">
        <f>SUM(D5:D16)</f>
        <v>4</v>
      </c>
      <c r="E17" s="2478"/>
      <c r="F17" s="2478"/>
      <c r="G17" s="2478"/>
      <c r="H17" s="2478"/>
      <c r="I17" s="2478"/>
      <c r="J17" s="2762"/>
    </row>
    <row r="18" spans="1:36" ht="30" customHeight="1" thickBot="1">
      <c r="A18" s="2632" t="s">
        <v>1493</v>
      </c>
      <c r="B18" s="2633"/>
      <c r="C18" s="2634">
        <f>ROUND(C17/SUM(C17:D17),2)</f>
        <v>0.6</v>
      </c>
      <c r="D18" s="2634">
        <f>1-C18</f>
        <v>0.4</v>
      </c>
      <c r="E18" s="3474" t="s">
        <v>2576</v>
      </c>
      <c r="F18" s="3475"/>
      <c r="G18" s="3475"/>
      <c r="H18" s="3475"/>
      <c r="I18" s="3475"/>
      <c r="J18" s="2762"/>
    </row>
    <row r="19" spans="1:36" ht="15">
      <c r="A19" s="2635" t="s">
        <v>1494</v>
      </c>
      <c r="B19" s="2636" t="s">
        <v>1495</v>
      </c>
      <c r="C19" s="2637">
        <f ca="1">SUMIF(INDIRECT("'"&amp;C4&amp;"'"&amp;"!A:A"),结果表!B19,INDIRECT("'"&amp;C4&amp;"'"&amp;"!B:B"))</f>
        <v>21275423</v>
      </c>
      <c r="D19" s="2638">
        <f ca="1">SUMIF(INDIRECT("'"&amp;D4&amp;"'"&amp;"!A:A"),结果表!B19,INDIRECT("'"&amp;D4&amp;"'"&amp;"!B:B"))</f>
        <v>16511187</v>
      </c>
      <c r="E19" s="2635" t="s">
        <v>1496</v>
      </c>
      <c r="F19" s="2636" t="s">
        <v>1495</v>
      </c>
      <c r="G19" s="2639">
        <f ca="1">ROUND(C19*$C$18+D19*$D$18,0)</f>
        <v>19369729</v>
      </c>
      <c r="H19" s="2640" t="str">
        <f>'数据-取费表'!B3</f>
        <v>元</v>
      </c>
      <c r="I19" s="2688"/>
      <c r="J19" s="2763"/>
    </row>
    <row r="20" spans="1:36" ht="15">
      <c r="A20" s="2641"/>
      <c r="B20" s="1622" t="s">
        <v>1497</v>
      </c>
      <c r="C20" s="1844">
        <f ca="1">SUMIF(INDIRECT("'"&amp;C4&amp;"'"&amp;"!A:A"),结果表!B20,INDIRECT("'"&amp;C4&amp;"'"&amp;"!B:B"))</f>
        <v>41889</v>
      </c>
      <c r="D20" s="1847">
        <f ca="1">SUMIF(INDIRECT("'"&amp;D4&amp;"'"&amp;"!A:A"),结果表!B20,INDIRECT("'"&amp;D4&amp;"'"&amp;"!B:B"))</f>
        <v>32509</v>
      </c>
      <c r="E20" s="2641"/>
      <c r="F20" s="1622" t="s">
        <v>1497</v>
      </c>
      <c r="G20" s="2018">
        <f ca="1">ROUND(C20*$C$18+D20*$D$18,0)</f>
        <v>38137</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0.28854594160916469</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38137</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32264</v>
      </c>
      <c r="D34" s="2665">
        <f ca="1">IF(D33="自定义",ROUND(C34/C32,3),1-D35)</f>
        <v>0.84599999999999997</v>
      </c>
      <c r="E34" s="1363" t="s">
        <v>1510</v>
      </c>
      <c r="F34" s="2666">
        <v>2000</v>
      </c>
      <c r="G34" s="905"/>
      <c r="H34" s="905"/>
      <c r="I34" s="905"/>
      <c r="J34" s="2762"/>
    </row>
    <row r="35" spans="1:17" ht="15.75" thickBot="1">
      <c r="A35" s="1395"/>
      <c r="B35" s="2667" t="s">
        <v>1511</v>
      </c>
      <c r="C35" s="2668">
        <f ca="1">IF(D33="自定义",F35,ROUND(C32*D35,0))</f>
        <v>5873</v>
      </c>
      <c r="D35" s="2669">
        <f ca="1">IF(D33="自定义",ROUND(C35/C32,3),IF(D33="成本法成本比率",成本法!C56,IF(D33="收益法收益比率",收益法!J38,收益法!J41)))</f>
        <v>0.154</v>
      </c>
      <c r="E35" s="2670" t="s">
        <v>1512</v>
      </c>
      <c r="F35" s="2671">
        <v>4460</v>
      </c>
      <c r="G35" s="905"/>
      <c r="H35" s="905"/>
      <c r="I35" s="905"/>
      <c r="J35" s="2762"/>
    </row>
    <row r="36" spans="1:17" ht="15.75" thickBot="1">
      <c r="A36" s="3467" t="s">
        <v>1513</v>
      </c>
      <c r="B36" s="1396" t="s">
        <v>1514</v>
      </c>
      <c r="C36" s="2672">
        <v>0</v>
      </c>
      <c r="D36" s="2673"/>
      <c r="E36" s="1608"/>
      <c r="F36" s="1608"/>
      <c r="G36" s="905"/>
      <c r="H36" s="905"/>
      <c r="I36" s="905"/>
      <c r="J36" s="2762"/>
    </row>
    <row r="37" spans="1:17" ht="15.75" thickBot="1">
      <c r="A37" s="3468"/>
      <c r="B37" s="2019" t="s">
        <v>1515</v>
      </c>
      <c r="C37" s="2674">
        <v>0</v>
      </c>
      <c r="D37" s="1239"/>
      <c r="E37" s="1239"/>
      <c r="F37" s="1608"/>
      <c r="G37" s="1239"/>
      <c r="H37" s="1239"/>
      <c r="I37" s="1239"/>
      <c r="J37" s="2766"/>
    </row>
    <row r="38" spans="1:17" ht="15.75" thickBot="1">
      <c r="A38" s="3469"/>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71" t="s">
        <v>1524</v>
      </c>
      <c r="B45" s="3472"/>
      <c r="C45" s="3431"/>
      <c r="D45" s="246">
        <f ca="1">ROUND(I102*F45,0)</f>
        <v>19369782</v>
      </c>
      <c r="E45" s="1470" t="s">
        <v>1525</v>
      </c>
      <c r="F45" s="2476">
        <v>1</v>
      </c>
      <c r="G45" s="2477" t="s">
        <v>1526</v>
      </c>
      <c r="H45" s="905"/>
      <c r="I45" s="905"/>
      <c r="J45" s="2762"/>
      <c r="K45" s="3525" t="s">
        <v>2505</v>
      </c>
      <c r="L45" s="3525"/>
      <c r="M45" s="3525"/>
      <c r="N45" s="3525"/>
      <c r="O45" s="3525"/>
      <c r="P45" s="3525"/>
      <c r="Q45" s="1236"/>
    </row>
    <row r="46" spans="1:17" ht="14.25" customHeight="1">
      <c r="A46" s="3460" t="s">
        <v>1528</v>
      </c>
      <c r="B46" s="3461"/>
      <c r="C46" s="3461"/>
      <c r="D46" s="3461"/>
      <c r="E46" s="3461"/>
      <c r="F46" s="3461"/>
      <c r="G46" s="3462"/>
      <c r="H46" s="2894"/>
      <c r="I46" s="905"/>
      <c r="J46" s="2762"/>
      <c r="K46" s="2451">
        <v>1</v>
      </c>
      <c r="L46" s="3526" t="s">
        <v>2506</v>
      </c>
      <c r="M46" s="3526"/>
      <c r="N46" s="3527" t="str">
        <f>项目基本情况!B1</f>
        <v>北京市房地产抵押价值预评估</v>
      </c>
      <c r="O46" s="3527"/>
      <c r="P46" s="3527"/>
      <c r="Q46" s="1236"/>
    </row>
    <row r="47" spans="1:17" ht="12" customHeight="1">
      <c r="A47" s="38" t="s">
        <v>1530</v>
      </c>
      <c r="B47" s="39"/>
      <c r="C47" s="40"/>
      <c r="D47" s="1028" t="s">
        <v>1531</v>
      </c>
      <c r="E47" s="235" t="s">
        <v>1532</v>
      </c>
      <c r="F47" s="41" t="s">
        <v>1533</v>
      </c>
      <c r="G47" s="2479" t="s">
        <v>1534</v>
      </c>
      <c r="H47" s="2894"/>
      <c r="I47" s="905"/>
      <c r="J47" s="2762"/>
      <c r="K47" s="2451">
        <v>2</v>
      </c>
      <c r="L47" s="3526" t="s">
        <v>2507</v>
      </c>
      <c r="M47" s="3526"/>
      <c r="N47" s="3528">
        <f>'数据-取费表'!B2</f>
        <v>44858</v>
      </c>
      <c r="O47" s="3528"/>
      <c r="P47" s="3528"/>
      <c r="Q47" s="1236"/>
    </row>
    <row r="48" spans="1:17" ht="25.5">
      <c r="A48" s="3470" t="s">
        <v>1536</v>
      </c>
      <c r="B48" s="3424"/>
      <c r="C48" s="3424"/>
      <c r="D48" s="12">
        <f ca="1">IF(H48="情况1",0,IF(H48="情况2",D52,IF(H48="情况3",D53,IF(H48="情况4",D54))))</f>
        <v>1033055</v>
      </c>
      <c r="E48" s="2017" t="str">
        <f>IF(H48="情况4","(销售额-原购置价)×税（费）率","销售额×税（费）率")</f>
        <v>销售额×税（费）率</v>
      </c>
      <c r="F48" s="2480">
        <f>IF(H48="情况1","免征",'数据-取费表'!E29)</f>
        <v>5.6000000000000001E-2</v>
      </c>
      <c r="G48" s="2481" t="s">
        <v>1537</v>
      </c>
      <c r="H48" s="2482" t="s">
        <v>1538</v>
      </c>
      <c r="I48" s="2894"/>
      <c r="J48" s="2769"/>
      <c r="K48" s="2451">
        <v>3</v>
      </c>
      <c r="L48" s="3526" t="s">
        <v>2508</v>
      </c>
      <c r="M48" s="3526"/>
      <c r="N48" s="3527">
        <f ca="1">I102</f>
        <v>19369782</v>
      </c>
      <c r="O48" s="3527"/>
      <c r="P48" s="3527"/>
      <c r="Q48" s="1236"/>
    </row>
    <row r="49" spans="1:17" ht="25.5" customHeight="1">
      <c r="A49" s="2016" t="s">
        <v>1540</v>
      </c>
      <c r="B49" s="3463" t="s">
        <v>1541</v>
      </c>
      <c r="C49" s="3463"/>
      <c r="D49" s="2483">
        <v>0</v>
      </c>
      <c r="E49" s="261" t="s">
        <v>1542</v>
      </c>
      <c r="F49" s="2484" t="s">
        <v>48</v>
      </c>
      <c r="G49" s="3520"/>
      <c r="H49" s="2485" t="s">
        <v>2582</v>
      </c>
      <c r="I49" s="2486"/>
      <c r="J49" s="2770"/>
      <c r="K49" s="2451">
        <v>4</v>
      </c>
      <c r="L49" s="3526" t="str">
        <f>IF(项目基本情况!F5="房地产抵押价值","房地产抵押价值","抵押担保权已注销时的房地产抵押价值")</f>
        <v>房地产抵押价值</v>
      </c>
      <c r="M49" s="3526"/>
      <c r="N49" s="3527">
        <f ca="1">IF(项目基本情况!F5="房地产抵押价值",I110,I112)</f>
        <v>19369782</v>
      </c>
      <c r="O49" s="3527"/>
      <c r="P49" s="3527"/>
      <c r="Q49" s="1236"/>
    </row>
    <row r="50" spans="1:17" ht="25.5" customHeight="1">
      <c r="A50" s="2006"/>
      <c r="B50" s="3463" t="s">
        <v>1543</v>
      </c>
      <c r="C50" s="3463"/>
      <c r="D50" s="2487"/>
      <c r="E50" s="269"/>
      <c r="F50" s="2484"/>
      <c r="G50" s="3521"/>
      <c r="H50" s="2488" t="s">
        <v>2501</v>
      </c>
      <c r="I50" s="2486"/>
      <c r="J50" s="2770"/>
      <c r="K50" s="3526" t="s">
        <v>2509</v>
      </c>
      <c r="L50" s="3526"/>
      <c r="M50" s="3526"/>
      <c r="N50" s="3526"/>
      <c r="O50" s="3526"/>
      <c r="P50" s="3526"/>
      <c r="Q50" s="1236"/>
    </row>
    <row r="51" spans="1:17" ht="20.45" customHeight="1">
      <c r="A51" s="2489"/>
      <c r="B51" s="3463" t="s">
        <v>1545</v>
      </c>
      <c r="C51" s="3463"/>
      <c r="D51" s="1028"/>
      <c r="E51" s="264"/>
      <c r="F51" s="2484"/>
      <c r="G51" s="3522"/>
      <c r="H51" s="2488" t="s">
        <v>2502</v>
      </c>
      <c r="I51" s="2486"/>
      <c r="J51" s="2770"/>
      <c r="K51" s="2452" t="s">
        <v>2510</v>
      </c>
      <c r="L51" s="3526" t="s">
        <v>2511</v>
      </c>
      <c r="M51" s="3526"/>
      <c r="N51" s="2452" t="s">
        <v>2512</v>
      </c>
      <c r="O51" s="2452" t="s">
        <v>2513</v>
      </c>
      <c r="P51" s="2452" t="s">
        <v>2514</v>
      </c>
      <c r="Q51" s="1236"/>
    </row>
    <row r="52" spans="1:17" ht="24" customHeight="1">
      <c r="A52" s="2007" t="s">
        <v>1551</v>
      </c>
      <c r="B52" s="3463" t="s">
        <v>1552</v>
      </c>
      <c r="C52" s="3463"/>
      <c r="D52" s="1028">
        <f ca="1">ROUND(D45*'数据-取费表'!E29/(1+'数据-取费表'!F30),0)</f>
        <v>1033055</v>
      </c>
      <c r="E52" s="2017" t="s">
        <v>1553</v>
      </c>
      <c r="F52" s="2490">
        <f>'数据-取费表'!E29</f>
        <v>5.6000000000000001E-2</v>
      </c>
      <c r="G52" s="2491"/>
      <c r="H52" s="905"/>
      <c r="I52" s="2895"/>
      <c r="J52" s="2770"/>
      <c r="K52" s="2451">
        <v>1</v>
      </c>
      <c r="L52" s="3493" t="s">
        <v>2515</v>
      </c>
      <c r="M52" s="3493"/>
      <c r="N52" s="2453">
        <f ca="1">D48</f>
        <v>1033055</v>
      </c>
      <c r="O52" s="2451" t="str">
        <f>E48</f>
        <v>销售额×税（费）率</v>
      </c>
      <c r="P52" s="2454">
        <f>F48</f>
        <v>5.6000000000000001E-2</v>
      </c>
      <c r="Q52" s="1236"/>
    </row>
    <row r="53" spans="1:17" ht="12" customHeight="1">
      <c r="A53" s="2007" t="s">
        <v>1555</v>
      </c>
      <c r="B53" s="3425" t="s">
        <v>2593</v>
      </c>
      <c r="C53" s="3464"/>
      <c r="D53" s="1028">
        <f ca="1">ROUND(D45*'数据-取费表'!E29/(1+'数据-取费表'!F30),0)</f>
        <v>1033055</v>
      </c>
      <c r="E53" s="2017" t="s">
        <v>1553</v>
      </c>
      <c r="F53" s="2490">
        <f>'数据-取费表'!E29</f>
        <v>5.6000000000000001E-2</v>
      </c>
      <c r="G53" s="2491"/>
      <c r="H53" s="905"/>
      <c r="I53" s="2895"/>
      <c r="J53" s="2770"/>
      <c r="K53" s="2451">
        <v>2</v>
      </c>
      <c r="L53" s="3493" t="s">
        <v>2516</v>
      </c>
      <c r="M53" s="3493"/>
      <c r="N53" s="2453">
        <f t="shared" ref="N53:P54" si="1">D55</f>
        <v>0</v>
      </c>
      <c r="O53" s="2451" t="str">
        <f t="shared" si="1"/>
        <v>销售额×税（费）率</v>
      </c>
      <c r="P53" s="2454" t="str">
        <f t="shared" si="1"/>
        <v>免征</v>
      </c>
      <c r="Q53" s="1236"/>
    </row>
    <row r="54" spans="1:17" ht="12" customHeight="1">
      <c r="A54" s="2007" t="s">
        <v>1557</v>
      </c>
      <c r="B54" s="3425" t="s">
        <v>2594</v>
      </c>
      <c r="C54" s="3464"/>
      <c r="D54" s="1028">
        <f ca="1">C68</f>
        <v>1033055</v>
      </c>
      <c r="E54" s="264" t="s">
        <v>1558</v>
      </c>
      <c r="F54" s="2490">
        <f>'数据-取费表'!E29</f>
        <v>5.6000000000000001E-2</v>
      </c>
      <c r="G54" s="2491"/>
      <c r="H54" s="2896"/>
      <c r="I54" s="2895"/>
      <c r="J54" s="2770"/>
      <c r="K54" s="2451">
        <v>3</v>
      </c>
      <c r="L54" s="3493" t="s">
        <v>2517</v>
      </c>
      <c r="M54" s="3493"/>
      <c r="N54" s="2453">
        <f t="shared" si="1"/>
        <v>0</v>
      </c>
      <c r="O54" s="2451" t="str">
        <f t="shared" si="1"/>
        <v>增值额×税（费）率</v>
      </c>
      <c r="P54" s="2455" t="str">
        <f t="shared" si="1"/>
        <v>免征</v>
      </c>
      <c r="Q54" s="1236"/>
    </row>
    <row r="55" spans="1:17" ht="24" customHeight="1">
      <c r="A55" s="3423" t="s">
        <v>1560</v>
      </c>
      <c r="B55" s="3424"/>
      <c r="C55" s="3424"/>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93" t="str">
        <f>IF(H59="非个人房产","——","个人所得税")</f>
        <v>——</v>
      </c>
      <c r="M55" s="3493"/>
      <c r="N55" s="2456" t="str">
        <f>D59</f>
        <v>——</v>
      </c>
      <c r="O55" s="2457" t="str">
        <f>E59</f>
        <v>——</v>
      </c>
      <c r="P55" s="2458" t="str">
        <f>F59</f>
        <v>——</v>
      </c>
      <c r="Q55" s="1236"/>
    </row>
    <row r="56" spans="1:17" ht="24.75">
      <c r="A56" s="3423" t="s">
        <v>1563</v>
      </c>
      <c r="B56" s="3424"/>
      <c r="C56" s="3424"/>
      <c r="D56" s="12">
        <f>IF(H56="个人住宅",D57,D58)</f>
        <v>0</v>
      </c>
      <c r="E56" s="2017" t="s">
        <v>1564</v>
      </c>
      <c r="F56" s="2490" t="str">
        <f>IF(H56="正常",F58,"免征")</f>
        <v>免征</v>
      </c>
      <c r="G56" s="2492" t="s">
        <v>1565</v>
      </c>
      <c r="H56" s="2493" t="s">
        <v>2498</v>
      </c>
      <c r="I56" s="2897"/>
      <c r="J56" s="2770"/>
      <c r="K56" s="2451" t="str">
        <f>IF(项目基本情况!I6="上海银行",IF(K55="",4,K55+1),"")</f>
        <v/>
      </c>
      <c r="L56" s="3507" t="str">
        <f>IF(项目基本情况!I6="上海银行","其他处置费用","")</f>
        <v/>
      </c>
      <c r="M56" s="3508"/>
      <c r="N56" s="2453" t="str">
        <f>IF(项目基本情况!I6="上海银行",N69,"")</f>
        <v/>
      </c>
      <c r="O56" s="3507" t="str">
        <f>IF(项目基本情况!I6="上海银行","包含处置中涉及的律师、诉讼、拍卖、评估等费用","")</f>
        <v/>
      </c>
      <c r="P56" s="3519"/>
      <c r="Q56" s="1236"/>
    </row>
    <row r="57" spans="1:17" ht="12.75">
      <c r="A57" s="2007" t="s">
        <v>1540</v>
      </c>
      <c r="B57" s="3425" t="s">
        <v>1566</v>
      </c>
      <c r="C57" s="3464"/>
      <c r="D57" s="2483">
        <v>0</v>
      </c>
      <c r="E57" s="261" t="s">
        <v>1542</v>
      </c>
      <c r="F57" s="235"/>
      <c r="G57" s="2491"/>
      <c r="H57" s="2897"/>
      <c r="I57" s="2897"/>
      <c r="J57" s="2770"/>
      <c r="K57" s="3493">
        <f>IF(AND(K55="",K56=""),4,IF(项目基本情况!I6="上海银行",K56+1,K55+1))</f>
        <v>4</v>
      </c>
      <c r="L57" s="3493" t="s">
        <v>2518</v>
      </c>
      <c r="M57" s="2459" t="s">
        <v>2519</v>
      </c>
      <c r="N57" s="2460"/>
      <c r="O57" s="2461">
        <f ca="1">SUMIF(N52:N56,"&lt;9e307")</f>
        <v>1033055</v>
      </c>
      <c r="P57" s="2462"/>
      <c r="Q57" s="1234">
        <f ca="1">O57/N49</f>
        <v>5.333333126826105E-2</v>
      </c>
    </row>
    <row r="58" spans="1:17" ht="24.75">
      <c r="A58" s="2007" t="s">
        <v>1551</v>
      </c>
      <c r="B58" s="3425" t="s">
        <v>1569</v>
      </c>
      <c r="C58" s="3463"/>
      <c r="D58" s="12">
        <f ca="1">IF(H58="转让取得",C81,C97)</f>
        <v>10963297</v>
      </c>
      <c r="E58" s="2017" t="s">
        <v>1564</v>
      </c>
      <c r="F58" s="235" t="s">
        <v>48</v>
      </c>
      <c r="G58" s="2491"/>
      <c r="H58" s="2493" t="s">
        <v>1570</v>
      </c>
      <c r="I58" s="2897"/>
      <c r="J58" s="2770"/>
      <c r="K58" s="3493"/>
      <c r="L58" s="3493"/>
      <c r="M58" s="2459" t="s">
        <v>2520</v>
      </c>
      <c r="N58" s="2463"/>
      <c r="O58" s="2464" t="str">
        <f ca="1">IF(H19="元",NUMBERSTRING(INT(O57),2)&amp;"元整",NUMBERSTRING(INT(O57*10000),2)&amp;"元整")</f>
        <v>壹佰零叁万叁仟零伍拾伍元整</v>
      </c>
      <c r="P58" s="2465"/>
      <c r="Q58" s="1236"/>
    </row>
    <row r="59" spans="1:17" ht="24.75" thickBot="1">
      <c r="A59" s="3447" t="s">
        <v>1572</v>
      </c>
      <c r="B59" s="3448"/>
      <c r="C59" s="3448"/>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91">
        <f>K57+1</f>
        <v>5</v>
      </c>
      <c r="L59" s="3493" t="s">
        <v>2521</v>
      </c>
      <c r="M59" s="2451" t="s">
        <v>2519</v>
      </c>
      <c r="N59" s="2466"/>
      <c r="O59" s="2467">
        <f ca="1">N49-O57</f>
        <v>18336727</v>
      </c>
      <c r="P59" s="2468"/>
      <c r="Q59" s="1236"/>
    </row>
    <row r="60" spans="1:17" ht="12" customHeight="1">
      <c r="A60" s="1385"/>
      <c r="B60" s="1389"/>
      <c r="C60" s="1389"/>
      <c r="D60" s="1389"/>
      <c r="E60" s="770"/>
      <c r="F60" s="2898"/>
      <c r="G60" s="2898"/>
      <c r="H60" s="2899"/>
      <c r="I60" s="31"/>
      <c r="K60" s="3492"/>
      <c r="L60" s="3493"/>
      <c r="M60" s="2459" t="s">
        <v>2520</v>
      </c>
      <c r="N60" s="2463"/>
      <c r="O60" s="2464" t="str">
        <f ca="1">IF(H19="元",NUMBERSTRING(INT(O59),2)&amp;"元整",NUMBERSTRING(INT(O59*10000),2)&amp;"元整")</f>
        <v>壹仟捌佰叁拾叁万陆仟柒佰贰拾柒元整</v>
      </c>
      <c r="P60" s="2465"/>
      <c r="Q60" s="1236"/>
    </row>
    <row r="61" spans="1:17" ht="13.5" thickBot="1">
      <c r="A61" s="3473" t="s">
        <v>1574</v>
      </c>
      <c r="B61" s="3473"/>
      <c r="C61" s="3473"/>
      <c r="D61" s="3473"/>
      <c r="E61" s="3473"/>
      <c r="F61" s="2898"/>
      <c r="G61" s="2898"/>
      <c r="H61" s="2900"/>
      <c r="I61" s="31"/>
      <c r="K61" s="2451">
        <f>K59+1</f>
        <v>6</v>
      </c>
      <c r="L61" s="3493" t="s">
        <v>2522</v>
      </c>
      <c r="M61" s="3493"/>
      <c r="N61" s="2469"/>
      <c r="O61" s="2470">
        <f ca="1">IF(H19="元",ROUND(O59/项目基本情况!C12,0),ROUND(O59*10000/项目基本情况!C12,0))</f>
        <v>36103</v>
      </c>
      <c r="P61" s="2471"/>
      <c r="Q61" s="1236"/>
    </row>
    <row r="62" spans="1:17" ht="12.75">
      <c r="A62" s="3482" t="s">
        <v>1576</v>
      </c>
      <c r="B62" s="3483"/>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18447411</v>
      </c>
      <c r="D63" s="47"/>
      <c r="E63" s="48"/>
      <c r="F63" s="2898"/>
      <c r="G63" s="2898"/>
      <c r="H63" s="2900"/>
      <c r="I63" s="31"/>
      <c r="K63" s="3509" t="s">
        <v>2523</v>
      </c>
      <c r="L63" s="2473" t="s">
        <v>2524</v>
      </c>
      <c r="M63" s="2473">
        <f ca="1">IF(N49&gt;10000,N49*0.5%,IF(AND(N49&gt;1000,N49&lt;=10000),N49*1%,IF(AND(N49&gt;100,N49&lt;=1000),N49*3%,IF(AND(N49&gt;10,N49&lt;=100),N49*5%,N49*8%))))</f>
        <v>96848.91</v>
      </c>
      <c r="N63" s="2474">
        <f ca="1">ROUND(M63,1)</f>
        <v>96848.9</v>
      </c>
      <c r="O63" s="2472"/>
      <c r="P63" s="2472"/>
      <c r="Q63" s="1236"/>
    </row>
    <row r="64" spans="1:17" ht="12.75">
      <c r="A64" s="49" t="s">
        <v>71</v>
      </c>
      <c r="B64" s="50" t="s">
        <v>1582</v>
      </c>
      <c r="C64" s="2702">
        <f ca="1">D45</f>
        <v>19369782</v>
      </c>
      <c r="D64" s="50" t="s">
        <v>41</v>
      </c>
      <c r="E64" s="52"/>
      <c r="F64" s="2898"/>
      <c r="G64" s="2898"/>
      <c r="H64" s="2900"/>
      <c r="I64" s="31"/>
      <c r="K64" s="3509"/>
      <c r="L64" s="2473" t="s">
        <v>2525</v>
      </c>
      <c r="M64" s="2473">
        <f ca="1">IF(N49&gt;2000,N49*0.5%,IF(AND(N49&gt;1000,N49&lt;=2000),N49*0.6%,IF(AND(N49&gt;500,N49&lt;=1000),N49*0.7%,IF(AND(N49&gt;200,N49&lt;=500),N49*0.8%,IF(AND(N49&gt;100,N49&lt;=200),N49*0.9%,IF(AND(N49&gt;50,N49&lt;=100),N49*1%,IF(AND(N49&gt;20,N49&lt;=50),N49*1.5%,IF(AND(N49&gt;10,N49&lt;=20),N49*2%,IF(AND(N49&gt;1,N49&lt;=10),N49*2.5%)))))))))</f>
        <v>96848.91</v>
      </c>
      <c r="N64" s="2474">
        <f t="shared" ref="N64:N65" ca="1" si="2">ROUND(M64,1)</f>
        <v>96848.9</v>
      </c>
      <c r="O64" s="2472" t="s">
        <v>2526</v>
      </c>
      <c r="P64" s="2472"/>
      <c r="Q64" s="1236"/>
    </row>
    <row r="65" spans="1:36" ht="12.75">
      <c r="A65" s="49" t="s">
        <v>72</v>
      </c>
      <c r="B65" s="50" t="s">
        <v>1585</v>
      </c>
      <c r="C65" s="2703"/>
      <c r="D65" s="50"/>
      <c r="E65" s="52"/>
      <c r="F65" s="2898"/>
      <c r="G65" s="2898"/>
      <c r="H65" s="2900"/>
      <c r="I65" s="31"/>
      <c r="K65" s="3509"/>
      <c r="L65" s="2473" t="s">
        <v>2527</v>
      </c>
      <c r="M65" s="2473">
        <f ca="1">IF(N49&gt;1000,N49*0.1%,IF(AND(N49&gt;500,N49&lt;=1000),N49*0.5%,IF(AND(N49&gt;50,N49&lt;=500),N49*1%,IF(AND(N49&gt;1,N49&lt;=50),N49*1.5%))))</f>
        <v>19369.781999999999</v>
      </c>
      <c r="N65" s="2474">
        <f t="shared" ca="1" si="2"/>
        <v>19369.8</v>
      </c>
      <c r="O65" s="2472" t="s">
        <v>2526</v>
      </c>
      <c r="P65" s="2472"/>
      <c r="Q65" s="1236"/>
    </row>
    <row r="66" spans="1:36" ht="12.75">
      <c r="A66" s="53" t="s">
        <v>47</v>
      </c>
      <c r="B66" s="54" t="s">
        <v>1587</v>
      </c>
      <c r="C66" s="2704"/>
      <c r="D66" s="54" t="s">
        <v>41</v>
      </c>
      <c r="E66" s="1244" t="s">
        <v>1588</v>
      </c>
      <c r="F66" s="2898"/>
      <c r="G66" s="2898"/>
      <c r="H66" s="2900"/>
      <c r="I66" s="31"/>
      <c r="K66" s="3509"/>
      <c r="L66" s="2473" t="s">
        <v>2528</v>
      </c>
      <c r="M66" s="2473">
        <f ca="1">N49*0.5%</f>
        <v>96848.91</v>
      </c>
      <c r="N66" s="2474">
        <f ca="1">IF(M66&gt;0.5,0.5,ROUND(M66,0))</f>
        <v>0.5</v>
      </c>
      <c r="O66" s="2472" t="s">
        <v>2529</v>
      </c>
      <c r="P66" s="2472"/>
      <c r="Q66" s="1236"/>
    </row>
    <row r="67" spans="1:36" ht="12.75">
      <c r="A67" s="53" t="s">
        <v>42</v>
      </c>
      <c r="B67" s="54" t="s">
        <v>1591</v>
      </c>
      <c r="C67" s="2705">
        <f ca="1">C63-C66</f>
        <v>18447411</v>
      </c>
      <c r="D67" s="50" t="s">
        <v>41</v>
      </c>
      <c r="E67" s="52"/>
      <c r="F67" s="2898"/>
      <c r="G67" s="2898"/>
      <c r="H67" s="2900"/>
      <c r="I67" s="31"/>
      <c r="K67" s="3509"/>
      <c r="L67" s="2473" t="s">
        <v>2530</v>
      </c>
      <c r="M67" s="2473">
        <f ca="1">IF(N49&gt;=10000,(8.25+(N49-10000)*0.01%),IF(AND(N49&gt;=8000,N49&lt;10000),(7.85+(N49-8000)*0.02%),IF(AND(N49&gt;=5000,N49&lt;8000),(6.65+(N49-5000)*0.04%),IF(AND(N49&gt;=2000,N49&lt;5000),(4.25+(PN49-2000)*0.08%),IF(AND(N49&gt;=1000,N49&lt;2000),(2.75+(N49-1000)*0.15%),IF(AND(N49&gt;=100,N49&lt;1000),(0.5+(N49-100)*0.25%),IF(AND(N49&gt;0,N49&lt;100),N49*0.5%)))))))</f>
        <v>1944.2282</v>
      </c>
      <c r="N67" s="2474">
        <f ca="1">ROUND(M67*0.9,1)</f>
        <v>1749.8</v>
      </c>
      <c r="O67" s="2472"/>
      <c r="P67" s="2472"/>
      <c r="Q67" s="1236"/>
    </row>
    <row r="68" spans="1:36" ht="13.5" thickBot="1">
      <c r="A68" s="55" t="s">
        <v>46</v>
      </c>
      <c r="B68" s="56" t="s">
        <v>1593</v>
      </c>
      <c r="C68" s="2706">
        <f ca="1">IF(C67&lt;=0,0,ROUND(C67*D68,0))</f>
        <v>1033055</v>
      </c>
      <c r="D68" s="2167">
        <f>'数据-取费表'!E29</f>
        <v>5.6000000000000001E-2</v>
      </c>
      <c r="E68" s="57"/>
      <c r="F68" s="2898"/>
      <c r="G68" s="2898"/>
      <c r="H68" s="2900"/>
      <c r="I68" s="31"/>
      <c r="K68" s="3509"/>
      <c r="L68" s="2473" t="s">
        <v>2531</v>
      </c>
      <c r="M68" s="2473">
        <f ca="1">IF(N49&gt;10000,N49*0.5%,IF(AND(N49&gt;5000,N49&lt;=10000),N49*1%,IF(AND(N49&gt;1000,N49&lt;=5000),N49*2%,IF(AND(N49&gt;200,N49&lt;=1000),N49*3%,N49*5%))))</f>
        <v>96848.91</v>
      </c>
      <c r="N68" s="2474">
        <f ca="1">ROUND(M68,1)</f>
        <v>96848.9</v>
      </c>
      <c r="O68" s="2472"/>
      <c r="P68" s="2472"/>
      <c r="Q68" s="1236"/>
    </row>
    <row r="69" spans="1:36" s="1393" customFormat="1" ht="7.5" customHeight="1">
      <c r="A69" s="1405"/>
      <c r="B69" s="1406"/>
      <c r="C69" s="1407"/>
      <c r="D69" s="1408"/>
      <c r="E69" s="1409"/>
      <c r="F69" s="770"/>
      <c r="G69" s="770"/>
      <c r="H69" s="1398"/>
      <c r="I69" s="1389"/>
      <c r="J69" s="2758"/>
      <c r="K69" s="3509"/>
      <c r="L69" s="2473" t="s">
        <v>54</v>
      </c>
      <c r="M69" s="2473"/>
      <c r="N69" s="2474">
        <f ca="1">ROUND(SUM(N63:N68),0)</f>
        <v>311667</v>
      </c>
      <c r="O69" s="2475">
        <f ca="1">N69/N49</f>
        <v>1.6090372106407805E-2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18447411</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110684</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5" t="s">
        <v>1606</v>
      </c>
      <c r="F76" s="3463"/>
      <c r="G76" s="3463"/>
      <c r="H76" s="3477"/>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110684</v>
      </c>
      <c r="D78" s="2714">
        <f>'数据-取费表'!E31</f>
        <v>6.000000000000001E-3</v>
      </c>
      <c r="E78" s="3457" t="s">
        <v>1611</v>
      </c>
      <c r="F78" s="3458"/>
      <c r="G78" s="3458"/>
      <c r="H78" s="3459"/>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18336727</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165.66736836399119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10963297</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18447411</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110684</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518" t="s">
        <v>2493</v>
      </c>
      <c r="H90" s="3518"/>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7" t="s">
        <v>1623</v>
      </c>
      <c r="F91" s="3458"/>
      <c r="G91" s="3458"/>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7" t="s">
        <v>1626</v>
      </c>
      <c r="F92" s="3458"/>
      <c r="G92" s="3458"/>
      <c r="H92" s="3459"/>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110684</v>
      </c>
      <c r="D93" s="2714">
        <f>'数据-取费表'!E31</f>
        <v>6.000000000000001E-3</v>
      </c>
      <c r="E93" s="3457" t="s">
        <v>1611</v>
      </c>
      <c r="F93" s="3458"/>
      <c r="G93" s="3458"/>
      <c r="H93" s="3459"/>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7" t="s">
        <v>1628</v>
      </c>
      <c r="F94" s="3458"/>
      <c r="G94" s="3458"/>
      <c r="H94" s="3459"/>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18336727</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165.66736836399119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10963297</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6"/>
    </row>
    <row r="100" spans="1:36" ht="15">
      <c r="A100" s="3516" t="s">
        <v>1632</v>
      </c>
      <c r="B100" s="3517"/>
      <c r="C100" s="1235" t="str">
        <f>C4</f>
        <v>比较法-办公</v>
      </c>
      <c r="D100" s="2724" t="str">
        <f>D4</f>
        <v>收益法</v>
      </c>
      <c r="E100" s="1389"/>
      <c r="F100" s="3428" t="s">
        <v>2537</v>
      </c>
      <c r="G100" s="3429"/>
      <c r="H100" s="3428" t="s">
        <v>2538</v>
      </c>
      <c r="I100" s="3427"/>
      <c r="J100" s="2777"/>
    </row>
    <row r="101" spans="1:36" ht="12.75">
      <c r="A101" s="3496" t="s">
        <v>2570</v>
      </c>
      <c r="B101" s="2232" t="str">
        <f>IF(H19="元","总价（元）","总价（万元）")</f>
        <v>总价（元）</v>
      </c>
      <c r="C101" s="1235">
        <f ca="1">C19</f>
        <v>21275423</v>
      </c>
      <c r="D101" s="2724">
        <f ca="1">D19</f>
        <v>16511187</v>
      </c>
      <c r="E101" s="1389"/>
      <c r="F101" s="3428" t="str">
        <f>项目基本情况!I1</f>
        <v>北京市房地产</v>
      </c>
      <c r="G101" s="3429"/>
      <c r="H101" s="3426">
        <f>项目基本情况!C12</f>
        <v>507.9</v>
      </c>
      <c r="I101" s="3427"/>
      <c r="J101" s="2777"/>
    </row>
    <row r="102" spans="1:36" ht="12.75">
      <c r="A102" s="3496"/>
      <c r="B102" s="2232" t="s">
        <v>2571</v>
      </c>
      <c r="C102" s="2725">
        <f ca="1">C20</f>
        <v>41889</v>
      </c>
      <c r="D102" s="2726">
        <f ca="1">D20</f>
        <v>32509</v>
      </c>
      <c r="E102" s="1389"/>
      <c r="F102" s="3438" t="s">
        <v>2567</v>
      </c>
      <c r="G102" s="3439"/>
      <c r="H102" s="2734" t="str">
        <f>C106</f>
        <v>总价（元）</v>
      </c>
      <c r="I102" s="2735">
        <f ca="1">H121</f>
        <v>19369782</v>
      </c>
      <c r="J102" s="2777"/>
    </row>
    <row r="103" spans="1:36" ht="12.75">
      <c r="A103" s="3496" t="s">
        <v>2572</v>
      </c>
      <c r="B103" s="2170" t="str">
        <f>B101</f>
        <v>总价（元）</v>
      </c>
      <c r="C103" s="2729">
        <f ca="1">H121</f>
        <v>19369782</v>
      </c>
      <c r="D103" s="2727"/>
      <c r="E103" s="1389"/>
      <c r="F103" s="3438"/>
      <c r="G103" s="3439"/>
      <c r="H103" s="2734" t="s">
        <v>2540</v>
      </c>
      <c r="I103" s="52">
        <f ca="1">I121</f>
        <v>38137</v>
      </c>
      <c r="J103" s="2761"/>
    </row>
    <row r="104" spans="1:36" ht="13.5" thickBot="1">
      <c r="A104" s="3497"/>
      <c r="B104" s="2731" t="s">
        <v>2571</v>
      </c>
      <c r="C104" s="2732">
        <f ca="1">I121</f>
        <v>38137</v>
      </c>
      <c r="D104" s="2733"/>
      <c r="E104" s="1389"/>
      <c r="F104" s="3438"/>
      <c r="G104" s="3439"/>
      <c r="H104" s="3498"/>
      <c r="I104" s="3499"/>
      <c r="J104" s="2778"/>
    </row>
    <row r="105" spans="1:36" ht="15">
      <c r="A105" s="3504" t="s">
        <v>1633</v>
      </c>
      <c r="B105" s="3505"/>
      <c r="C105" s="3505"/>
      <c r="D105" s="3506"/>
      <c r="E105" s="1389"/>
      <c r="F105" s="3502" t="s">
        <v>2541</v>
      </c>
      <c r="G105" s="3503"/>
      <c r="H105" s="2736" t="str">
        <f>C108</f>
        <v>总额（元）</v>
      </c>
      <c r="I105" s="2735">
        <f>SUMIF(I106:I108,"&lt;9E307")</f>
        <v>0</v>
      </c>
      <c r="J105" s="2777"/>
    </row>
    <row r="106" spans="1:36" ht="14.25">
      <c r="A106" s="3438" t="s">
        <v>2564</v>
      </c>
      <c r="B106" s="3439"/>
      <c r="C106" s="2734" t="str">
        <f>B101</f>
        <v>总价（元）</v>
      </c>
      <c r="D106" s="2735">
        <f ca="1">H121</f>
        <v>19369782</v>
      </c>
      <c r="E106" s="1389"/>
      <c r="F106" s="3440" t="s">
        <v>2542</v>
      </c>
      <c r="G106" s="3441"/>
      <c r="H106" s="2736" t="str">
        <f>C109</f>
        <v>总额（元）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4" t="s">
        <v>2565</v>
      </c>
      <c r="D107" s="52">
        <f ca="1">I121</f>
        <v>38137</v>
      </c>
      <c r="E107" s="1389"/>
      <c r="F107" s="3440" t="s">
        <v>2543</v>
      </c>
      <c r="G107" s="3441"/>
      <c r="H107" s="2736" t="str">
        <f>C110</f>
        <v>总额（元）</v>
      </c>
      <c r="I107" s="52">
        <f>C37</f>
        <v>0</v>
      </c>
      <c r="J107" s="2761"/>
    </row>
    <row r="108" spans="1:36" ht="12.75">
      <c r="A108" s="3445" t="s">
        <v>2541</v>
      </c>
      <c r="B108" s="3446"/>
      <c r="C108" s="2736" t="str">
        <f>IF(H19="元","总额（元）","总额（万元）")</f>
        <v>总额（元）</v>
      </c>
      <c r="D108" s="2735">
        <f>IF(D36="正常操作",I106+I107+I108,I107+I108)</f>
        <v>0</v>
      </c>
      <c r="E108" s="1389"/>
      <c r="F108" s="3440" t="s">
        <v>2568</v>
      </c>
      <c r="G108" s="3441"/>
      <c r="H108" s="2736" t="str">
        <f>C111</f>
        <v>总额（元）</v>
      </c>
      <c r="I108" s="52">
        <f>C38</f>
        <v>0</v>
      </c>
      <c r="J108" s="2761"/>
    </row>
    <row r="109" spans="1:36" ht="12.75">
      <c r="A109" s="3440" t="s">
        <v>2542</v>
      </c>
      <c r="B109" s="3441"/>
      <c r="C109" s="2736" t="str">
        <f>C108</f>
        <v>总额（元）</v>
      </c>
      <c r="D109" s="52">
        <f>IF(D36="同一抵押权人同一抵押物续贷",C36&amp;"（未扣减，详见特别提示）",C36)</f>
        <v>0</v>
      </c>
      <c r="E109" s="1389"/>
      <c r="F109" s="3438"/>
      <c r="G109" s="3439"/>
      <c r="H109" s="3500"/>
      <c r="I109" s="3501"/>
      <c r="J109" s="2779"/>
    </row>
    <row r="110" spans="1:36" ht="28.5" customHeight="1">
      <c r="A110" s="3440" t="s">
        <v>2566</v>
      </c>
      <c r="B110" s="3441"/>
      <c r="C110" s="2736" t="str">
        <f>C108</f>
        <v>总额（元）</v>
      </c>
      <c r="D110" s="52">
        <f>C37</f>
        <v>0</v>
      </c>
      <c r="E110" s="1389"/>
      <c r="F110" s="3430" t="str">
        <f>IF(项目基本情况!F5="已注销","——","3.房地产抵押价值")</f>
        <v>3.房地产抵押价值</v>
      </c>
      <c r="G110" s="3431"/>
      <c r="H110" s="2722" t="str">
        <f>C112</f>
        <v>总价（元）</v>
      </c>
      <c r="I110" s="2735">
        <f ca="1">IF(F110="——","——",I102-I105)</f>
        <v>19369782</v>
      </c>
      <c r="J110" s="2777"/>
    </row>
    <row r="111" spans="1:36" ht="12.75">
      <c r="A111" s="3440" t="s">
        <v>2545</v>
      </c>
      <c r="B111" s="3441"/>
      <c r="C111" s="2736" t="str">
        <f>C108</f>
        <v>总额（元）</v>
      </c>
      <c r="D111" s="52">
        <f>C38</f>
        <v>0</v>
      </c>
      <c r="E111" s="1389"/>
      <c r="F111" s="3529"/>
      <c r="G111" s="3530"/>
      <c r="H111" s="2734" t="s">
        <v>2540</v>
      </c>
      <c r="I111" s="2738">
        <f ca="1">D113</f>
        <v>38137</v>
      </c>
      <c r="J111" s="2780"/>
    </row>
    <row r="112" spans="1:36" ht="26.25" customHeight="1">
      <c r="A112" s="3438" t="str">
        <f>IF(项目基本情况!F5="已注销","——","3.房地产抵押价值")</f>
        <v>3.房地产抵押价值</v>
      </c>
      <c r="B112" s="3439"/>
      <c r="C112" s="2734" t="str">
        <f>B101</f>
        <v>总价（元）</v>
      </c>
      <c r="D112" s="2735">
        <f ca="1">IF(A112="——","——",D106-D108)</f>
        <v>19369782</v>
      </c>
      <c r="E112" s="1389"/>
      <c r="F112" s="3430" t="str">
        <f>IF(项目基本情况!F5="已注销及未注销","4.抵押担保权已注销时的房地产抵押价值",IF(项目基本情况!F5="已注销","3.抵押担保权已注销时的房地产抵押价值","——"))</f>
        <v>——</v>
      </c>
      <c r="G112" s="3431"/>
      <c r="H112" s="2722" t="str">
        <f>C114</f>
        <v>总价（元）</v>
      </c>
      <c r="I112" s="2735" t="str">
        <f>IF(F112="——","——",I102-I107-I108)</f>
        <v>——</v>
      </c>
      <c r="J112" s="2777"/>
    </row>
    <row r="113" spans="1:16" ht="12.75">
      <c r="A113" s="3438"/>
      <c r="B113" s="3439"/>
      <c r="C113" s="2734" t="s">
        <v>2533</v>
      </c>
      <c r="D113" s="52">
        <f ca="1">ROUND(IF(D112=D106,D107,IF(H19="元",D112/项目基本情况!C12,D112*10000/项目基本情况!C12)),0)</f>
        <v>38137</v>
      </c>
      <c r="E113" s="1389"/>
      <c r="F113" s="3529"/>
      <c r="G113" s="3530"/>
      <c r="H113" s="2734" t="s">
        <v>2569</v>
      </c>
      <c r="I113" s="52" t="str">
        <f>D115</f>
        <v>——</v>
      </c>
      <c r="J113" s="2761"/>
    </row>
    <row r="114" spans="1:16" ht="12.75">
      <c r="A114" s="3438" t="str">
        <f>IF(项目基本情况!F5="已注销及未注销","4.抵押担保权已注销时的房地产抵押价值",IF(项目基本情况!F5="已注销","3.抵押担保权已注销时的房地产抵押价值","——"))</f>
        <v>——</v>
      </c>
      <c r="B114" s="3439"/>
      <c r="C114" s="2734" t="str">
        <f>B101</f>
        <v>总价（元）</v>
      </c>
      <c r="D114" s="2735" t="str">
        <f>IF(A114="——","——",D106-D110-D111)</f>
        <v>——</v>
      </c>
      <c r="E114" s="1389"/>
      <c r="F114" s="3430" t="str">
        <f>IF(项目基本情况!G5="抵押净值",IF(OR(项目基本情况!F5="已注销",项目基本情况!F5="房地产抵押价值"),"4.抵押净值","5.抵押净值"),"——")</f>
        <v>——</v>
      </c>
      <c r="G114" s="3431"/>
      <c r="H114" s="2734" t="str">
        <f>C116</f>
        <v>总价（元）</v>
      </c>
      <c r="I114" s="2735" t="str">
        <f>IF(F114="——","——",O59)</f>
        <v>——</v>
      </c>
      <c r="J114" s="2777"/>
    </row>
    <row r="115" spans="1:16" ht="13.5" thickBot="1">
      <c r="A115" s="3438"/>
      <c r="B115" s="3439"/>
      <c r="C115" s="2734" t="s">
        <v>2533</v>
      </c>
      <c r="D115" s="52" t="str">
        <f>IF(A114="——","——",ROUND(IF(D114=D106,D107,IF(H19="元",D114/项目基本情况!C12,D114*10000/项目基本情况!C12)),0))</f>
        <v>——</v>
      </c>
      <c r="E115" s="1389"/>
      <c r="F115" s="3432"/>
      <c r="G115" s="3433"/>
      <c r="H115" s="2739" t="s">
        <v>2533</v>
      </c>
      <c r="I115" s="2723" t="str">
        <f ca="1">D117</f>
        <v>——</v>
      </c>
      <c r="J115" s="2761"/>
    </row>
    <row r="116" spans="1:16" ht="15.75">
      <c r="A116" s="3438" t="str">
        <f>IF(项目基本情况!G5="抵押净值",IF(OR(项目基本情况!F5="已注销",项目基本情况!F5="房地产抵押价值"),"4.抵押净值","5.抵押净值"),"——")</f>
        <v>——</v>
      </c>
      <c r="B116" s="3439"/>
      <c r="C116" s="2734" t="str">
        <f>B101</f>
        <v>总价（元）</v>
      </c>
      <c r="D116" s="2735" t="str">
        <f>IF(A116="——","——",O59)</f>
        <v>——</v>
      </c>
      <c r="E116" s="1389"/>
      <c r="F116" s="3524"/>
      <c r="G116" s="3524"/>
      <c r="H116" s="3488"/>
      <c r="I116" s="3488"/>
      <c r="J116" s="2781"/>
      <c r="O116" s="32"/>
      <c r="P116" s="32"/>
    </row>
    <row r="117" spans="1:16" ht="13.5" thickBot="1">
      <c r="A117" s="3443"/>
      <c r="B117" s="3444"/>
      <c r="C117" s="2739" t="s">
        <v>2533</v>
      </c>
      <c r="D117" s="2723"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2"/>
      <c r="O117" s="32"/>
      <c r="P117" s="32"/>
    </row>
    <row r="118" spans="1:16" ht="15">
      <c r="A118" s="3489" t="s">
        <v>1634</v>
      </c>
      <c r="B118" s="3490"/>
      <c r="C118" s="3490"/>
      <c r="D118" s="3490"/>
      <c r="E118" s="3490"/>
      <c r="F118" s="3490"/>
      <c r="G118" s="3490"/>
      <c r="H118" s="3490"/>
      <c r="I118" s="3490"/>
      <c r="J118" s="2783"/>
    </row>
    <row r="119" spans="1:16" ht="12.75">
      <c r="A119" s="3423" t="s">
        <v>2551</v>
      </c>
      <c r="B119" s="3449" t="s">
        <v>2561</v>
      </c>
      <c r="C119" s="3449" t="s">
        <v>2562</v>
      </c>
      <c r="D119" s="3511" t="s">
        <v>2553</v>
      </c>
      <c r="E119" s="3512"/>
      <c r="F119" s="3424" t="s">
        <v>2563</v>
      </c>
      <c r="G119" s="3424"/>
      <c r="H119" s="3424" t="s">
        <v>2554</v>
      </c>
      <c r="I119" s="3510"/>
      <c r="J119" s="2761"/>
    </row>
    <row r="120" spans="1:16" ht="12.75">
      <c r="A120" s="3423"/>
      <c r="B120" s="3450"/>
      <c r="C120" s="3450"/>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507.9</v>
      </c>
      <c r="C121" s="2017">
        <f>项目基本情况!C13</f>
        <v>0</v>
      </c>
      <c r="D121" s="2017">
        <f ca="1">ROUND(IF(B32="总价",C34,IF('数据-取费表'!B3="万元",E121*B121/10000,E121*B121)),0)</f>
        <v>16386886</v>
      </c>
      <c r="E121" s="2017">
        <f ca="1">ROUND(IF(B32="楼面单价",C34,IF(H19="元",D121/B121,D121*10000/B121)),0)</f>
        <v>32264</v>
      </c>
      <c r="F121" s="2017">
        <f ca="1">ROUND(IF(B32="总价",C35,IF('数据-取费表'!B3="万元",G121*B121/10000,G121*B121)),0)</f>
        <v>2982897</v>
      </c>
      <c r="G121" s="2017">
        <f ca="1">ROUND(IF(B32="楼面单价",C35,IF(H19="元",F121/B121,F121*10000/B121)),0)</f>
        <v>5873</v>
      </c>
      <c r="H121" s="2017">
        <f ca="1">ROUND(IF(B32="总价",C32,IF('数据-取费表'!B3="万元",I121*B121/10000,I121*B121)),0)</f>
        <v>19369782</v>
      </c>
      <c r="I121" s="52">
        <f ca="1">ROUND(IF(B32="楼面单价",C32,IF(H19="元",H121/B121,H121*10000/B121)),0)</f>
        <v>38137</v>
      </c>
      <c r="J121" s="2761"/>
    </row>
    <row r="122" spans="1:16" ht="12.75">
      <c r="A122" s="3423" t="s">
        <v>2557</v>
      </c>
      <c r="B122" s="3424"/>
      <c r="C122" s="3424"/>
      <c r="D122" s="3451" t="str">
        <f ca="1">IF(H19="元",NUMBERSTRING(INT(D121),2)&amp;"元整",NUMBERSTRING(INT(D121*10000),2)&amp;"元整")</f>
        <v>壹仟陆佰叁拾捌万陆仟捌佰捌拾陆元整</v>
      </c>
      <c r="E122" s="3494"/>
      <c r="F122" s="3451" t="str">
        <f ca="1">IF(H19="元",NUMBERSTRING(INT(F121),2)&amp;"元整",NUMBERSTRING(INT(F121*10000),2)&amp;"元整")</f>
        <v>贰佰玖拾捌万贰仟捌佰玖拾柒元整</v>
      </c>
      <c r="G122" s="3494"/>
      <c r="H122" s="3451" t="str">
        <f ca="1">IF(H19="元",NUMBERSTRING(INT(H121),2)&amp;"元整",NUMBERSTRING(INT(H121*10000),2)&amp;"元整")</f>
        <v>壹仟玖佰叁拾陆万玖仟柒佰捌拾贰元整</v>
      </c>
      <c r="I122" s="3452"/>
      <c r="J122" s="2784"/>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77"/>
    </row>
    <row r="124" spans="1:16" ht="12.75">
      <c r="A124" s="3495" t="s">
        <v>2557</v>
      </c>
      <c r="B124" s="3463"/>
      <c r="C124" s="3464"/>
      <c r="D124" s="3435">
        <f>H109</f>
        <v>0</v>
      </c>
      <c r="E124" s="3436"/>
      <c r="F124" s="3436"/>
      <c r="G124" s="3436"/>
      <c r="H124" s="3436"/>
      <c r="I124" s="3437"/>
      <c r="J124" s="2785"/>
    </row>
    <row r="125" spans="1:16" ht="12.75">
      <c r="A125" s="3438" t="str">
        <f>IF(项目基本情况!D5="房地产市场价值","——",MID(A112,3,LEN(A112)-2))</f>
        <v>房地产抵押价值</v>
      </c>
      <c r="B125" s="3439"/>
      <c r="C125" s="3439"/>
      <c r="D125" s="3426">
        <f ca="1">I110</f>
        <v>19369782</v>
      </c>
      <c r="E125" s="3434"/>
      <c r="F125" s="3434"/>
      <c r="G125" s="3434"/>
      <c r="H125" s="3434"/>
      <c r="I125" s="3427"/>
      <c r="J125" s="2777"/>
    </row>
    <row r="126" spans="1:16" ht="12.75">
      <c r="A126" s="3423" t="s">
        <v>2557</v>
      </c>
      <c r="B126" s="3424"/>
      <c r="C126" s="3424"/>
      <c r="D126" s="3435">
        <f ca="1">I111</f>
        <v>38137</v>
      </c>
      <c r="E126" s="3436"/>
      <c r="F126" s="3436"/>
      <c r="G126" s="3436"/>
      <c r="H126" s="3436"/>
      <c r="I126" s="3437"/>
      <c r="J126" s="2785"/>
    </row>
    <row r="127" spans="1:16" ht="13.5" thickBot="1">
      <c r="A127" s="3438" t="str">
        <f>IF(项目基本情况!D5="房地产市场价值","——",MID(A114,3,LEN(A114)-2))</f>
        <v/>
      </c>
      <c r="B127" s="3439"/>
      <c r="C127" s="3439"/>
      <c r="D127" s="3471" t="str">
        <f>I112</f>
        <v>——</v>
      </c>
      <c r="E127" s="3472"/>
      <c r="F127" s="3472"/>
      <c r="G127" s="3472"/>
      <c r="H127" s="3472"/>
      <c r="I127" s="3523"/>
      <c r="J127" s="2777"/>
    </row>
    <row r="128" spans="1:16" ht="14.25" thickTop="1" thickBot="1">
      <c r="A128" s="3423" t="s">
        <v>2557</v>
      </c>
      <c r="B128" s="3424"/>
      <c r="C128" s="3425"/>
      <c r="D128" s="3487" t="str">
        <f>I113</f>
        <v>——</v>
      </c>
      <c r="E128" s="3487"/>
      <c r="F128" s="3487"/>
      <c r="G128" s="3487"/>
      <c r="H128" s="3487"/>
      <c r="I128" s="3487"/>
      <c r="J128" s="2785"/>
    </row>
    <row r="129" spans="1:10" ht="14.25" thickTop="1" thickBot="1">
      <c r="A129" s="3438" t="str">
        <f>IF(项目基本情况!D5="房地产市场价值","——",MID(F114,3,LEN(F114)-2))</f>
        <v/>
      </c>
      <c r="B129" s="3439"/>
      <c r="C129" s="3426"/>
      <c r="D129" s="3442" t="str">
        <f>I114</f>
        <v>——</v>
      </c>
      <c r="E129" s="3442"/>
      <c r="F129" s="3442"/>
      <c r="G129" s="3442"/>
      <c r="H129" s="3442"/>
      <c r="I129" s="3442"/>
      <c r="J129" s="2777"/>
    </row>
    <row r="130" spans="1:10" ht="14.25" thickTop="1" thickBot="1">
      <c r="A130" s="3447" t="s">
        <v>2557</v>
      </c>
      <c r="B130" s="3448"/>
      <c r="C130" s="3448"/>
      <c r="D130" s="3453">
        <f>H116</f>
        <v>0</v>
      </c>
      <c r="E130" s="3454"/>
      <c r="F130" s="3454"/>
      <c r="G130" s="3454"/>
      <c r="H130" s="3454"/>
      <c r="I130" s="3455"/>
      <c r="J130" s="2785"/>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6"/>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0"/>
    </row>
    <row r="3" spans="1:15" ht="12.75">
      <c r="A3" s="3479" t="s">
        <v>1471</v>
      </c>
      <c r="B3" s="3480"/>
      <c r="C3" s="3480"/>
      <c r="D3" s="3480"/>
      <c r="E3" s="3480"/>
      <c r="F3" s="3480"/>
      <c r="G3" s="3480"/>
      <c r="H3" s="3480"/>
      <c r="I3" s="3480"/>
      <c r="J3" s="2760"/>
    </row>
    <row r="4" spans="1:15" ht="14.25">
      <c r="A4" s="2628" t="s">
        <v>1472</v>
      </c>
      <c r="B4" s="2628" t="s">
        <v>1473</v>
      </c>
      <c r="C4" s="2629"/>
      <c r="D4" s="2629"/>
      <c r="E4" s="3425" t="s">
        <v>1644</v>
      </c>
      <c r="F4" s="3463"/>
      <c r="G4" s="3463"/>
      <c r="H4" s="3463"/>
      <c r="I4" s="3464"/>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c r="D14" s="3478"/>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474" t="s">
        <v>2576</v>
      </c>
      <c r="F18" s="3475"/>
      <c r="G18" s="3475"/>
      <c r="H18" s="3475"/>
      <c r="I18" s="3475"/>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32" t="s">
        <v>1647</v>
      </c>
      <c r="B32" s="3532"/>
      <c r="C32" s="3532"/>
      <c r="D32" s="3532"/>
      <c r="E32" s="3532"/>
      <c r="F32" s="3532"/>
      <c r="G32" s="3532"/>
      <c r="H32" s="3532"/>
      <c r="I32" s="3532"/>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元</v>
      </c>
      <c r="E36" s="905"/>
      <c r="F36" s="905"/>
      <c r="G36" s="905"/>
      <c r="H36" s="905"/>
      <c r="I36" s="905"/>
      <c r="J36" s="2762"/>
    </row>
    <row r="37" spans="1:16" ht="15.75" thickBot="1">
      <c r="A37" s="1395"/>
      <c r="B37" s="1397" t="s">
        <v>1655</v>
      </c>
      <c r="C37" s="2698">
        <f>IF('数据-取费表'!B3="万元",典型户型修正!Y25,典型户型修正!X25)</f>
        <v>0</v>
      </c>
      <c r="D37" s="2478" t="str">
        <f>D34</f>
        <v>元</v>
      </c>
      <c r="E37" s="905"/>
      <c r="F37" s="905"/>
      <c r="G37" s="905"/>
      <c r="H37" s="905"/>
      <c r="I37" s="905"/>
      <c r="J37" s="2762"/>
    </row>
    <row r="38" spans="1:16" ht="15.75" thickBot="1">
      <c r="A38" s="3467" t="s">
        <v>1656</v>
      </c>
      <c r="B38" s="1396" t="s">
        <v>1657</v>
      </c>
      <c r="C38" s="2672"/>
      <c r="D38" s="2673"/>
      <c r="E38" s="1608"/>
      <c r="F38" s="1608"/>
      <c r="G38" s="905"/>
      <c r="H38" s="905"/>
      <c r="I38" s="905"/>
      <c r="J38" s="2762"/>
    </row>
    <row r="39" spans="1:16" ht="15.75" thickBot="1">
      <c r="A39" s="3468"/>
      <c r="B39" s="2019" t="s">
        <v>1658</v>
      </c>
      <c r="C39" s="2674"/>
      <c r="D39" s="1239"/>
      <c r="E39" s="1239"/>
      <c r="F39" s="1608"/>
      <c r="G39" s="1239"/>
      <c r="H39" s="1239"/>
      <c r="I39" s="1239"/>
      <c r="J39" s="2766"/>
    </row>
    <row r="40" spans="1:16" ht="15.75" thickBot="1">
      <c r="A40" s="3469"/>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71" t="s">
        <v>1669</v>
      </c>
      <c r="B47" s="3472"/>
      <c r="C47" s="3431"/>
      <c r="D47" s="246">
        <f>ROUND(I104*F47,0)</f>
        <v>0</v>
      </c>
      <c r="E47" s="1470" t="s">
        <v>1670</v>
      </c>
      <c r="F47" s="2476">
        <v>1</v>
      </c>
      <c r="G47" s="2477" t="s">
        <v>1671</v>
      </c>
      <c r="H47" s="905"/>
      <c r="I47" s="905"/>
      <c r="J47" s="2762"/>
      <c r="K47" s="3557" t="s">
        <v>1527</v>
      </c>
      <c r="L47" s="3557"/>
      <c r="M47" s="3557"/>
      <c r="N47" s="3557"/>
      <c r="O47" s="3557"/>
      <c r="P47" s="3557"/>
    </row>
    <row r="48" spans="1:16" ht="14.25" customHeight="1">
      <c r="A48" s="3460" t="s">
        <v>1528</v>
      </c>
      <c r="B48" s="3461"/>
      <c r="C48" s="3461"/>
      <c r="D48" s="3461"/>
      <c r="E48" s="3461"/>
      <c r="F48" s="3461"/>
      <c r="G48" s="3462"/>
      <c r="H48" s="2894"/>
      <c r="I48" s="905"/>
      <c r="J48" s="2762"/>
      <c r="K48" s="2428">
        <v>1</v>
      </c>
      <c r="L48" s="3552" t="s">
        <v>1529</v>
      </c>
      <c r="M48" s="3552"/>
      <c r="N48" s="3558"/>
      <c r="O48" s="3558"/>
      <c r="P48" s="3558"/>
    </row>
    <row r="49" spans="1:17" ht="12" customHeight="1">
      <c r="A49" s="38" t="s">
        <v>1530</v>
      </c>
      <c r="B49" s="39"/>
      <c r="C49" s="40"/>
      <c r="D49" s="1028" t="s">
        <v>1531</v>
      </c>
      <c r="E49" s="235" t="s">
        <v>1532</v>
      </c>
      <c r="F49" s="41" t="s">
        <v>1533</v>
      </c>
      <c r="G49" s="2479" t="s">
        <v>1534</v>
      </c>
      <c r="H49" s="2894"/>
      <c r="I49" s="905"/>
      <c r="J49" s="2762"/>
      <c r="K49" s="2428">
        <v>2</v>
      </c>
      <c r="L49" s="3552" t="s">
        <v>1535</v>
      </c>
      <c r="M49" s="3552"/>
      <c r="N49" s="3559">
        <f>'数据-取费表'!B2</f>
        <v>44858</v>
      </c>
      <c r="O49" s="3559"/>
      <c r="P49" s="3559"/>
    </row>
    <row r="50" spans="1:17" ht="25.5">
      <c r="A50" s="3470" t="s">
        <v>1536</v>
      </c>
      <c r="B50" s="3424"/>
      <c r="C50" s="3424"/>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94"/>
      <c r="J50" s="2769"/>
      <c r="K50" s="2428">
        <v>3</v>
      </c>
      <c r="L50" s="3552" t="s">
        <v>1539</v>
      </c>
      <c r="M50" s="3552"/>
      <c r="N50" s="3553">
        <f>I104</f>
        <v>0</v>
      </c>
      <c r="O50" s="3553"/>
      <c r="P50" s="3553"/>
    </row>
    <row r="51" spans="1:17" ht="25.5" customHeight="1">
      <c r="A51" s="2016" t="s">
        <v>1540</v>
      </c>
      <c r="B51" s="3463" t="s">
        <v>1541</v>
      </c>
      <c r="C51" s="3463"/>
      <c r="D51" s="2483">
        <v>0</v>
      </c>
      <c r="E51" s="261" t="s">
        <v>1542</v>
      </c>
      <c r="F51" s="2484" t="s">
        <v>48</v>
      </c>
      <c r="G51" s="3520"/>
      <c r="H51" s="2485" t="s">
        <v>2500</v>
      </c>
      <c r="I51" s="2486"/>
      <c r="J51" s="2770"/>
      <c r="K51" s="2428">
        <v>4</v>
      </c>
      <c r="L51" s="3552" t="str">
        <f>IF(项目基本情况!F5="房地产抵押价值","房地产抵押价值","抵押担保权已注销时的房地产抵押价值")</f>
        <v>房地产抵押价值</v>
      </c>
      <c r="M51" s="3552"/>
      <c r="N51" s="3553">
        <f>IF(项目基本情况!F5="房地产抵押价值",I112,I114)</f>
        <v>0</v>
      </c>
      <c r="O51" s="3553"/>
      <c r="P51" s="3553"/>
    </row>
    <row r="52" spans="1:17" ht="25.5" customHeight="1">
      <c r="A52" s="2006"/>
      <c r="B52" s="3463" t="s">
        <v>1543</v>
      </c>
      <c r="C52" s="3463"/>
      <c r="D52" s="2487"/>
      <c r="E52" s="269"/>
      <c r="F52" s="2484"/>
      <c r="G52" s="3521"/>
      <c r="H52" s="2488" t="s">
        <v>2501</v>
      </c>
      <c r="I52" s="2486"/>
      <c r="J52" s="2770"/>
      <c r="K52" s="3552" t="s">
        <v>1544</v>
      </c>
      <c r="L52" s="3552"/>
      <c r="M52" s="3552"/>
      <c r="N52" s="3552"/>
      <c r="O52" s="3552"/>
      <c r="P52" s="3552"/>
    </row>
    <row r="53" spans="1:17" ht="20.45" customHeight="1">
      <c r="A53" s="2489"/>
      <c r="B53" s="3463" t="s">
        <v>1545</v>
      </c>
      <c r="C53" s="3463"/>
      <c r="D53" s="1028"/>
      <c r="E53" s="264"/>
      <c r="F53" s="2484"/>
      <c r="G53" s="3522"/>
      <c r="H53" s="2488" t="s">
        <v>2502</v>
      </c>
      <c r="I53" s="2486"/>
      <c r="J53" s="2770"/>
      <c r="K53" s="2429" t="s">
        <v>1546</v>
      </c>
      <c r="L53" s="3552" t="s">
        <v>1547</v>
      </c>
      <c r="M53" s="3552"/>
      <c r="N53" s="2429" t="s">
        <v>1548</v>
      </c>
      <c r="O53" s="2429" t="s">
        <v>1549</v>
      </c>
      <c r="P53" s="2429" t="s">
        <v>1550</v>
      </c>
    </row>
    <row r="54" spans="1:17" ht="24" customHeight="1">
      <c r="A54" s="2007" t="s">
        <v>1551</v>
      </c>
      <c r="B54" s="3463" t="s">
        <v>1552</v>
      </c>
      <c r="C54" s="3463"/>
      <c r="D54" s="1028">
        <f>ROUND(D47*'数据-取费表'!E29/(1+'数据-取费表'!F30),0)</f>
        <v>0</v>
      </c>
      <c r="E54" s="2017" t="s">
        <v>1553</v>
      </c>
      <c r="F54" s="2490">
        <f>'数据-取费表'!E29</f>
        <v>5.6000000000000001E-2</v>
      </c>
      <c r="G54" s="2491"/>
      <c r="H54" s="905"/>
      <c r="I54" s="2895"/>
      <c r="J54" s="2770"/>
      <c r="K54" s="2428">
        <v>1</v>
      </c>
      <c r="L54" s="3548" t="s">
        <v>1554</v>
      </c>
      <c r="M54" s="3548"/>
      <c r="N54" s="2430">
        <f>D50</f>
        <v>0</v>
      </c>
      <c r="O54" s="2428" t="str">
        <f>E50</f>
        <v>销售额×税（费）率</v>
      </c>
      <c r="P54" s="2431">
        <f>F50</f>
        <v>5.6000000000000001E-2</v>
      </c>
    </row>
    <row r="55" spans="1:17" ht="12" customHeight="1">
      <c r="A55" s="2007" t="s">
        <v>1555</v>
      </c>
      <c r="B55" s="3425" t="s">
        <v>2593</v>
      </c>
      <c r="C55" s="3464"/>
      <c r="D55" s="1028">
        <f>ROUND(D47*'数据-取费表'!E29/(1+'数据-取费表'!F30),0)</f>
        <v>0</v>
      </c>
      <c r="E55" s="2017" t="s">
        <v>1553</v>
      </c>
      <c r="F55" s="2490">
        <f>'数据-取费表'!E29</f>
        <v>5.6000000000000001E-2</v>
      </c>
      <c r="G55" s="2491"/>
      <c r="H55" s="905"/>
      <c r="I55" s="2895"/>
      <c r="J55" s="2770"/>
      <c r="K55" s="2428">
        <v>2</v>
      </c>
      <c r="L55" s="3548" t="s">
        <v>1556</v>
      </c>
      <c r="M55" s="3548"/>
      <c r="N55" s="2430">
        <f t="shared" ref="N55:P56" si="1">D57</f>
        <v>0</v>
      </c>
      <c r="O55" s="2428" t="str">
        <f t="shared" si="1"/>
        <v>销售额×税（费）率</v>
      </c>
      <c r="P55" s="2431">
        <f t="shared" si="1"/>
        <v>5.0000000000000001E-4</v>
      </c>
    </row>
    <row r="56" spans="1:17" ht="12" customHeight="1">
      <c r="A56" s="2007" t="s">
        <v>1557</v>
      </c>
      <c r="B56" s="3425" t="s">
        <v>2594</v>
      </c>
      <c r="C56" s="3464"/>
      <c r="D56" s="1028">
        <f>C70</f>
        <v>0</v>
      </c>
      <c r="E56" s="264" t="s">
        <v>1558</v>
      </c>
      <c r="F56" s="2490">
        <f>'数据-取费表'!E29</f>
        <v>5.6000000000000001E-2</v>
      </c>
      <c r="G56" s="2491"/>
      <c r="H56" s="2896"/>
      <c r="I56" s="2895"/>
      <c r="J56" s="2770"/>
      <c r="K56" s="2428">
        <v>3</v>
      </c>
      <c r="L56" s="3548" t="s">
        <v>1559</v>
      </c>
      <c r="M56" s="3548"/>
      <c r="N56" s="2430">
        <f t="shared" si="1"/>
        <v>0</v>
      </c>
      <c r="O56" s="2428" t="str">
        <f t="shared" si="1"/>
        <v>增值额×税（费）率</v>
      </c>
      <c r="P56" s="2432" t="str">
        <f t="shared" si="1"/>
        <v>——</v>
      </c>
    </row>
    <row r="57" spans="1:17" ht="24" customHeight="1">
      <c r="A57" s="3423" t="s">
        <v>1560</v>
      </c>
      <c r="B57" s="3424"/>
      <c r="C57" s="3424"/>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48" t="str">
        <f>IF(H61="非个人房产","——","个人所得税")</f>
        <v>个人所得税</v>
      </c>
      <c r="M57" s="3548"/>
      <c r="N57" s="2433">
        <f>D61</f>
        <v>0</v>
      </c>
      <c r="O57" s="2434" t="str">
        <f>E61</f>
        <v>销售额×税（费）率</v>
      </c>
      <c r="P57" s="2435">
        <f>F61</f>
        <v>0.01</v>
      </c>
    </row>
    <row r="58" spans="1:17" ht="24.75">
      <c r="A58" s="3423" t="s">
        <v>1563</v>
      </c>
      <c r="B58" s="3424"/>
      <c r="C58" s="3424"/>
      <c r="D58" s="12">
        <f>IF(H58="个人住宅",D59,D60)</f>
        <v>0</v>
      </c>
      <c r="E58" s="2017" t="s">
        <v>1564</v>
      </c>
      <c r="F58" s="2490" t="str">
        <f>IF(H58="正常",F60,"免征")</f>
        <v>——</v>
      </c>
      <c r="G58" s="2492" t="s">
        <v>1565</v>
      </c>
      <c r="H58" s="2493" t="s">
        <v>1562</v>
      </c>
      <c r="I58" s="2897"/>
      <c r="J58" s="2770"/>
      <c r="K58" s="2428" t="str">
        <f>IF(项目基本情况!I6="上海银行",IF(K57="",4,K57+1),"")</f>
        <v/>
      </c>
      <c r="L58" s="3550" t="str">
        <f>IF(项目基本情况!I6="上海银行","其他处置费用","")</f>
        <v/>
      </c>
      <c r="M58" s="3551"/>
      <c r="N58" s="2430" t="str">
        <f>IF(项目基本情况!I6="上海银行",N71,"")</f>
        <v/>
      </c>
      <c r="O58" s="3550" t="str">
        <f>IF(项目基本情况!I6="上海银行","包含处置中涉及的律师、诉讼、拍卖、评估等费用","")</f>
        <v/>
      </c>
      <c r="P58" s="3554"/>
    </row>
    <row r="59" spans="1:17" ht="12.75">
      <c r="A59" s="2007" t="s">
        <v>1540</v>
      </c>
      <c r="B59" s="3425" t="s">
        <v>1566</v>
      </c>
      <c r="C59" s="3464"/>
      <c r="D59" s="2483">
        <v>0</v>
      </c>
      <c r="E59" s="261" t="s">
        <v>1542</v>
      </c>
      <c r="F59" s="235"/>
      <c r="G59" s="2491"/>
      <c r="H59" s="2897"/>
      <c r="I59" s="2897"/>
      <c r="J59" s="2770"/>
      <c r="K59" s="3548">
        <f>IF(AND(K57="",K58=""),4,IF(项目基本情况!I6="上海银行",K58+1,K57+1))</f>
        <v>5</v>
      </c>
      <c r="L59" s="3548" t="s">
        <v>1567</v>
      </c>
      <c r="M59" s="2436" t="s">
        <v>1568</v>
      </c>
      <c r="N59" s="2437"/>
      <c r="O59" s="2438">
        <f>SUMIF(N54:N58,"&lt;9e307")</f>
        <v>0</v>
      </c>
      <c r="P59" s="2439"/>
      <c r="Q59" s="1234" t="e">
        <f>O59/N51</f>
        <v>#DIV/0!</v>
      </c>
    </row>
    <row r="60" spans="1:17" ht="24.75">
      <c r="A60" s="2007" t="s">
        <v>1551</v>
      </c>
      <c r="B60" s="3425" t="s">
        <v>1569</v>
      </c>
      <c r="C60" s="3463"/>
      <c r="D60" s="12">
        <f>IF(H60="转让取得",C83,C99)</f>
        <v>0</v>
      </c>
      <c r="E60" s="2017" t="s">
        <v>1564</v>
      </c>
      <c r="F60" s="235" t="s">
        <v>48</v>
      </c>
      <c r="G60" s="2491"/>
      <c r="H60" s="2493" t="s">
        <v>1570</v>
      </c>
      <c r="I60" s="2897"/>
      <c r="J60" s="2770"/>
      <c r="K60" s="3548"/>
      <c r="L60" s="3548"/>
      <c r="M60" s="2436" t="s">
        <v>1571</v>
      </c>
      <c r="N60" s="2440"/>
      <c r="O60" s="2441" t="str">
        <f>IF(H19="元",NUMBERSTRING(INT(O59),2)&amp;"元整",NUMBERSTRING(INT(O59*10000),2)&amp;"元整")</f>
        <v>零元整</v>
      </c>
      <c r="P60" s="2442"/>
    </row>
    <row r="61" spans="1:17" ht="26.25" thickBot="1">
      <c r="A61" s="3447" t="s">
        <v>1572</v>
      </c>
      <c r="B61" s="3448"/>
      <c r="C61" s="3448"/>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6">
        <f>K59+1</f>
        <v>6</v>
      </c>
      <c r="L61" s="3548" t="s">
        <v>1573</v>
      </c>
      <c r="M61" s="2428" t="s">
        <v>1568</v>
      </c>
      <c r="N61" s="2443"/>
      <c r="O61" s="2444">
        <f>N51-O59</f>
        <v>0</v>
      </c>
      <c r="P61" s="2445"/>
    </row>
    <row r="62" spans="1:17" ht="12" customHeight="1">
      <c r="A62" s="1385"/>
      <c r="B62" s="2478"/>
      <c r="C62" s="2478"/>
      <c r="D62" s="2478"/>
      <c r="E62" s="1385"/>
      <c r="F62" s="2897"/>
      <c r="G62" s="2897"/>
      <c r="H62" s="2892"/>
      <c r="I62" s="905"/>
      <c r="J62" s="2770"/>
      <c r="K62" s="3547"/>
      <c r="L62" s="3548"/>
      <c r="M62" s="2436" t="s">
        <v>1571</v>
      </c>
      <c r="N62" s="2440"/>
      <c r="O62" s="2441" t="str">
        <f>IF(H19="元",NUMBERSTRING(INT(O61),2)&amp;"元整",NUMBERSTRING(INT(O61*10000),2)&amp;"元整")</f>
        <v>零元整</v>
      </c>
      <c r="P62" s="2442"/>
    </row>
    <row r="63" spans="1:17" ht="13.5" thickBot="1">
      <c r="A63" s="3549" t="s">
        <v>1574</v>
      </c>
      <c r="B63" s="3549"/>
      <c r="C63" s="3549"/>
      <c r="D63" s="3549"/>
      <c r="E63" s="3549"/>
      <c r="F63" s="2897"/>
      <c r="G63" s="2897"/>
      <c r="H63" s="2892"/>
      <c r="I63" s="905"/>
      <c r="J63" s="2762"/>
      <c r="K63" s="2428">
        <f>K61+1</f>
        <v>7</v>
      </c>
      <c r="L63" s="3548" t="s">
        <v>1575</v>
      </c>
      <c r="M63" s="3548"/>
      <c r="N63" s="2446"/>
      <c r="O63" s="2447">
        <f>IF(H19="元",ROUND(O61/项目基本情况!C12,0),ROUND(O61*10000/项目基本情况!C12,0))</f>
        <v>0</v>
      </c>
      <c r="P63" s="2448"/>
    </row>
    <row r="64" spans="1:17" ht="12.75">
      <c r="A64" s="3482" t="s">
        <v>1576</v>
      </c>
      <c r="B64" s="3483"/>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56"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5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56"/>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56"/>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5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5.6000000000000001E-2</v>
      </c>
      <c r="E70" s="57"/>
      <c r="F70" s="2897"/>
      <c r="G70" s="2897"/>
      <c r="H70" s="2892"/>
      <c r="I70" s="905"/>
      <c r="J70" s="2762"/>
      <c r="K70" s="3556"/>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56"/>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5" t="s">
        <v>1606</v>
      </c>
      <c r="F78" s="3463"/>
      <c r="G78" s="3463"/>
      <c r="H78" s="3477"/>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6.000000000000001E-3</v>
      </c>
      <c r="E80" s="3457" t="s">
        <v>1611</v>
      </c>
      <c r="F80" s="3458"/>
      <c r="G80" s="3458"/>
      <c r="H80" s="3459"/>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518" t="s">
        <v>2494</v>
      </c>
      <c r="H92" s="3545"/>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7" t="s">
        <v>1623</v>
      </c>
      <c r="F93" s="3458"/>
      <c r="G93" s="3458"/>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7" t="s">
        <v>1626</v>
      </c>
      <c r="F94" s="3458"/>
      <c r="G94" s="3458"/>
      <c r="H94" s="3459"/>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6.000000000000001E-3</v>
      </c>
      <c r="E95" s="3457" t="s">
        <v>1611</v>
      </c>
      <c r="F95" s="3458"/>
      <c r="G95" s="3458"/>
      <c r="H95" s="3459"/>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7" t="s">
        <v>1628</v>
      </c>
      <c r="F96" s="3458"/>
      <c r="G96" s="3458"/>
      <c r="H96" s="3459"/>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2536</v>
      </c>
      <c r="G101" s="3541"/>
      <c r="H101" s="3541"/>
      <c r="I101" s="3542"/>
      <c r="J101" s="2797"/>
    </row>
    <row r="102" spans="1:36" ht="15">
      <c r="A102" s="3516" t="s">
        <v>1632</v>
      </c>
      <c r="B102" s="3517"/>
      <c r="C102" s="2720">
        <f>C4</f>
        <v>0</v>
      </c>
      <c r="D102" s="2721">
        <f>D4</f>
        <v>0</v>
      </c>
      <c r="E102" s="1389"/>
      <c r="F102" s="3428" t="s">
        <v>2537</v>
      </c>
      <c r="G102" s="3429"/>
      <c r="H102" s="3434" t="s">
        <v>2538</v>
      </c>
      <c r="I102" s="3427"/>
      <c r="J102" s="2777"/>
    </row>
    <row r="103" spans="1:36" ht="12.75">
      <c r="A103" s="3537" t="s">
        <v>2532</v>
      </c>
      <c r="B103" s="2232" t="str">
        <f>IF(H19="元","总价（元）","总价（万元）")</f>
        <v>总价（元）</v>
      </c>
      <c r="C103" s="1235" t="e">
        <f ca="1">C19</f>
        <v>#REF!</v>
      </c>
      <c r="D103" s="2724" t="e">
        <f ca="1">D19</f>
        <v>#REF!</v>
      </c>
      <c r="E103" s="1389"/>
      <c r="F103" s="3538"/>
      <c r="G103" s="3539"/>
      <c r="H103" s="3426">
        <f>典型户型修正!B25</f>
        <v>0</v>
      </c>
      <c r="I103" s="3427"/>
      <c r="J103" s="2777"/>
    </row>
    <row r="104" spans="1:36" ht="12.75">
      <c r="A104" s="3537"/>
      <c r="B104" s="2232" t="s">
        <v>2533</v>
      </c>
      <c r="C104" s="2725" t="e">
        <f ca="1">C20</f>
        <v>#REF!</v>
      </c>
      <c r="D104" s="2726" t="e">
        <f ca="1">D20</f>
        <v>#REF!</v>
      </c>
      <c r="E104" s="1389"/>
      <c r="F104" s="3438" t="s">
        <v>2539</v>
      </c>
      <c r="G104" s="3439"/>
      <c r="H104" s="2734" t="str">
        <f>C110</f>
        <v>总价（元）</v>
      </c>
      <c r="I104" s="2735">
        <f>H125</f>
        <v>0</v>
      </c>
      <c r="J104" s="2777"/>
    </row>
    <row r="105" spans="1:36" ht="12.75">
      <c r="A105" s="3537" t="s">
        <v>2534</v>
      </c>
      <c r="B105" s="2170" t="str">
        <f>B103</f>
        <v>总价（元）</v>
      </c>
      <c r="C105" s="12" t="e">
        <f ca="1">ROUND(IF('数据-取费表'!B4="总价",G19,IF(H19="元",G20*'数据-取费表'!E5,G20*'数据-取费表'!E5/10000)),0)</f>
        <v>#REF!</v>
      </c>
      <c r="D105" s="2727"/>
      <c r="E105" s="1389"/>
      <c r="F105" s="3438"/>
      <c r="G105" s="3439"/>
      <c r="H105" s="2734" t="s">
        <v>2540</v>
      </c>
      <c r="I105" s="52" t="e">
        <f>I125</f>
        <v>#DIV/0!</v>
      </c>
      <c r="J105" s="2761"/>
    </row>
    <row r="106" spans="1:36" ht="12.75">
      <c r="A106" s="3537"/>
      <c r="B106" s="2232" t="s">
        <v>2533</v>
      </c>
      <c r="C106" s="1409" t="e">
        <f ca="1">ROUND(IF('数据-取费表'!B4="楼面单价",G20,IF(H19="元",G19/'数据-取费表'!E5,G19*10000/'数据-取费表'!E5)),0)</f>
        <v>#REF!</v>
      </c>
      <c r="D106" s="2727"/>
      <c r="E106" s="1389"/>
      <c r="F106" s="3438"/>
      <c r="G106" s="3439"/>
      <c r="H106" s="3498"/>
      <c r="I106" s="3499"/>
      <c r="J106" s="2778"/>
    </row>
    <row r="107" spans="1:36" ht="12.75">
      <c r="A107" s="3531" t="s">
        <v>2535</v>
      </c>
      <c r="B107" s="2728" t="str">
        <f>B103</f>
        <v>总价（元）</v>
      </c>
      <c r="C107" s="2729">
        <f>H125</f>
        <v>0</v>
      </c>
      <c r="D107" s="2730"/>
      <c r="E107" s="1389"/>
      <c r="F107" s="3502" t="s">
        <v>2541</v>
      </c>
      <c r="G107" s="3503"/>
      <c r="H107" s="2736" t="str">
        <f>C112</f>
        <v>总额（元）</v>
      </c>
      <c r="I107" s="2735">
        <f>SUMIF(I108:I110,"&lt;9E307")</f>
        <v>0</v>
      </c>
      <c r="J107" s="2777"/>
    </row>
    <row r="108" spans="1:36" ht="15" thickBot="1">
      <c r="A108" s="3497"/>
      <c r="B108" s="2731" t="s">
        <v>2533</v>
      </c>
      <c r="C108" s="2732" t="e">
        <f>I125</f>
        <v>#DIV/0!</v>
      </c>
      <c r="D108" s="2733"/>
      <c r="E108" s="1389"/>
      <c r="F108" s="3440" t="s">
        <v>2542</v>
      </c>
      <c r="G108" s="3441"/>
      <c r="H108" s="2736" t="str">
        <f>C113</f>
        <v>总额（元）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2543</v>
      </c>
      <c r="G109" s="3441"/>
      <c r="H109" s="2736" t="str">
        <f>C114</f>
        <v>总额（元）</v>
      </c>
      <c r="I109" s="52">
        <f>C39</f>
        <v>0</v>
      </c>
      <c r="J109" s="2761"/>
    </row>
    <row r="110" spans="1:36" ht="12.75">
      <c r="A110" s="3438" t="s">
        <v>2546</v>
      </c>
      <c r="B110" s="3439"/>
      <c r="C110" s="2734" t="str">
        <f>B103</f>
        <v>总价（元）</v>
      </c>
      <c r="D110" s="2735">
        <f>H125</f>
        <v>0</v>
      </c>
      <c r="E110" s="1389"/>
      <c r="F110" s="3440" t="s">
        <v>2544</v>
      </c>
      <c r="G110" s="3441"/>
      <c r="H110" s="2736" t="str">
        <f>C115</f>
        <v>总额（元）</v>
      </c>
      <c r="I110" s="52">
        <f>C40</f>
        <v>0</v>
      </c>
      <c r="J110" s="2761"/>
    </row>
    <row r="111" spans="1:36" ht="12.75">
      <c r="A111" s="3438"/>
      <c r="B111" s="3439"/>
      <c r="C111" s="2734" t="s">
        <v>2547</v>
      </c>
      <c r="D111" s="52" t="e">
        <f>I125</f>
        <v>#DIV/0!</v>
      </c>
      <c r="E111" s="1389"/>
      <c r="F111" s="3438"/>
      <c r="G111" s="3439"/>
      <c r="H111" s="3500"/>
      <c r="I111" s="3501"/>
      <c r="J111" s="2779"/>
    </row>
    <row r="112" spans="1:36" ht="28.5" customHeight="1">
      <c r="A112" s="3445" t="s">
        <v>2541</v>
      </c>
      <c r="B112" s="3446"/>
      <c r="C112" s="2736" t="str">
        <f>IF(H19="元","总额（元）","总额（万元）")</f>
        <v>总额（元）</v>
      </c>
      <c r="D112" s="2735">
        <f>IF(D38="正常操作",I108+I109+I110,I109+I110)</f>
        <v>0</v>
      </c>
      <c r="E112" s="1389"/>
      <c r="F112" s="3430" t="str">
        <f>IF(项目基本情况!F5="已注销","——","3.房地产抵押价值")</f>
        <v>3.房地产抵押价值</v>
      </c>
      <c r="G112" s="3431"/>
      <c r="H112" s="1409" t="str">
        <f>C116</f>
        <v>总价（元）</v>
      </c>
      <c r="I112" s="2735">
        <f>IF(F112="——","——",I104-I107)</f>
        <v>0</v>
      </c>
      <c r="J112" s="2777"/>
    </row>
    <row r="113" spans="1:27" ht="12.75">
      <c r="A113" s="3440" t="s">
        <v>2548</v>
      </c>
      <c r="B113" s="3441"/>
      <c r="C113" s="2736" t="str">
        <f>C112</f>
        <v>总额（元）</v>
      </c>
      <c r="D113" s="52">
        <f>IF(D38="同一抵押权人同一抵押物续贷",C38&amp;"（未扣减，详见特别提示）",C38)</f>
        <v>0</v>
      </c>
      <c r="E113" s="1389"/>
      <c r="F113" s="3529"/>
      <c r="G113" s="3530"/>
      <c r="H113" s="2734" t="s">
        <v>2540</v>
      </c>
      <c r="I113" s="2738" t="e">
        <f>D117</f>
        <v>#DIV/0!</v>
      </c>
      <c r="J113" s="2780"/>
    </row>
    <row r="114" spans="1:27" ht="12.75">
      <c r="A114" s="3440" t="s">
        <v>2549</v>
      </c>
      <c r="B114" s="3441"/>
      <c r="C114" s="2736" t="str">
        <f>C112</f>
        <v>总额（元）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总价（元）</v>
      </c>
      <c r="I114" s="2735" t="str">
        <f>IF(F114="——","——",I104-I109-I110)</f>
        <v>——</v>
      </c>
      <c r="J114" s="2777"/>
    </row>
    <row r="115" spans="1:27" ht="12.75">
      <c r="A115" s="3440" t="s">
        <v>2550</v>
      </c>
      <c r="B115" s="3441"/>
      <c r="C115" s="2736" t="str">
        <f>C112</f>
        <v>总额（元）</v>
      </c>
      <c r="D115" s="52">
        <f>C40</f>
        <v>0</v>
      </c>
      <c r="E115" s="1389"/>
      <c r="F115" s="3529"/>
      <c r="G115" s="3530"/>
      <c r="H115" s="2734" t="s">
        <v>2540</v>
      </c>
      <c r="I115" s="52" t="str">
        <f>D119</f>
        <v>——</v>
      </c>
      <c r="J115" s="2761"/>
    </row>
    <row r="116" spans="1:27" ht="12.75">
      <c r="A116" s="3438" t="str">
        <f>IF(项目基本情况!F5="已注销","——","3.房地产抵押价值")</f>
        <v>3.房地产抵押价值</v>
      </c>
      <c r="B116" s="3439"/>
      <c r="C116" s="2734" t="str">
        <f>B103</f>
        <v>总价（元）</v>
      </c>
      <c r="D116" s="2735">
        <f>IF(A116="——","——",D110-D112)</f>
        <v>0</v>
      </c>
      <c r="E116" s="1389"/>
      <c r="F116" s="3430" t="str">
        <f>IF(项目基本情况!G5="抵押净值",IF(OR(项目基本情况!F5="已注销",项目基本情况!F5="房地产抵押价值"),"4.抵押净值","5.抵押净值"),"——")</f>
        <v>——</v>
      </c>
      <c r="G116" s="3431"/>
      <c r="H116" s="2734" t="str">
        <f>C120</f>
        <v>总价（元）</v>
      </c>
      <c r="I116" s="2735" t="str">
        <f>IF(F116="——","——",O61)</f>
        <v>——</v>
      </c>
      <c r="J116" s="2777"/>
    </row>
    <row r="117" spans="1:27" ht="13.5" thickBot="1">
      <c r="A117" s="3438"/>
      <c r="B117" s="3439"/>
      <c r="C117" s="2734" t="s">
        <v>2547</v>
      </c>
      <c r="D117" s="52" t="e">
        <f>ROUND(IF(D116=D110,D111,IF(H19="元",D116/B125,D116*10000/B125)),0)</f>
        <v>#DIV/0!</v>
      </c>
      <c r="E117" s="1389"/>
      <c r="F117" s="3432"/>
      <c r="G117" s="3433"/>
      <c r="H117" s="2739" t="s">
        <v>2540</v>
      </c>
      <c r="I117" s="2723" t="str">
        <f>D121</f>
        <v>——</v>
      </c>
      <c r="J117" s="2761"/>
    </row>
    <row r="118" spans="1:27" ht="15.75">
      <c r="A118" s="3438" t="str">
        <f>IF(项目基本情况!F5="已注销及未注销","4.抵押担保权已注销时的房地产抵押价值",IF(项目基本情况!F5="已注销","3.抵押担保权已注销时的房地产抵押价值","——"))</f>
        <v>——</v>
      </c>
      <c r="B118" s="3439"/>
      <c r="C118" s="2734" t="str">
        <f>B103</f>
        <v>总价（元）</v>
      </c>
      <c r="D118" s="2735" t="str">
        <f>IF(A118="——","——",D110-D114-D115)</f>
        <v>——</v>
      </c>
      <c r="E118" s="1389"/>
      <c r="F118" s="3524"/>
      <c r="G118" s="3524"/>
      <c r="H118" s="3488"/>
      <c r="I118" s="3488"/>
      <c r="J118" s="2781"/>
      <c r="O118" s="32"/>
      <c r="P118" s="32"/>
    </row>
    <row r="119" spans="1:27" s="1236" customFormat="1" ht="12.75">
      <c r="A119" s="3438"/>
      <c r="B119" s="3439"/>
      <c r="C119" s="2734" t="s">
        <v>2547</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4" t="str">
        <f>B103</f>
        <v>总价（元）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2551</v>
      </c>
      <c r="B123" s="3449" t="s">
        <v>2552</v>
      </c>
      <c r="C123" s="3449" t="s">
        <v>2558</v>
      </c>
      <c r="D123" s="3511" t="s">
        <v>2553</v>
      </c>
      <c r="E123" s="3512"/>
      <c r="F123" s="3424" t="s">
        <v>2559</v>
      </c>
      <c r="G123" s="3424"/>
      <c r="H123" s="3424" t="s">
        <v>2554</v>
      </c>
      <c r="I123" s="3510"/>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2557</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63"/>
      <c r="C128" s="3464"/>
      <c r="D128" s="3435">
        <f>H111</f>
        <v>0</v>
      </c>
      <c r="E128" s="3436"/>
      <c r="F128" s="3436"/>
      <c r="G128" s="3436"/>
      <c r="H128" s="3436"/>
      <c r="I128" s="3437"/>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2557</v>
      </c>
      <c r="B130" s="3424"/>
      <c r="C130" s="3424"/>
      <c r="D130" s="3435" t="e">
        <f>I113</f>
        <v>#DIV/0!</v>
      </c>
      <c r="E130" s="3436"/>
      <c r="F130" s="3436"/>
      <c r="G130" s="3436"/>
      <c r="H130" s="3436"/>
      <c r="I130" s="3437"/>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2557</v>
      </c>
      <c r="B132" s="3424"/>
      <c r="C132" s="3425"/>
      <c r="D132" s="3487" t="str">
        <f>I115</f>
        <v>——</v>
      </c>
      <c r="E132" s="3487"/>
      <c r="F132" s="3487"/>
      <c r="G132" s="3487"/>
      <c r="H132" s="3487"/>
      <c r="I132" s="3487"/>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2557</v>
      </c>
      <c r="B134" s="3448"/>
      <c r="C134" s="3448"/>
      <c r="D134" s="3453">
        <f>H118</f>
        <v>0</v>
      </c>
      <c r="E134" s="3454"/>
      <c r="F134" s="3454"/>
      <c r="G134" s="3454"/>
      <c r="H134" s="3454"/>
      <c r="I134" s="3455"/>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4230988</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8330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1132080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101580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101580</v>
      </c>
      <c r="D10" s="1101">
        <f>IF('数据-取费表'!B10&lt;&gt;"住宅",IF(B1="仅计算典型户型",'数据-取费表'!E5,'数据-取费表'!B5),0)</f>
        <v>507.9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101580</v>
      </c>
      <c r="D19" s="1104">
        <f>IF(B1="仅计算典型户型",'数据-取费表'!E5,'数据-取费表'!B5)</f>
        <v>507.9</v>
      </c>
      <c r="E19" s="111">
        <f>'数据-取费表'!E15</f>
        <v>200</v>
      </c>
      <c r="F19" s="112"/>
      <c r="G19" s="1446"/>
    </row>
    <row r="20" spans="1:123" s="91" customFormat="1" ht="13.5" customHeight="1">
      <c r="A20" s="120" t="s">
        <v>1702</v>
      </c>
      <c r="B20" s="89" t="s">
        <v>1703</v>
      </c>
      <c r="C20" s="99">
        <f>ROUND((C5+C19)*F20,0)</f>
        <v>24673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105542</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95912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8606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1024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188750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188750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1682333</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2224602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2031600</v>
      </c>
      <c r="D34" s="1096"/>
      <c r="E34" s="115"/>
      <c r="F34" s="1107" t="str">
        <f>IF('数据-取费表'!B26=0,"",'数据-取费表'!E20)</f>
        <v/>
      </c>
      <c r="G34" s="95"/>
    </row>
    <row r="35" spans="1:123" ht="13.5" customHeight="1">
      <c r="A35" s="92" t="s">
        <v>1685</v>
      </c>
      <c r="B35" s="93" t="s">
        <v>1734</v>
      </c>
      <c r="C35" s="115">
        <f>ROUND(C34*F35,0)</f>
        <v>60948</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101580</v>
      </c>
      <c r="D37" s="1096">
        <f>IF(B1="仅计算典型户型",'数据-取费表'!E5,'数据-取费表'!B5)</f>
        <v>507.9</v>
      </c>
      <c r="E37" s="115">
        <f>'数据-取费表'!E23</f>
        <v>200</v>
      </c>
      <c r="F37" s="1108"/>
      <c r="G37" s="124" t="s">
        <v>1739</v>
      </c>
    </row>
    <row r="38" spans="1:123" ht="13.5" customHeight="1">
      <c r="A38" s="92" t="s">
        <v>1740</v>
      </c>
      <c r="B38" s="93" t="s">
        <v>1741</v>
      </c>
      <c r="C38" s="115">
        <f>ROUND(C34*F38,0)</f>
        <v>30474</v>
      </c>
      <c r="D38" s="115"/>
      <c r="E38" s="115"/>
      <c r="F38" s="1108">
        <f>'数据-取费表'!E24</f>
        <v>1.4999999999999999E-2</v>
      </c>
      <c r="G38" s="95" t="s">
        <v>1735</v>
      </c>
    </row>
    <row r="39" spans="1:123" s="91" customFormat="1" ht="13.5" customHeight="1">
      <c r="A39" s="120" t="s">
        <v>1700</v>
      </c>
      <c r="B39" s="89" t="s">
        <v>1703</v>
      </c>
      <c r="C39" s="99">
        <f>ROUND(C33*F20,0)</f>
        <v>44492</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94167</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92321</v>
      </c>
      <c r="D42" s="104"/>
      <c r="E42" s="104"/>
      <c r="F42" s="105"/>
      <c r="G42" s="3560" t="s">
        <v>1745</v>
      </c>
    </row>
    <row r="43" spans="1:123" ht="13.5" customHeight="1">
      <c r="A43" s="92" t="s">
        <v>1685</v>
      </c>
      <c r="B43" s="93" t="s">
        <v>1714</v>
      </c>
      <c r="C43" s="104">
        <f ca="1">ROUND(IF('数据-取费表'!B24&lt;=1,C39*F22*'数据-取费表'!B23/2,C39*(POWER((1+F22),'数据-取费表'!B23/2)-1)),0)</f>
        <v>1846</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340364</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340364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3">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2929489</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2548655</v>
      </c>
      <c r="D51" s="99"/>
      <c r="E51" s="99"/>
      <c r="F51" s="126"/>
      <c r="G51" s="100" t="s">
        <v>1759</v>
      </c>
    </row>
    <row r="52" spans="1:123" s="88" customFormat="1" ht="16.5" thickBot="1">
      <c r="A52" s="127" t="s">
        <v>1760</v>
      </c>
      <c r="B52" s="128"/>
      <c r="C52" s="129">
        <f ca="1">C31+C51</f>
        <v>4230988</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0.60199999999999998</v>
      </c>
    </row>
    <row r="57" spans="1:123">
      <c r="B57" s="135" t="s">
        <v>1763</v>
      </c>
      <c r="C57" s="137">
        <f ca="1">1-C56</f>
        <v>0.39800000000000002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100688</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-101580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-101580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-2032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-15542</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-15542</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100688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M38" sqref="M3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21275423</v>
      </c>
      <c r="C2" s="1579" t="str">
        <f>'数据-取费表'!B3</f>
        <v>元</v>
      </c>
      <c r="D2" s="1580" t="s">
        <v>1001</v>
      </c>
      <c r="E2" s="2403" t="e">
        <f ca="1">SUMIF(INDIRECT("'"&amp;G2&amp;"'"&amp;"!A:A"),"承租人权益价值",INDIRECT("'"&amp;G2&amp;"'"&amp;"!c:c"))</f>
        <v>#REF!</v>
      </c>
      <c r="F2" s="1582" t="str">
        <f>C2</f>
        <v>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41889</v>
      </c>
      <c r="C3" s="1588" t="s">
        <v>2005</v>
      </c>
      <c r="D3" s="1588">
        <f>IF(C1="仅计算典型户型",'数据-取费表'!E5,'数据-取费表'!B5)</f>
        <v>507.9</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82" t="s">
        <v>2009</v>
      </c>
      <c r="AC4" s="3582" t="s">
        <v>2010</v>
      </c>
    </row>
    <row r="5" spans="1:29" ht="15">
      <c r="A5" s="1596"/>
      <c r="B5" s="1597"/>
      <c r="C5" s="3598" t="s">
        <v>2013</v>
      </c>
      <c r="D5" s="3599"/>
      <c r="E5" s="3596" t="s">
        <v>2014</v>
      </c>
      <c r="F5" s="3597"/>
      <c r="G5" s="3598" t="s">
        <v>2015</v>
      </c>
      <c r="H5" s="3599"/>
      <c r="I5" s="3598" t="s">
        <v>2016</v>
      </c>
      <c r="J5" s="3599"/>
      <c r="K5" s="1891"/>
      <c r="L5" s="2912"/>
      <c r="M5" s="2913"/>
      <c r="N5" s="2913"/>
      <c r="O5" s="2913"/>
      <c r="P5" s="3591"/>
      <c r="Q5" s="3592"/>
      <c r="R5" s="3575"/>
      <c r="S5" s="3576"/>
      <c r="T5" s="3575"/>
      <c r="U5" s="3576"/>
      <c r="V5" s="3595"/>
      <c r="W5" s="3595"/>
      <c r="X5" s="2000"/>
      <c r="Y5" s="3575"/>
      <c r="Z5" s="3576"/>
      <c r="AA5" s="3583"/>
      <c r="AB5" s="3583"/>
      <c r="AC5" s="3583"/>
    </row>
    <row r="6" spans="1:29"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2000"/>
      <c r="Y6" s="3577"/>
      <c r="Z6" s="3578"/>
      <c r="AA6" s="3584"/>
      <c r="AB6" s="3584"/>
      <c r="AC6" s="3584"/>
    </row>
    <row r="7" spans="1:29" s="1613" customFormat="1" ht="15.75" thickBot="1">
      <c r="A7" s="1601" t="s">
        <v>2019</v>
      </c>
      <c r="B7" s="1602"/>
      <c r="C7" s="1603">
        <f>'数据-取费表'!B2</f>
        <v>44858</v>
      </c>
      <c r="D7" s="1604">
        <v>100</v>
      </c>
      <c r="E7" s="1605">
        <f>C7</f>
        <v>44858</v>
      </c>
      <c r="F7" s="1606">
        <f>SUMIF(59:59,YEAR(E7)&amp;"-"&amp;MONTH(E7),60:60)</f>
        <v>100</v>
      </c>
      <c r="G7" s="1892">
        <f>E7</f>
        <v>44858</v>
      </c>
      <c r="H7" s="1604">
        <f>SUMIF(59:59,YEAR(G7)&amp;"-"&amp;MONTH(G7),60:60)</f>
        <v>100</v>
      </c>
      <c r="I7" s="1892">
        <f>G7</f>
        <v>44858</v>
      </c>
      <c r="J7" s="1604">
        <f>SUMIF(59:59,YEAR(I7)&amp;"-"&amp;MONTH(I7),60:60)</f>
        <v>100</v>
      </c>
      <c r="K7" s="1893"/>
      <c r="L7" s="2912"/>
      <c r="M7" s="2885"/>
      <c r="N7" s="2885"/>
      <c r="O7" s="2885"/>
      <c r="P7" s="3571" t="s">
        <v>2020</v>
      </c>
      <c r="Q7" s="3579"/>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7" si="3">D8/F8</f>
        <v>1</v>
      </c>
      <c r="AB8" s="1612">
        <f t="shared" ref="AB8:AB47" si="4">D8/H8</f>
        <v>1</v>
      </c>
      <c r="AC8" s="1612">
        <f t="shared" ref="AC8:AC47" si="5">D8/J8</f>
        <v>1</v>
      </c>
    </row>
    <row r="9" spans="1:29" s="1613" customFormat="1">
      <c r="A9" s="1992" t="s">
        <v>2024</v>
      </c>
      <c r="B9" s="1616" t="s">
        <v>2025</v>
      </c>
      <c r="C9" s="3323" t="s">
        <v>3067</v>
      </c>
      <c r="D9" s="1618">
        <v>100</v>
      </c>
      <c r="E9" s="1621" t="s">
        <v>3037</v>
      </c>
      <c r="F9" s="1618">
        <f>SUMIF(64:64,E9,65:65)-SUMIF(64:64,C9,65:65)+100</f>
        <v>100</v>
      </c>
      <c r="G9" s="1621" t="s">
        <v>3037</v>
      </c>
      <c r="H9" s="1618">
        <f>SUMIF(64:64,G9,65:65)-SUMIF(64:64,C9,65:65)+100</f>
        <v>100</v>
      </c>
      <c r="I9" s="1621" t="s">
        <v>3037</v>
      </c>
      <c r="J9" s="1618">
        <f>SUMIF(64:64,I9,65:65)-SUMIF(64:64,C9,65:65)+100</f>
        <v>100</v>
      </c>
      <c r="K9" s="1893"/>
      <c r="L9" s="2912"/>
      <c r="M9" s="2885"/>
      <c r="N9" s="2885"/>
      <c r="O9" s="2885"/>
      <c r="P9" s="3563" t="s">
        <v>2026</v>
      </c>
      <c r="Q9" s="2830"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3076</v>
      </c>
      <c r="D10" s="1626">
        <v>100</v>
      </c>
      <c r="E10" s="1625" t="s">
        <v>3076</v>
      </c>
      <c r="F10" s="1626">
        <f>SUMIF(66:66,E10,67:67)-SUMIF(66:66,C10,67:67)+100</f>
        <v>100</v>
      </c>
      <c r="G10" s="1625" t="s">
        <v>3076</v>
      </c>
      <c r="H10" s="1626">
        <f>SUMIF(66:66,G10,67:67)-SUMIF(66:66,C10,67:67)+100</f>
        <v>100</v>
      </c>
      <c r="I10" s="1625" t="s">
        <v>3076</v>
      </c>
      <c r="J10" s="1626">
        <f>SUMIF(66:66,I10,67:67)-SUMIF(66:66,C10,67:67)+100</f>
        <v>100</v>
      </c>
      <c r="K10" s="1918"/>
      <c r="L10" s="2914"/>
      <c r="M10" s="2915"/>
      <c r="N10" s="2915"/>
      <c r="O10" s="2915"/>
      <c r="P10" s="3563"/>
      <c r="Q10" s="2830"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563"/>
      <c r="Q11" s="2830"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3"/>
      <c r="Q12" s="2830">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3"/>
      <c r="Q13" s="2830">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3"/>
      <c r="Q14" s="2830">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80" t="s">
        <v>2031</v>
      </c>
      <c r="Q15" s="2831" t="str">
        <f t="shared" si="6"/>
        <v>办公集聚程度</v>
      </c>
      <c r="R15" s="1654" t="s">
        <v>25</v>
      </c>
      <c r="S15" s="1655">
        <f t="shared" si="0"/>
        <v>100</v>
      </c>
      <c r="T15" s="1654" t="s">
        <v>25</v>
      </c>
      <c r="U15" s="1655">
        <f t="shared" si="1"/>
        <v>100</v>
      </c>
      <c r="V15" s="1654" t="s">
        <v>25</v>
      </c>
      <c r="W15" s="1655">
        <f t="shared" si="2"/>
        <v>100</v>
      </c>
      <c r="X15" s="2000"/>
      <c r="Y15" s="3580"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81"/>
      <c r="Q16" s="2831"/>
      <c r="R16" s="1654"/>
      <c r="S16" s="1655"/>
      <c r="T16" s="1654"/>
      <c r="U16" s="1655"/>
      <c r="V16" s="1654"/>
      <c r="W16" s="1655"/>
      <c r="X16" s="2000"/>
      <c r="Y16" s="3581"/>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81"/>
      <c r="Q17" s="2831"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81"/>
      <c r="Q18" s="2831"/>
      <c r="R18" s="1654"/>
      <c r="S18" s="1655"/>
      <c r="T18" s="1654"/>
      <c r="U18" s="1655"/>
      <c r="V18" s="1654"/>
      <c r="W18" s="1655"/>
      <c r="X18" s="2000"/>
      <c r="Y18" s="3581"/>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81"/>
      <c r="Q19" s="2831"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81"/>
      <c r="Q20" s="2831"/>
      <c r="R20" s="1654"/>
      <c r="S20" s="1655"/>
      <c r="T20" s="1654"/>
      <c r="U20" s="1655"/>
      <c r="V20" s="1654"/>
      <c r="W20" s="1655"/>
      <c r="X20" s="2000"/>
      <c r="Y20" s="3581"/>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81"/>
      <c r="Q21" s="2831"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2412"/>
      <c r="C22" s="1905" t="s">
        <v>3042</v>
      </c>
      <c r="D22" s="1660"/>
      <c r="E22" s="1905" t="s">
        <v>3042</v>
      </c>
      <c r="F22" s="1660"/>
      <c r="G22" s="1905" t="s">
        <v>3042</v>
      </c>
      <c r="H22" s="1660"/>
      <c r="I22" s="1905" t="s">
        <v>3042</v>
      </c>
      <c r="J22" s="1660"/>
      <c r="K22" s="2390"/>
      <c r="L22" s="2917"/>
      <c r="M22" s="2913"/>
      <c r="N22" s="2913"/>
      <c r="O22" s="2913"/>
      <c r="P22" s="3581"/>
      <c r="Q22" s="2831"/>
      <c r="R22" s="1654"/>
      <c r="S22" s="1655"/>
      <c r="T22" s="1654"/>
      <c r="U22" s="1655"/>
      <c r="V22" s="1654"/>
      <c r="W22" s="1655"/>
      <c r="X22" s="2000"/>
      <c r="Y22" s="3581"/>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81"/>
      <c r="Q23" s="2831" t="str">
        <f>B23</f>
        <v>环境质量</v>
      </c>
      <c r="R23" s="1654" t="s">
        <v>25</v>
      </c>
      <c r="S23" s="1655">
        <f>F23</f>
        <v>100</v>
      </c>
      <c r="T23" s="1654" t="s">
        <v>25</v>
      </c>
      <c r="U23" s="1655">
        <f>H23</f>
        <v>100</v>
      </c>
      <c r="V23" s="1654" t="s">
        <v>25</v>
      </c>
      <c r="W23" s="1655">
        <f>J23</f>
        <v>100</v>
      </c>
      <c r="X23" s="2000"/>
      <c r="Y23" s="3581"/>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81"/>
      <c r="Q24" s="2831"/>
      <c r="R24" s="1654"/>
      <c r="S24" s="1655"/>
      <c r="T24" s="1654"/>
      <c r="U24" s="1655"/>
      <c r="V24" s="1654"/>
      <c r="W24" s="1655"/>
      <c r="X24" s="2000"/>
      <c r="Y24" s="3581"/>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81"/>
      <c r="Q25" s="2831" t="str">
        <f>B25</f>
        <v>毗邻道路的类型与等级</v>
      </c>
      <c r="R25" s="1654" t="s">
        <v>25</v>
      </c>
      <c r="S25" s="1655">
        <f>F25</f>
        <v>100</v>
      </c>
      <c r="T25" s="1654" t="s">
        <v>25</v>
      </c>
      <c r="U25" s="1655">
        <f>H25</f>
        <v>100</v>
      </c>
      <c r="V25" s="1654" t="s">
        <v>25</v>
      </c>
      <c r="W25" s="1655">
        <f>J25</f>
        <v>100</v>
      </c>
      <c r="X25" s="2000"/>
      <c r="Y25" s="358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81"/>
      <c r="Q26" s="2831"/>
      <c r="R26" s="1654"/>
      <c r="S26" s="1655"/>
      <c r="T26" s="1654"/>
      <c r="U26" s="1655"/>
      <c r="V26" s="1654"/>
      <c r="W26" s="1655"/>
      <c r="X26" s="2000"/>
      <c r="Y26" s="3581"/>
      <c r="Z26" s="2004"/>
      <c r="AA26" s="1995">
        <v>1</v>
      </c>
      <c r="AB26" s="1995">
        <v>1</v>
      </c>
      <c r="AC26" s="1995">
        <v>1</v>
      </c>
    </row>
    <row r="27" spans="1:29" ht="15">
      <c r="A27" s="1631"/>
      <c r="B27" s="2411" t="s">
        <v>2122</v>
      </c>
      <c r="C27" s="1909" t="s">
        <v>3069</v>
      </c>
      <c r="D27" s="1640">
        <v>100</v>
      </c>
      <c r="E27" s="1917" t="s">
        <v>3071</v>
      </c>
      <c r="F27" s="1640">
        <f>SUMIF(89:89,E27,90:90)-SUMIF(89:89,C27,90:90)+100</f>
        <v>98</v>
      </c>
      <c r="G27" s="1917" t="s">
        <v>3071</v>
      </c>
      <c r="H27" s="1640">
        <f>SUMIF(89:89,G27,90:90)-SUMIF(89:89,C27,90:90)+100</f>
        <v>98</v>
      </c>
      <c r="I27" s="1917" t="s">
        <v>3071</v>
      </c>
      <c r="J27" s="1640">
        <f>SUMIF(89:89,I27,90:90)-SUMIF(89:89,C27,90:90)+100</f>
        <v>98</v>
      </c>
      <c r="K27" s="1918">
        <v>2</v>
      </c>
      <c r="L27" s="2917"/>
      <c r="M27" s="2913"/>
      <c r="N27" s="2913"/>
      <c r="O27" s="2913"/>
      <c r="P27" s="3581"/>
      <c r="Q27" s="2831" t="str">
        <f t="shared" ref="Q27:Q47" si="11">B27</f>
        <v>楼层</v>
      </c>
      <c r="R27" s="1654" t="s">
        <v>25</v>
      </c>
      <c r="S27" s="1655">
        <f>F27</f>
        <v>98</v>
      </c>
      <c r="T27" s="1654" t="s">
        <v>25</v>
      </c>
      <c r="U27" s="1655">
        <f>H27</f>
        <v>98</v>
      </c>
      <c r="V27" s="1654" t="s">
        <v>25</v>
      </c>
      <c r="W27" s="1655">
        <f>J27</f>
        <v>98</v>
      </c>
      <c r="X27" s="2000"/>
      <c r="Y27" s="3581"/>
      <c r="Z27" s="2004" t="str">
        <f>Q27</f>
        <v>楼层</v>
      </c>
      <c r="AA27" s="1995">
        <f t="shared" si="3"/>
        <v>1.0204081632653061</v>
      </c>
      <c r="AB27" s="1995">
        <f t="shared" si="4"/>
        <v>1.0204081632653061</v>
      </c>
      <c r="AC27" s="1995">
        <f t="shared" si="5"/>
        <v>1.0204081632653061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81"/>
      <c r="Q28" s="2830" t="str">
        <f t="shared" si="11"/>
        <v>朝向</v>
      </c>
      <c r="R28" s="1609" t="s">
        <v>25</v>
      </c>
      <c r="S28" s="1610">
        <f>F28</f>
        <v>100</v>
      </c>
      <c r="T28" s="1609" t="s">
        <v>25</v>
      </c>
      <c r="U28" s="1610">
        <f>H28</f>
        <v>100</v>
      </c>
      <c r="V28" s="1609" t="s">
        <v>25</v>
      </c>
      <c r="W28" s="1610">
        <f>J28</f>
        <v>100</v>
      </c>
      <c r="X28" s="1611"/>
      <c r="Y28" s="358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8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8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81"/>
      <c r="Q30" s="2831">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81"/>
      <c r="Q31" s="2831">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81"/>
      <c r="Q32" s="2831">
        <f t="shared" si="11"/>
        <v>111</v>
      </c>
      <c r="R32" s="1654" t="s">
        <v>25</v>
      </c>
      <c r="S32" s="1655">
        <f t="shared" si="12"/>
        <v>100</v>
      </c>
      <c r="T32" s="1654" t="s">
        <v>25</v>
      </c>
      <c r="U32" s="1655">
        <f t="shared" si="13"/>
        <v>100</v>
      </c>
      <c r="V32" s="1654" t="s">
        <v>25</v>
      </c>
      <c r="W32" s="1655">
        <f t="shared" si="14"/>
        <v>100</v>
      </c>
      <c r="X32" s="2000"/>
      <c r="Y32" s="3581"/>
      <c r="Z32" s="2004">
        <f t="shared" si="15"/>
        <v>111</v>
      </c>
      <c r="AA32" s="1995">
        <f t="shared" si="3"/>
        <v>1</v>
      </c>
      <c r="AB32" s="1995">
        <f t="shared" si="4"/>
        <v>1</v>
      </c>
      <c r="AC32" s="1995">
        <f t="shared" si="5"/>
        <v>1</v>
      </c>
    </row>
    <row r="33" spans="1:29" ht="15">
      <c r="A33" s="1646" t="s">
        <v>2035</v>
      </c>
      <c r="B33" s="1616" t="s">
        <v>2151</v>
      </c>
      <c r="C33" s="2418" t="s">
        <v>3073</v>
      </c>
      <c r="D33" s="1691">
        <v>100</v>
      </c>
      <c r="E33" s="2418" t="s">
        <v>3073</v>
      </c>
      <c r="F33" s="1683">
        <f>SUMIF(101:101,E33,102:102)-SUMIF(101:101,C33,102:102)+100</f>
        <v>100</v>
      </c>
      <c r="G33" s="2418" t="s">
        <v>3073</v>
      </c>
      <c r="H33" s="1640">
        <f>SUMIF(101:101,G33,102:102)-SUMIF(101:101,C33,102:102)+100</f>
        <v>100</v>
      </c>
      <c r="I33" s="2418" t="s">
        <v>3073</v>
      </c>
      <c r="J33" s="1691">
        <f>SUMIF(101:101,I33,102:102)-SUMIF(101:101,C33,102:102)+100</f>
        <v>100</v>
      </c>
      <c r="K33" s="1918"/>
      <c r="L33" s="2917"/>
      <c r="M33" s="2913"/>
      <c r="N33" s="2913"/>
      <c r="O33" s="2913"/>
      <c r="P33" s="3568" t="s">
        <v>2037</v>
      </c>
      <c r="Q33" s="2831" t="str">
        <f t="shared" si="11"/>
        <v>建筑类型</v>
      </c>
      <c r="R33" s="1654" t="s">
        <v>25</v>
      </c>
      <c r="S33" s="1655">
        <f t="shared" si="12"/>
        <v>100</v>
      </c>
      <c r="T33" s="1654" t="s">
        <v>25</v>
      </c>
      <c r="U33" s="1655">
        <f t="shared" si="13"/>
        <v>100</v>
      </c>
      <c r="V33" s="1654" t="s">
        <v>25</v>
      </c>
      <c r="W33" s="1655">
        <f t="shared" si="14"/>
        <v>100</v>
      </c>
      <c r="X33" s="2000"/>
      <c r="Y33" s="3569" t="s">
        <v>2037</v>
      </c>
      <c r="Z33" s="2004" t="str">
        <f t="shared" si="15"/>
        <v>建筑类型</v>
      </c>
      <c r="AA33" s="1995">
        <f t="shared" si="3"/>
        <v>1</v>
      </c>
      <c r="AB33" s="1995">
        <f t="shared" si="4"/>
        <v>1</v>
      </c>
      <c r="AC33" s="1995">
        <f t="shared" si="5"/>
        <v>1</v>
      </c>
    </row>
    <row r="34" spans="1:29" s="1699" customFormat="1" ht="15">
      <c r="A34" s="1692"/>
      <c r="B34" s="1624" t="s">
        <v>2038</v>
      </c>
      <c r="C34" s="1693">
        <f>项目基本情况!C12</f>
        <v>507.9</v>
      </c>
      <c r="D34" s="1626">
        <v>100</v>
      </c>
      <c r="E34" s="1633">
        <v>263.11</v>
      </c>
      <c r="F34" s="1628">
        <f>LOOKUP(E34,104:104,105:105)-LOOKUP(C34,104:104,105:105)+100</f>
        <v>100</v>
      </c>
      <c r="G34" s="1632">
        <v>233.52</v>
      </c>
      <c r="H34" s="1626">
        <f>LOOKUP(G34,104:104,105:105)-LOOKUP(C34,104:104,105:105)+100</f>
        <v>100</v>
      </c>
      <c r="I34" s="1632">
        <v>263.11</v>
      </c>
      <c r="J34" s="1626">
        <f>LOOKUP(I34,104:104,105:105)-LOOKUP(C34,104:104,105:105)+100</f>
        <v>100</v>
      </c>
      <c r="K34" s="1915"/>
      <c r="L34" s="2916"/>
      <c r="M34" s="1985"/>
      <c r="N34" s="1985"/>
      <c r="O34" s="1985"/>
      <c r="P34" s="3569"/>
      <c r="Q34" s="1694" t="str">
        <f t="shared" si="11"/>
        <v>项目建筑规模</v>
      </c>
      <c r="R34" s="1695" t="s">
        <v>25</v>
      </c>
      <c r="S34" s="1696">
        <f t="shared" si="12"/>
        <v>100</v>
      </c>
      <c r="T34" s="1695" t="s">
        <v>25</v>
      </c>
      <c r="U34" s="1696">
        <f t="shared" si="13"/>
        <v>100</v>
      </c>
      <c r="V34" s="1695" t="s">
        <v>25</v>
      </c>
      <c r="W34" s="1696">
        <f t="shared" si="14"/>
        <v>100</v>
      </c>
      <c r="X34" s="1697"/>
      <c r="Y34" s="3569"/>
      <c r="Z34" s="1698" t="str">
        <f t="shared" si="15"/>
        <v>项目建筑规模</v>
      </c>
      <c r="AA34" s="1995">
        <f t="shared" si="3"/>
        <v>1</v>
      </c>
      <c r="AB34" s="1995">
        <f t="shared" si="4"/>
        <v>1</v>
      </c>
      <c r="AC34" s="1995">
        <f t="shared" si="5"/>
        <v>1</v>
      </c>
    </row>
    <row r="35" spans="1:29" ht="15">
      <c r="A35" s="1700"/>
      <c r="B35" s="1624" t="s">
        <v>2039</v>
      </c>
      <c r="C35" s="3329" t="s">
        <v>3075</v>
      </c>
      <c r="D35" s="1640">
        <v>100</v>
      </c>
      <c r="E35" s="3329" t="s">
        <v>3075</v>
      </c>
      <c r="F35" s="1683">
        <f>SUMIF(106:106,E35,107:107)-SUMIF(106:106,C35,107:107)+100</f>
        <v>100</v>
      </c>
      <c r="G35" s="3329" t="s">
        <v>3075</v>
      </c>
      <c r="H35" s="1640">
        <f>SUMIF(106:106,G35,107:107)-SUMIF(106:106,C35,107:107)+100</f>
        <v>100</v>
      </c>
      <c r="I35" s="3329" t="s">
        <v>3075</v>
      </c>
      <c r="J35" s="1640">
        <f>SUMIF(106:106,I35,107:107)-SUMIF(106:106,C35,107:107)+100</f>
        <v>100</v>
      </c>
      <c r="K35" s="1918">
        <v>2</v>
      </c>
      <c r="L35" s="2917"/>
      <c r="M35" s="2913"/>
      <c r="N35" s="2913"/>
      <c r="O35" s="2913"/>
      <c r="P35" s="3569"/>
      <c r="Q35" s="2831" t="str">
        <f t="shared" si="11"/>
        <v>建筑结构</v>
      </c>
      <c r="R35" s="1654" t="s">
        <v>25</v>
      </c>
      <c r="S35" s="1655">
        <f t="shared" si="12"/>
        <v>100</v>
      </c>
      <c r="T35" s="1654" t="s">
        <v>25</v>
      </c>
      <c r="U35" s="1655">
        <f t="shared" si="13"/>
        <v>100</v>
      </c>
      <c r="V35" s="1654" t="s">
        <v>25</v>
      </c>
      <c r="W35" s="1655">
        <f t="shared" si="14"/>
        <v>100</v>
      </c>
      <c r="X35" s="2000"/>
      <c r="Y35" s="3569"/>
      <c r="Z35" s="2004" t="str">
        <f t="shared" si="15"/>
        <v>建筑结构</v>
      </c>
      <c r="AA35" s="1995">
        <f t="shared" si="3"/>
        <v>1</v>
      </c>
      <c r="AB35" s="1995">
        <f t="shared" si="4"/>
        <v>1</v>
      </c>
      <c r="AC35" s="1995">
        <f t="shared" si="5"/>
        <v>1</v>
      </c>
    </row>
    <row r="36" spans="1:29" ht="15">
      <c r="A36" s="1700"/>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18">
        <v>2</v>
      </c>
      <c r="L36" s="2917"/>
      <c r="M36" s="2913"/>
      <c r="N36" s="2913"/>
      <c r="O36" s="2913"/>
      <c r="P36" s="3569"/>
      <c r="Q36" s="2831" t="str">
        <f t="shared" si="11"/>
        <v>公共部分装修</v>
      </c>
      <c r="R36" s="1654" t="s">
        <v>25</v>
      </c>
      <c r="S36" s="1655">
        <f t="shared" si="12"/>
        <v>100</v>
      </c>
      <c r="T36" s="1654" t="s">
        <v>25</v>
      </c>
      <c r="U36" s="1655">
        <f t="shared" si="13"/>
        <v>100</v>
      </c>
      <c r="V36" s="1654" t="s">
        <v>25</v>
      </c>
      <c r="W36" s="1655">
        <f t="shared" si="14"/>
        <v>100</v>
      </c>
      <c r="X36" s="2000"/>
      <c r="Y36" s="3569"/>
      <c r="Z36" s="2004" t="str">
        <f t="shared" si="15"/>
        <v>公共部分装修</v>
      </c>
      <c r="AA36" s="1995">
        <f t="shared" si="3"/>
        <v>1</v>
      </c>
      <c r="AB36" s="1995">
        <f t="shared" si="4"/>
        <v>1</v>
      </c>
      <c r="AC36" s="1995">
        <f t="shared" si="5"/>
        <v>1</v>
      </c>
    </row>
    <row r="37" spans="1:29" ht="15">
      <c r="A37" s="1700"/>
      <c r="B37" s="1624" t="s">
        <v>2125</v>
      </c>
      <c r="C37" s="1704">
        <f>'数据-取费表'!E20</f>
        <v>0.87</v>
      </c>
      <c r="D37" s="1640">
        <v>100</v>
      </c>
      <c r="E37" s="1704">
        <f>C37</f>
        <v>0.87</v>
      </c>
      <c r="F37" s="1683">
        <f>LOOKUP(E37,111:111,112:112)-LOOKUP(C37,111:111,112:112)+100</f>
        <v>100</v>
      </c>
      <c r="G37" s="1704">
        <f>E37</f>
        <v>0.87</v>
      </c>
      <c r="H37" s="1683">
        <f>LOOKUP(G37,111:111,112:112)-LOOKUP(C37,111:111,112:112)+100</f>
        <v>100</v>
      </c>
      <c r="I37" s="1704">
        <f>G37</f>
        <v>0.87</v>
      </c>
      <c r="J37" s="1640">
        <f>LOOKUP(I37,111:111,112:112)-LOOKUP(C37,111:111,112:112)+100</f>
        <v>100</v>
      </c>
      <c r="K37" s="1918">
        <v>2</v>
      </c>
      <c r="L37" s="2917"/>
      <c r="M37" s="2913"/>
      <c r="N37" s="2913"/>
      <c r="O37" s="2913"/>
      <c r="P37" s="3569"/>
      <c r="Q37" s="2831" t="str">
        <f t="shared" si="11"/>
        <v>成新度</v>
      </c>
      <c r="R37" s="1654" t="s">
        <v>25</v>
      </c>
      <c r="S37" s="1655">
        <f t="shared" si="12"/>
        <v>100</v>
      </c>
      <c r="T37" s="1654" t="s">
        <v>25</v>
      </c>
      <c r="U37" s="1655">
        <f t="shared" si="13"/>
        <v>100</v>
      </c>
      <c r="V37" s="1654" t="s">
        <v>25</v>
      </c>
      <c r="W37" s="1655">
        <f t="shared" si="14"/>
        <v>100</v>
      </c>
      <c r="X37" s="2000"/>
      <c r="Y37" s="3569"/>
      <c r="Z37" s="2004" t="str">
        <f t="shared" si="15"/>
        <v>成新度</v>
      </c>
      <c r="AA37" s="1995">
        <f t="shared" si="3"/>
        <v>1</v>
      </c>
      <c r="AB37" s="1995">
        <f t="shared" si="4"/>
        <v>1</v>
      </c>
      <c r="AC37" s="1995">
        <f t="shared" si="5"/>
        <v>1</v>
      </c>
    </row>
    <row r="38" spans="1:29" s="1613" customFormat="1" ht="15">
      <c r="A38" s="1703"/>
      <c r="B38" s="1624" t="s">
        <v>2152</v>
      </c>
      <c r="C38" s="1681" t="s">
        <v>3081</v>
      </c>
      <c r="D38" s="1626">
        <v>100</v>
      </c>
      <c r="E38" s="1681" t="s">
        <v>3081</v>
      </c>
      <c r="F38" s="1683">
        <f>SUMIF(113:113,E38,114:114)-SUMIF(113:113,C38,114:114)+100</f>
        <v>100</v>
      </c>
      <c r="G38" s="1681" t="s">
        <v>3081</v>
      </c>
      <c r="H38" s="1640">
        <f>SUMIF(113:113,G38,114:114)-SUMIF(113:113,C38,114:114)+100</f>
        <v>100</v>
      </c>
      <c r="I38" s="1681" t="s">
        <v>3081</v>
      </c>
      <c r="J38" s="1640">
        <f>SUMIF(113:113,I38,114:114)-SUMIF(113:113,C38,114:114)+100</f>
        <v>100</v>
      </c>
      <c r="K38" s="1918">
        <v>2</v>
      </c>
      <c r="L38" s="2912"/>
      <c r="M38" s="2885"/>
      <c r="N38" s="2885"/>
      <c r="O38" s="2885"/>
      <c r="P38" s="3569"/>
      <c r="Q38" s="2830" t="str">
        <f t="shared" si="11"/>
        <v>写字楼等级</v>
      </c>
      <c r="R38" s="1609" t="s">
        <v>25</v>
      </c>
      <c r="S38" s="1610">
        <f t="shared" si="12"/>
        <v>100</v>
      </c>
      <c r="T38" s="1609" t="s">
        <v>25</v>
      </c>
      <c r="U38" s="1610">
        <f t="shared" si="13"/>
        <v>100</v>
      </c>
      <c r="V38" s="1609" t="s">
        <v>25</v>
      </c>
      <c r="W38" s="1610">
        <f t="shared" si="14"/>
        <v>100</v>
      </c>
      <c r="X38" s="1611"/>
      <c r="Y38" s="3569"/>
      <c r="Z38" s="1622" t="str">
        <f t="shared" si="15"/>
        <v>写字楼等级</v>
      </c>
      <c r="AA38" s="1612">
        <f t="shared" si="3"/>
        <v>1</v>
      </c>
      <c r="AB38" s="1612">
        <f t="shared" si="4"/>
        <v>1</v>
      </c>
      <c r="AC38" s="1612">
        <f t="shared" si="5"/>
        <v>1</v>
      </c>
    </row>
    <row r="39" spans="1:29" ht="15">
      <c r="A39" s="1700"/>
      <c r="B39" s="1624" t="s">
        <v>2153</v>
      </c>
      <c r="C39" s="1681" t="s">
        <v>3060</v>
      </c>
      <c r="D39" s="1640">
        <v>100</v>
      </c>
      <c r="E39" s="1681" t="s">
        <v>3060</v>
      </c>
      <c r="F39" s="1683">
        <f>SUMIF(115:115,E39,116:116)-SUMIF(115:115,C39,116:116)+100</f>
        <v>100</v>
      </c>
      <c r="G39" s="1681" t="s">
        <v>3060</v>
      </c>
      <c r="H39" s="1640">
        <f>SUMIF(115:115,G39,116:116)-SUMIF(115:115,C39,116:116)+100</f>
        <v>100</v>
      </c>
      <c r="I39" s="1681" t="s">
        <v>3060</v>
      </c>
      <c r="J39" s="1640">
        <f>SUMIF(115:115,I39,116:116)-SUMIF(115:115,C39,116:116)+100</f>
        <v>100</v>
      </c>
      <c r="K39" s="1918">
        <v>1</v>
      </c>
      <c r="L39" s="2917"/>
      <c r="M39" s="2913"/>
      <c r="N39" s="2913"/>
      <c r="O39" s="2913"/>
      <c r="P39" s="3569" t="s">
        <v>2037</v>
      </c>
      <c r="Q39" s="2831" t="str">
        <f t="shared" si="11"/>
        <v>物业管理</v>
      </c>
      <c r="R39" s="1654" t="s">
        <v>25</v>
      </c>
      <c r="S39" s="1655">
        <f t="shared" si="12"/>
        <v>100</v>
      </c>
      <c r="T39" s="1654" t="s">
        <v>25</v>
      </c>
      <c r="U39" s="1655">
        <f t="shared" si="13"/>
        <v>100</v>
      </c>
      <c r="V39" s="1654" t="s">
        <v>25</v>
      </c>
      <c r="W39" s="1655">
        <f t="shared" si="14"/>
        <v>100</v>
      </c>
      <c r="X39" s="2000"/>
      <c r="Y39" s="3569" t="s">
        <v>2037</v>
      </c>
      <c r="Z39" s="2004" t="str">
        <f t="shared" si="15"/>
        <v>物业管理</v>
      </c>
      <c r="AA39" s="1995">
        <f t="shared" si="3"/>
        <v>1</v>
      </c>
      <c r="AB39" s="1995">
        <f t="shared" si="4"/>
        <v>1</v>
      </c>
      <c r="AC39" s="1995">
        <f t="shared" si="5"/>
        <v>1</v>
      </c>
    </row>
    <row r="40" spans="1:29" ht="15">
      <c r="A40" s="1700"/>
      <c r="B40" s="1624" t="s">
        <v>2126</v>
      </c>
      <c r="C40" s="1681" t="s">
        <v>3057</v>
      </c>
      <c r="D40" s="1640">
        <v>100</v>
      </c>
      <c r="E40" s="1681" t="s">
        <v>3057</v>
      </c>
      <c r="F40" s="1683">
        <f>SUMIF(117:117,E40,118:118)-SUMIF(117:117,C40,118:118)+100</f>
        <v>100</v>
      </c>
      <c r="G40" s="1681" t="s">
        <v>3057</v>
      </c>
      <c r="H40" s="1640">
        <f>SUMIF(117:117,G40,118:118)-SUMIF(117:117,C40,118:118)+100</f>
        <v>100</v>
      </c>
      <c r="I40" s="1681" t="s">
        <v>3057</v>
      </c>
      <c r="J40" s="1640">
        <f>SUMIF(117:117,I40,118:118)-SUMIF(117:117,C40,118:118)+100</f>
        <v>100</v>
      </c>
      <c r="K40" s="1918">
        <v>2</v>
      </c>
      <c r="L40" s="2917"/>
      <c r="M40" s="2913"/>
      <c r="N40" s="2913"/>
      <c r="O40" s="2913"/>
      <c r="P40" s="3569"/>
      <c r="Q40" s="2831" t="str">
        <f t="shared" si="11"/>
        <v>市政基础设施</v>
      </c>
      <c r="R40" s="1654" t="s">
        <v>25</v>
      </c>
      <c r="S40" s="1655">
        <f t="shared" si="12"/>
        <v>100</v>
      </c>
      <c r="T40" s="1654" t="s">
        <v>25</v>
      </c>
      <c r="U40" s="1655">
        <f t="shared" si="13"/>
        <v>100</v>
      </c>
      <c r="V40" s="1654" t="s">
        <v>25</v>
      </c>
      <c r="W40" s="1655">
        <f t="shared" si="14"/>
        <v>100</v>
      </c>
      <c r="X40" s="2000"/>
      <c r="Y40" s="3569"/>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69"/>
      <c r="Q41" s="2831" t="str">
        <f t="shared" si="11"/>
        <v>层高</v>
      </c>
      <c r="R41" s="1654" t="s">
        <v>25</v>
      </c>
      <c r="S41" s="1655">
        <f t="shared" si="12"/>
        <v>100</v>
      </c>
      <c r="T41" s="1654" t="s">
        <v>25</v>
      </c>
      <c r="U41" s="1655">
        <f t="shared" si="13"/>
        <v>100</v>
      </c>
      <c r="V41" s="1654" t="s">
        <v>25</v>
      </c>
      <c r="W41" s="1655">
        <f t="shared" si="14"/>
        <v>100</v>
      </c>
      <c r="X41" s="2000"/>
      <c r="Y41" s="3569"/>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69"/>
      <c r="Q42" s="1694" t="str">
        <f t="shared" si="11"/>
        <v>单套建筑面积</v>
      </c>
      <c r="R42" s="1695" t="s">
        <v>25</v>
      </c>
      <c r="S42" s="1696">
        <f t="shared" si="12"/>
        <v>100</v>
      </c>
      <c r="T42" s="1695" t="s">
        <v>25</v>
      </c>
      <c r="U42" s="1696">
        <f t="shared" si="13"/>
        <v>100</v>
      </c>
      <c r="V42" s="1695" t="s">
        <v>25</v>
      </c>
      <c r="W42" s="1696">
        <f t="shared" si="14"/>
        <v>100</v>
      </c>
      <c r="X42" s="1697"/>
      <c r="Y42" s="3569"/>
      <c r="Z42" s="1698" t="str">
        <f t="shared" si="15"/>
        <v>单套建筑面积</v>
      </c>
      <c r="AA42" s="1995">
        <f t="shared" si="3"/>
        <v>1</v>
      </c>
      <c r="AB42" s="1995">
        <f t="shared" si="4"/>
        <v>1</v>
      </c>
      <c r="AC42" s="1995">
        <f t="shared" si="5"/>
        <v>1</v>
      </c>
    </row>
    <row r="43" spans="1:29" ht="15">
      <c r="A43" s="1700"/>
      <c r="B43" s="1624" t="s">
        <v>2131</v>
      </c>
      <c r="C43" s="1681" t="s">
        <v>3079</v>
      </c>
      <c r="D43" s="1640">
        <v>100</v>
      </c>
      <c r="E43" s="1681" t="s">
        <v>3087</v>
      </c>
      <c r="F43" s="1683">
        <f>SUMIF(123:123,E43,124:124)-SUMIF(123:123,C43,124:124)+100</f>
        <v>98</v>
      </c>
      <c r="G43" s="1681" t="s">
        <v>3087</v>
      </c>
      <c r="H43" s="1640">
        <f>SUMIF(123:123,G43,124:124)-SUMIF(123:123,C43,124:124)+100</f>
        <v>98</v>
      </c>
      <c r="I43" s="1681" t="s">
        <v>3089</v>
      </c>
      <c r="J43" s="1640">
        <f>SUMIF(123:123,I43,124:124)-SUMIF(123:123,C43,124:124)+100</f>
        <v>96</v>
      </c>
      <c r="K43" s="1918">
        <v>2</v>
      </c>
      <c r="L43" s="2917"/>
      <c r="M43" s="2913"/>
      <c r="N43" s="2913"/>
      <c r="O43" s="2913"/>
      <c r="P43" s="3569"/>
      <c r="Q43" s="2831" t="str">
        <f t="shared" si="11"/>
        <v>内部装修</v>
      </c>
      <c r="R43" s="1654" t="s">
        <v>25</v>
      </c>
      <c r="S43" s="1655">
        <f t="shared" si="12"/>
        <v>98</v>
      </c>
      <c r="T43" s="1654" t="s">
        <v>25</v>
      </c>
      <c r="U43" s="1655">
        <f t="shared" si="13"/>
        <v>98</v>
      </c>
      <c r="V43" s="1654" t="s">
        <v>25</v>
      </c>
      <c r="W43" s="1655">
        <f t="shared" si="14"/>
        <v>96</v>
      </c>
      <c r="X43" s="2000"/>
      <c r="Y43" s="3569"/>
      <c r="Z43" s="2004" t="str">
        <f t="shared" si="15"/>
        <v>内部装修</v>
      </c>
      <c r="AA43" s="1995">
        <f t="shared" si="3"/>
        <v>1.0204081632653061</v>
      </c>
      <c r="AB43" s="1995">
        <f t="shared" si="4"/>
        <v>1.0204081632653061</v>
      </c>
      <c r="AC43" s="1995">
        <f t="shared" si="5"/>
        <v>1.0416666666666667</v>
      </c>
    </row>
    <row r="44" spans="1:29" ht="15">
      <c r="A44" s="1700"/>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18">
        <v>2</v>
      </c>
      <c r="L44" s="2917"/>
      <c r="M44" s="2913"/>
      <c r="N44" s="2913"/>
      <c r="O44" s="2913"/>
      <c r="P44" s="3569"/>
      <c r="Q44" s="2831" t="str">
        <f t="shared" si="11"/>
        <v>内部装修维护情况</v>
      </c>
      <c r="R44" s="1654" t="s">
        <v>25</v>
      </c>
      <c r="S44" s="1655">
        <f t="shared" si="12"/>
        <v>100</v>
      </c>
      <c r="T44" s="1654" t="s">
        <v>25</v>
      </c>
      <c r="U44" s="1655">
        <f t="shared" si="13"/>
        <v>100</v>
      </c>
      <c r="V44" s="1654" t="s">
        <v>25</v>
      </c>
      <c r="W44" s="1655">
        <f t="shared" si="14"/>
        <v>100</v>
      </c>
      <c r="X44" s="2000"/>
      <c r="Y44" s="3569"/>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69"/>
      <c r="Q45" s="2830">
        <f t="shared" si="11"/>
        <v>111</v>
      </c>
      <c r="R45" s="1609" t="s">
        <v>25</v>
      </c>
      <c r="S45" s="1610">
        <f t="shared" si="12"/>
        <v>100</v>
      </c>
      <c r="T45" s="1609" t="s">
        <v>25</v>
      </c>
      <c r="U45" s="1610">
        <f t="shared" si="13"/>
        <v>100</v>
      </c>
      <c r="V45" s="1609" t="s">
        <v>25</v>
      </c>
      <c r="W45" s="1610">
        <f t="shared" si="14"/>
        <v>100</v>
      </c>
      <c r="X45" s="1611"/>
      <c r="Y45" s="3569"/>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69"/>
      <c r="Q46" s="2831">
        <f t="shared" si="11"/>
        <v>111</v>
      </c>
      <c r="R46" s="1654" t="s">
        <v>25</v>
      </c>
      <c r="S46" s="1655">
        <f t="shared" si="12"/>
        <v>100</v>
      </c>
      <c r="T46" s="1654" t="s">
        <v>25</v>
      </c>
      <c r="U46" s="1655">
        <f t="shared" si="13"/>
        <v>100</v>
      </c>
      <c r="V46" s="1654" t="s">
        <v>25</v>
      </c>
      <c r="W46" s="1655">
        <f t="shared" si="14"/>
        <v>100</v>
      </c>
      <c r="X46" s="2000"/>
      <c r="Y46" s="3569"/>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70"/>
      <c r="Q47" s="2831">
        <f t="shared" si="11"/>
        <v>111</v>
      </c>
      <c r="R47" s="1654" t="s">
        <v>25</v>
      </c>
      <c r="S47" s="1655">
        <f t="shared" si="12"/>
        <v>100</v>
      </c>
      <c r="T47" s="1654" t="s">
        <v>25</v>
      </c>
      <c r="U47" s="1655">
        <f t="shared" si="13"/>
        <v>100</v>
      </c>
      <c r="V47" s="1654" t="s">
        <v>25</v>
      </c>
      <c r="W47" s="1655">
        <f t="shared" si="14"/>
        <v>100</v>
      </c>
      <c r="X47" s="2000"/>
      <c r="Y47" s="3570"/>
      <c r="Z47" s="2004">
        <f t="shared" si="15"/>
        <v>111</v>
      </c>
      <c r="AA47" s="1995">
        <f t="shared" si="3"/>
        <v>1</v>
      </c>
      <c r="AB47" s="1995">
        <f t="shared" si="4"/>
        <v>1</v>
      </c>
      <c r="AC47" s="1995">
        <f t="shared" si="5"/>
        <v>1</v>
      </c>
    </row>
    <row r="48" spans="1:29" ht="15">
      <c r="A48" s="1707" t="s">
        <v>2049</v>
      </c>
      <c r="B48" s="1708"/>
      <c r="C48" s="1709" t="s">
        <v>1</v>
      </c>
      <c r="D48" s="1710"/>
      <c r="E48" s="1711">
        <f>ROUND(40288*E51,0)</f>
        <v>39482</v>
      </c>
      <c r="F48" s="1712"/>
      <c r="G48" s="1713">
        <f>ROUND(38969*E51,0)</f>
        <v>38190</v>
      </c>
      <c r="H48" s="1714"/>
      <c r="I48" s="1711">
        <f>ROUND(43001*E51,0)</f>
        <v>42141</v>
      </c>
      <c r="J48" s="1714"/>
      <c r="K48" s="1939"/>
      <c r="L48" s="2918"/>
      <c r="M48" s="2913"/>
      <c r="N48" s="2913"/>
      <c r="O48" s="2913"/>
      <c r="P48" s="3563" t="str">
        <f>A48</f>
        <v>成交单价（元/平方米）</v>
      </c>
      <c r="Q48" s="3563"/>
      <c r="R48" s="3564">
        <f>E48</f>
        <v>39482</v>
      </c>
      <c r="S48" s="3564"/>
      <c r="T48" s="3564">
        <f>G48</f>
        <v>38190</v>
      </c>
      <c r="U48" s="3564"/>
      <c r="V48" s="3564">
        <f>I48</f>
        <v>42141</v>
      </c>
      <c r="W48" s="3564"/>
      <c r="X48" s="1717"/>
      <c r="Y48" s="1999"/>
      <c r="Z48" s="1717"/>
      <c r="AA48" s="1717"/>
      <c r="AB48" s="1717"/>
      <c r="AC48" s="1717"/>
    </row>
    <row r="49" spans="1:29" ht="15.75" thickBot="1">
      <c r="A49" s="1719" t="s">
        <v>2132</v>
      </c>
      <c r="B49" s="1720"/>
      <c r="C49" s="1721">
        <f>R50</f>
        <v>41889</v>
      </c>
      <c r="D49" s="1722" t="s">
        <v>2503</v>
      </c>
      <c r="E49" s="1723">
        <f>R49</f>
        <v>41110</v>
      </c>
      <c r="F49" s="1724"/>
      <c r="G49" s="1721">
        <f>T49</f>
        <v>39765</v>
      </c>
      <c r="H49" s="1724"/>
      <c r="I49" s="1723">
        <f>V49</f>
        <v>44793</v>
      </c>
      <c r="J49" s="1724"/>
      <c r="K49" s="2426">
        <f>F49+H49+J49</f>
        <v>0</v>
      </c>
      <c r="L49" s="2918"/>
      <c r="M49" s="2913"/>
      <c r="N49" s="2913"/>
      <c r="O49" s="2913"/>
      <c r="P49" s="3563" t="str">
        <f>A49</f>
        <v>比较价值（元/平方米）</v>
      </c>
      <c r="Q49" s="3563"/>
      <c r="R49" s="3564">
        <f>IF(E1="售价",ROUND(PRODUCT(R48,AA7:AA47),0),ROUND(PRODUCT(R48,AA7:AA47),1))</f>
        <v>41110</v>
      </c>
      <c r="S49" s="3564"/>
      <c r="T49" s="3564">
        <f>IF(E1="售价",ROUND(PRODUCT(T48,AB7:AB47),0),ROUND(PRODUCT(T48,AB7:AB47),1))</f>
        <v>39765</v>
      </c>
      <c r="U49" s="3564"/>
      <c r="V49" s="3564">
        <f>IF(E1="售价",ROUND(PRODUCT(V48,AC7:AC47),0),ROUND(PRODUCT(V48,AC7:AC47),1))</f>
        <v>44793</v>
      </c>
      <c r="W49" s="3564"/>
      <c r="X49" s="1717"/>
      <c r="Y49" s="1717"/>
      <c r="Z49" s="1717"/>
      <c r="AA49" s="1717"/>
      <c r="AB49" s="1717"/>
      <c r="AC49" s="1717"/>
    </row>
    <row r="50" spans="1:29" ht="15.75" thickBot="1">
      <c r="A50" s="1725" t="s">
        <v>2155</v>
      </c>
      <c r="B50" s="1726"/>
      <c r="C50" s="1728">
        <f>R50</f>
        <v>41889</v>
      </c>
      <c r="D50" s="1728"/>
      <c r="E50" s="1728"/>
      <c r="F50" s="1728"/>
      <c r="G50" s="1728"/>
      <c r="H50" s="1728"/>
      <c r="I50" s="1728"/>
      <c r="J50" s="1728"/>
      <c r="K50" s="1944"/>
      <c r="L50" s="2918"/>
      <c r="M50" s="2913"/>
      <c r="N50" s="2913"/>
      <c r="O50" s="2913"/>
      <c r="P50" s="3565" t="str">
        <f>A50</f>
        <v>估价对象XX用房的比较价值（楼面单价，元/平方米）</v>
      </c>
      <c r="Q50" s="3566"/>
      <c r="R50" s="3567">
        <f>IF(E1="售价",ROUND(IF(D49="简单平均",AVERAGE(R49:V49),R49*F49+T49*H49+V49*J49),0),ROUND(IF(D49="简单平均",AVERAGE(R49:V49),R49*F49+T49*H49+V49*J49),1))</f>
        <v>41889</v>
      </c>
      <c r="S50" s="3567"/>
      <c r="T50" s="3567"/>
      <c r="U50" s="3567"/>
      <c r="V50" s="3567"/>
      <c r="W50" s="3567"/>
      <c r="X50" s="1717"/>
      <c r="Y50" s="1717"/>
      <c r="Z50" s="1717"/>
      <c r="AA50" s="1717"/>
      <c r="AB50" s="1717"/>
      <c r="AC50" s="1717"/>
    </row>
    <row r="51" spans="1:29">
      <c r="E51" s="1595">
        <v>0.98</v>
      </c>
      <c r="G51" s="2922"/>
    </row>
    <row r="53" spans="1:29" ht="13.5" customHeight="1">
      <c r="C53" s="383" t="s">
        <v>2134</v>
      </c>
      <c r="D53" s="1733"/>
      <c r="E53" s="1734">
        <f>IF(E48&lt;E49,E49/E48-1,E48/E49-1)</f>
        <v>4.1233980041537999E-2</v>
      </c>
      <c r="F53" s="1735" t="str">
        <f>IF(OR(E53&gt;=0.3,E53&lt;=-0.3),"超过30%","")</f>
        <v/>
      </c>
      <c r="G53" s="1734">
        <f>IF(G48&lt;G49,G49/G48-1,G48/G49-1)</f>
        <v>4.1241162608012472E-2</v>
      </c>
      <c r="H53" s="1735" t="str">
        <f>IF(OR(G53&gt;=0.3,G53&lt;=-0.3),"超过30%","")</f>
        <v/>
      </c>
      <c r="I53" s="1734">
        <f>IF(I48&lt;I49,I49/I48-1,I48/I49-1)</f>
        <v>6.293158681569011E-2</v>
      </c>
      <c r="J53" s="1735" t="str">
        <f>IF(OR(I53&gt;=0.3,I53&lt;=-0.3),"超过30%","")</f>
        <v/>
      </c>
    </row>
    <row r="54" spans="1:29" ht="13.5" customHeight="1">
      <c r="C54" s="383" t="s">
        <v>2135</v>
      </c>
      <c r="D54" s="1736"/>
      <c r="E54" s="1734">
        <f>IF(E49&lt;G49,G49/E49-1,E49/G49-1)</f>
        <v>3.3823714321639553E-2</v>
      </c>
      <c r="F54" s="1735" t="str">
        <f>IF(OR(E54&gt;=0.2,E54&lt;=-0.2),"超过20%","")</f>
        <v/>
      </c>
      <c r="G54" s="1734">
        <f>IF(G49&lt;I49,I49/G49-1,G49/I49-1)</f>
        <v>0.12644285175405501</v>
      </c>
      <c r="H54" s="1735" t="str">
        <f>IF(OR(G54&gt;=0.2,G54&lt;=-0.2),"超过20%","")</f>
        <v/>
      </c>
      <c r="I54" s="1734">
        <f>IF(I49&lt;E49,E49/I49-1,I49/E49-1)</f>
        <v>8.9588907808319185E-2</v>
      </c>
      <c r="J54" s="1735" t="str">
        <f>IF(OR(I54&gt;=0.2,I54&lt;=-0.2),"超过20%","")</f>
        <v/>
      </c>
    </row>
    <row r="55" spans="1:29" s="1739" customFormat="1" ht="13.5" customHeight="1">
      <c r="C55" s="383" t="s">
        <v>2136</v>
      </c>
      <c r="D55" s="1736"/>
      <c r="E55" s="1734">
        <f>IF(E48&lt;G48,G48/E48-1,E48/G48-1)</f>
        <v>3.3830845771144258E-2</v>
      </c>
      <c r="F55" s="1735" t="str">
        <f>IF(OR(E55&gt;=0.3,E55&lt;=-0.3),"超过30%","")</f>
        <v/>
      </c>
      <c r="G55" s="1734">
        <f>IF(G48&lt;I48,I48/G48-1,G48/I48-1)</f>
        <v>0.10345640219952856</v>
      </c>
      <c r="H55" s="1735" t="str">
        <f>IF(OR(G55&gt;=0.3,G55&lt;=-0.3),"超过30%","")</f>
        <v/>
      </c>
      <c r="I55" s="1734">
        <f>IF(I48&lt;E48,E48/I48-1,I48/E48-1)</f>
        <v>6.7347145534674135E-2</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办公</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3068</v>
      </c>
      <c r="D89" s="3324" t="s">
        <v>3070</v>
      </c>
      <c r="E89" s="3324" t="s">
        <v>3072</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3074</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c r="I104" s="1827"/>
      <c r="J104" s="485"/>
      <c r="K104" s="485"/>
      <c r="L104" s="485"/>
      <c r="M104" s="1828"/>
      <c r="N104" s="2933"/>
      <c r="O104" s="2933"/>
      <c r="P104" s="1984"/>
      <c r="Q104" s="1799"/>
    </row>
    <row r="105" spans="1:17" s="1699" customFormat="1" ht="15.75" thickBot="1">
      <c r="A105" s="1795"/>
      <c r="B105" s="1787"/>
      <c r="C105" s="1800">
        <v>98</v>
      </c>
      <c r="D105" s="1781">
        <v>100</v>
      </c>
      <c r="E105" s="1781">
        <v>98</v>
      </c>
      <c r="F105" s="1781">
        <v>96</v>
      </c>
      <c r="G105" s="1781"/>
      <c r="H105" s="1781"/>
      <c r="I105" s="1781"/>
      <c r="J105" s="1781"/>
      <c r="K105" s="1781"/>
      <c r="L105" s="1781"/>
      <c r="M105" s="1782"/>
      <c r="N105" s="2932"/>
      <c r="O105" s="2932"/>
      <c r="P105" s="1984"/>
      <c r="Q105" s="1799"/>
    </row>
    <row r="106" spans="1:17" ht="15" thickTop="1">
      <c r="A106" s="1829"/>
      <c r="B106" s="1784" t="s">
        <v>2086</v>
      </c>
      <c r="C106" s="3324" t="s">
        <v>3075</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98</v>
      </c>
      <c r="E107" s="1788">
        <f t="shared" si="24"/>
        <v>96</v>
      </c>
      <c r="F107" s="1788">
        <f t="shared" si="24"/>
        <v>94</v>
      </c>
      <c r="G107" s="1788">
        <f t="shared" si="24"/>
        <v>92</v>
      </c>
      <c r="H107" s="1788">
        <f t="shared" si="24"/>
        <v>90</v>
      </c>
      <c r="I107" s="1788">
        <f t="shared" si="24"/>
        <v>88</v>
      </c>
      <c r="J107" s="1788">
        <f t="shared" si="24"/>
        <v>86</v>
      </c>
      <c r="K107" s="1788">
        <f t="shared" si="24"/>
        <v>84</v>
      </c>
      <c r="L107" s="1788">
        <f t="shared" si="24"/>
        <v>82</v>
      </c>
      <c r="M107" s="1789">
        <f t="shared" si="24"/>
        <v>80</v>
      </c>
      <c r="N107" s="2932"/>
      <c r="O107" s="2932"/>
      <c r="P107" s="1983"/>
      <c r="Q107" s="1747"/>
    </row>
    <row r="108" spans="1:17" ht="15" thickTop="1">
      <c r="A108" s="1829"/>
      <c r="B108" s="1784" t="s">
        <v>2088</v>
      </c>
      <c r="C108" s="3324" t="s">
        <v>3085</v>
      </c>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102</v>
      </c>
      <c r="E112" s="1788">
        <f t="shared" ref="E112:M112" si="26">D112+$K37</f>
        <v>104</v>
      </c>
      <c r="F112" s="1788">
        <f t="shared" si="26"/>
        <v>106</v>
      </c>
      <c r="G112" s="1788">
        <f t="shared" si="26"/>
        <v>108</v>
      </c>
      <c r="H112" s="1788">
        <f t="shared" si="26"/>
        <v>110</v>
      </c>
      <c r="I112" s="1788">
        <f t="shared" si="26"/>
        <v>112</v>
      </c>
      <c r="J112" s="1788">
        <f t="shared" si="26"/>
        <v>114</v>
      </c>
      <c r="K112" s="1788">
        <f t="shared" si="26"/>
        <v>116</v>
      </c>
      <c r="L112" s="1788">
        <f t="shared" si="26"/>
        <v>118</v>
      </c>
      <c r="M112" s="1788">
        <f t="shared" si="26"/>
        <v>120</v>
      </c>
      <c r="N112" s="2932"/>
      <c r="O112" s="2932"/>
      <c r="P112" s="1983"/>
      <c r="Q112" s="1747"/>
    </row>
    <row r="113" spans="1:17" s="1699" customFormat="1" ht="15" thickTop="1">
      <c r="A113" s="1825"/>
      <c r="B113" s="1784" t="s">
        <v>2159</v>
      </c>
      <c r="C113" s="3324" t="s">
        <v>3082</v>
      </c>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98</v>
      </c>
      <c r="E114" s="1788">
        <f t="shared" ref="E114:M114" si="27">D114-$K38</f>
        <v>96</v>
      </c>
      <c r="F114" s="1788">
        <f t="shared" si="27"/>
        <v>94</v>
      </c>
      <c r="G114" s="1788">
        <f t="shared" si="27"/>
        <v>92</v>
      </c>
      <c r="H114" s="1788">
        <f t="shared" si="27"/>
        <v>90</v>
      </c>
      <c r="I114" s="1788">
        <f t="shared" si="27"/>
        <v>88</v>
      </c>
      <c r="J114" s="1788">
        <f t="shared" si="27"/>
        <v>86</v>
      </c>
      <c r="K114" s="1788">
        <f t="shared" si="27"/>
        <v>84</v>
      </c>
      <c r="L114" s="1788">
        <f t="shared" si="27"/>
        <v>82</v>
      </c>
      <c r="M114" s="1788">
        <f t="shared" si="27"/>
        <v>80</v>
      </c>
      <c r="N114" s="2933"/>
      <c r="O114" s="2933"/>
      <c r="P114" s="1984"/>
      <c r="Q114" s="1799"/>
    </row>
    <row r="115" spans="1:17" ht="15" thickTop="1">
      <c r="A115" s="1829"/>
      <c r="B115" s="1784" t="s">
        <v>2090</v>
      </c>
      <c r="C115" s="3324" t="s">
        <v>3083</v>
      </c>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99</v>
      </c>
      <c r="E116" s="1788">
        <f t="shared" si="28"/>
        <v>98</v>
      </c>
      <c r="F116" s="1788">
        <f t="shared" si="28"/>
        <v>97</v>
      </c>
      <c r="G116" s="1788">
        <f t="shared" si="28"/>
        <v>96</v>
      </c>
      <c r="H116" s="1788">
        <f t="shared" si="28"/>
        <v>95</v>
      </c>
      <c r="I116" s="1788">
        <f t="shared" si="28"/>
        <v>94</v>
      </c>
      <c r="J116" s="1788">
        <f t="shared" si="28"/>
        <v>93</v>
      </c>
      <c r="K116" s="1788">
        <f t="shared" si="28"/>
        <v>92</v>
      </c>
      <c r="L116" s="1788">
        <f t="shared" si="28"/>
        <v>91</v>
      </c>
      <c r="M116" s="1789">
        <f t="shared" si="28"/>
        <v>90</v>
      </c>
      <c r="N116" s="2932"/>
      <c r="O116" s="2932"/>
      <c r="P116" s="1983"/>
      <c r="Q116" s="1747"/>
    </row>
    <row r="117" spans="1:17" ht="15" thickTop="1">
      <c r="A117" s="1829"/>
      <c r="B117" s="1784" t="s">
        <v>2091</v>
      </c>
      <c r="C117" s="3324" t="s">
        <v>3084</v>
      </c>
      <c r="D117" s="468"/>
      <c r="E117" s="468"/>
      <c r="F117" s="468"/>
      <c r="G117" s="468"/>
      <c r="H117" s="1506"/>
      <c r="I117" s="1506"/>
      <c r="J117" s="1506"/>
      <c r="K117" s="473"/>
      <c r="L117" s="473"/>
      <c r="M117" s="1819"/>
      <c r="N117" s="2931"/>
      <c r="O117" s="2931"/>
      <c r="P117" s="1983"/>
      <c r="Q117" s="1747"/>
    </row>
    <row r="118" spans="1:17" ht="15.75" thickBot="1">
      <c r="A118" s="1779"/>
      <c r="B118" s="1787"/>
      <c r="C118" s="1788">
        <v>100</v>
      </c>
      <c r="D118" s="1788">
        <f>C118-$K40</f>
        <v>98</v>
      </c>
      <c r="E118" s="1788">
        <f>D118-$K40</f>
        <v>96</v>
      </c>
      <c r="F118" s="1788">
        <f>E118-$K40</f>
        <v>94</v>
      </c>
      <c r="G118" s="1788">
        <f>F118-$K40</f>
        <v>92</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3324" t="s">
        <v>3080</v>
      </c>
      <c r="D123" s="3324" t="s">
        <v>3088</v>
      </c>
      <c r="E123" s="3324" t="s">
        <v>3090</v>
      </c>
      <c r="F123" s="3330" t="s">
        <v>3091</v>
      </c>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98</v>
      </c>
      <c r="E124" s="1788">
        <f t="shared" si="30"/>
        <v>96</v>
      </c>
      <c r="F124" s="1788">
        <f t="shared" si="30"/>
        <v>94</v>
      </c>
      <c r="G124" s="1788">
        <f t="shared" si="30"/>
        <v>92</v>
      </c>
      <c r="H124" s="1788">
        <f t="shared" si="30"/>
        <v>90</v>
      </c>
      <c r="I124" s="1788">
        <f t="shared" si="30"/>
        <v>88</v>
      </c>
      <c r="J124" s="1788">
        <f t="shared" si="30"/>
        <v>86</v>
      </c>
      <c r="K124" s="1788">
        <f t="shared" si="30"/>
        <v>84</v>
      </c>
      <c r="L124" s="1788">
        <f t="shared" si="30"/>
        <v>82</v>
      </c>
      <c r="M124" s="1789">
        <f t="shared" si="30"/>
        <v>80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98</v>
      </c>
      <c r="E126" s="1788">
        <f>D126-$K44</f>
        <v>96</v>
      </c>
      <c r="F126" s="1788">
        <f>E126-$K44</f>
        <v>94</v>
      </c>
      <c r="G126" s="1788">
        <f>F126-$K44</f>
        <v>92</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（注册号:0）、吴薇（注册号:1419970001)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14062735</v>
      </c>
      <c r="C2" s="1579" t="str">
        <f>'数据-取费表'!B3</f>
        <v>元</v>
      </c>
      <c r="D2" s="1580" t="s">
        <v>1001</v>
      </c>
      <c r="E2" s="1581" t="e">
        <f ca="1">SUMIF(INDIRECT("'"&amp;G2&amp;"'"&amp;"!A:A"),"承租人权益价值",INDIRECT("'"&amp;G2&amp;"'"&amp;"!c:c"))</f>
        <v>#REF!</v>
      </c>
      <c r="F2" s="1582" t="str">
        <f>C2</f>
        <v>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27688</v>
      </c>
      <c r="C3" s="1588" t="s">
        <v>2005</v>
      </c>
      <c r="D3" s="1588">
        <f>IF(C1="仅计算典型户型",'数据-取费表'!E5,'数据-取费表'!B5)</f>
        <v>507.9</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85" t="s">
        <v>2007</v>
      </c>
      <c r="D4" s="3586"/>
      <c r="E4" s="3587" t="s">
        <v>2008</v>
      </c>
      <c r="F4" s="3588"/>
      <c r="G4" s="3585" t="s">
        <v>2009</v>
      </c>
      <c r="H4" s="3586"/>
      <c r="I4" s="3585" t="s">
        <v>2010</v>
      </c>
      <c r="J4" s="3586"/>
      <c r="K4" s="1593"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2" t="s">
        <v>2009</v>
      </c>
      <c r="AC4" s="3582" t="s">
        <v>2010</v>
      </c>
    </row>
    <row r="5" spans="1:29" ht="15">
      <c r="A5" s="1596"/>
      <c r="B5" s="1597"/>
      <c r="C5" s="3612" t="s">
        <v>3064</v>
      </c>
      <c r="D5" s="3599"/>
      <c r="E5" s="3596" t="s">
        <v>2014</v>
      </c>
      <c r="F5" s="3597"/>
      <c r="G5" s="3598" t="s">
        <v>2015</v>
      </c>
      <c r="H5" s="3599"/>
      <c r="I5" s="3598" t="s">
        <v>2016</v>
      </c>
      <c r="J5" s="3599"/>
      <c r="K5" s="1598"/>
      <c r="L5" s="2912"/>
      <c r="M5" s="2913"/>
      <c r="N5" s="2913"/>
      <c r="O5" s="2913"/>
      <c r="P5" s="3591"/>
      <c r="Q5" s="3592"/>
      <c r="R5" s="3575"/>
      <c r="S5" s="3576"/>
      <c r="T5" s="3575"/>
      <c r="U5" s="3576"/>
      <c r="V5" s="3595"/>
      <c r="W5" s="3595"/>
      <c r="X5" s="1594"/>
      <c r="Y5" s="3575"/>
      <c r="Z5" s="3576"/>
      <c r="AA5" s="3583"/>
      <c r="AB5" s="3583"/>
      <c r="AC5" s="3583"/>
    </row>
    <row r="6" spans="1:29" ht="15.75" thickBot="1">
      <c r="A6" s="1599"/>
      <c r="B6" s="1600"/>
      <c r="C6" s="3600" t="s">
        <v>2017</v>
      </c>
      <c r="D6" s="3601"/>
      <c r="E6" s="3602" t="s">
        <v>2017</v>
      </c>
      <c r="F6" s="3603"/>
      <c r="G6" s="3600" t="s">
        <v>2017</v>
      </c>
      <c r="H6" s="3601"/>
      <c r="I6" s="3600" t="s">
        <v>2017</v>
      </c>
      <c r="J6" s="3601"/>
      <c r="K6" s="1598" t="s">
        <v>2018</v>
      </c>
      <c r="L6" s="2912"/>
      <c r="M6" s="2913"/>
      <c r="N6" s="2913"/>
      <c r="O6" s="2913"/>
      <c r="P6" s="3593"/>
      <c r="Q6" s="3594"/>
      <c r="R6" s="3575"/>
      <c r="S6" s="3576"/>
      <c r="T6" s="3577"/>
      <c r="U6" s="3578"/>
      <c r="V6" s="3595"/>
      <c r="W6" s="3595"/>
      <c r="X6" s="1594"/>
      <c r="Y6" s="3577"/>
      <c r="Z6" s="3578"/>
      <c r="AA6" s="3584"/>
      <c r="AB6" s="3584"/>
      <c r="AC6" s="3584"/>
    </row>
    <row r="7" spans="1:29" s="1613" customFormat="1" ht="15.75" thickBot="1">
      <c r="A7" s="1601" t="s">
        <v>2019</v>
      </c>
      <c r="B7" s="1602"/>
      <c r="C7" s="1603">
        <f>'数据-取费表'!B2</f>
        <v>44858</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571" t="s">
        <v>2020</v>
      </c>
      <c r="Q7" s="3579"/>
      <c r="R7" s="1609" t="s">
        <v>34</v>
      </c>
      <c r="S7" s="1610">
        <f t="shared" ref="S7:S15" si="0">F7</f>
        <v>100</v>
      </c>
      <c r="T7" s="1609" t="s">
        <v>34</v>
      </c>
      <c r="U7" s="1610">
        <f t="shared" ref="U7:U15" si="1">H7</f>
        <v>100</v>
      </c>
      <c r="V7" s="1609" t="s">
        <v>34</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71" t="s">
        <v>2023</v>
      </c>
      <c r="Q8" s="3572"/>
      <c r="R8" s="1609" t="s">
        <v>34</v>
      </c>
      <c r="S8" s="1610">
        <f t="shared" si="0"/>
        <v>100</v>
      </c>
      <c r="T8" s="1609" t="s">
        <v>34</v>
      </c>
      <c r="U8" s="1610">
        <f t="shared" si="1"/>
        <v>100</v>
      </c>
      <c r="V8" s="1609" t="s">
        <v>34</v>
      </c>
      <c r="W8" s="1610">
        <f t="shared" si="2"/>
        <v>100</v>
      </c>
      <c r="X8" s="1611"/>
      <c r="Y8" s="3571" t="s">
        <v>2023</v>
      </c>
      <c r="Z8" s="3572"/>
      <c r="AA8" s="1612">
        <f t="shared" ref="AA8:AA46" si="3">D8/F8</f>
        <v>1</v>
      </c>
      <c r="AB8" s="1612">
        <f t="shared" ref="AB8:AB46" si="4">D8/H8</f>
        <v>1</v>
      </c>
      <c r="AC8" s="1612">
        <f t="shared" ref="AC8:AC46" si="5">D8/J8</f>
        <v>1</v>
      </c>
    </row>
    <row r="9" spans="1:29" s="1613" customFormat="1">
      <c r="A9" s="1564" t="s">
        <v>2024</v>
      </c>
      <c r="B9" s="1616" t="s">
        <v>2025</v>
      </c>
      <c r="C9" s="3323" t="s">
        <v>3040</v>
      </c>
      <c r="D9" s="1618">
        <v>100</v>
      </c>
      <c r="E9" s="1619" t="s">
        <v>3037</v>
      </c>
      <c r="F9" s="1620">
        <f>SUMIF(63:63,E9,64:64)-SUMIF(63:63,C9,64:64)+100</f>
        <v>100</v>
      </c>
      <c r="G9" s="1619" t="s">
        <v>3037</v>
      </c>
      <c r="H9" s="1618">
        <f>SUMIF(63:63,G9,64:64)-SUMIF(63:63,C9,64:64)+100</f>
        <v>100</v>
      </c>
      <c r="I9" s="1619" t="s">
        <v>3037</v>
      </c>
      <c r="J9" s="1618">
        <f>SUMIF(63:63,I9,64:64)-SUMIF(63:63,C9,64:64)+100</f>
        <v>100</v>
      </c>
      <c r="K9" s="1607"/>
      <c r="L9" s="2912"/>
      <c r="M9" s="2885"/>
      <c r="N9" s="2885"/>
      <c r="O9" s="2885"/>
      <c r="P9" s="3611"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7" t="s">
        <v>3041</v>
      </c>
      <c r="H10" s="1626">
        <f>SUMIF(65:65,G10,66:66)-SUMIF(65:65,C10,66:66)+100</f>
        <v>100</v>
      </c>
      <c r="I10" s="1627" t="s">
        <v>3041</v>
      </c>
      <c r="J10" s="1626">
        <f>SUMIF(65:65,I10,66:66)-SUMIF(65:65,C10,66:66)+100</f>
        <v>100</v>
      </c>
      <c r="K10" s="1629"/>
      <c r="L10" s="2914"/>
      <c r="M10" s="2915"/>
      <c r="N10" s="2915"/>
      <c r="O10" s="2915"/>
      <c r="P10" s="3611"/>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11"/>
      <c r="Q11" s="1563" t="str">
        <f t="shared" si="6"/>
        <v>容积率</v>
      </c>
      <c r="R11" s="1609" t="s">
        <v>28</v>
      </c>
      <c r="S11" s="1610">
        <f t="shared" si="0"/>
        <v>100</v>
      </c>
      <c r="T11" s="1609" t="s">
        <v>28</v>
      </c>
      <c r="U11" s="1610">
        <f t="shared" si="1"/>
        <v>100</v>
      </c>
      <c r="V11" s="1609" t="s">
        <v>28</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11"/>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11"/>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11"/>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06" t="s">
        <v>2031</v>
      </c>
      <c r="Q15" s="1544" t="str">
        <f t="shared" si="6"/>
        <v>居住社区成熟度</v>
      </c>
      <c r="R15" s="1654" t="s">
        <v>28</v>
      </c>
      <c r="S15" s="1655">
        <f t="shared" si="0"/>
        <v>100</v>
      </c>
      <c r="T15" s="1654" t="s">
        <v>28</v>
      </c>
      <c r="U15" s="1655">
        <f t="shared" si="1"/>
        <v>100</v>
      </c>
      <c r="V15" s="1654" t="s">
        <v>28</v>
      </c>
      <c r="W15" s="1655">
        <f t="shared" si="2"/>
        <v>100</v>
      </c>
      <c r="X15" s="1594"/>
      <c r="Y15" s="358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07"/>
      <c r="Q16" s="1544"/>
      <c r="R16" s="1654"/>
      <c r="S16" s="1655"/>
      <c r="T16" s="1654"/>
      <c r="U16" s="1655"/>
      <c r="V16" s="1654"/>
      <c r="W16" s="1655"/>
      <c r="X16" s="1594"/>
      <c r="Y16" s="358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07"/>
      <c r="Q17" s="1544" t="str">
        <f>B17</f>
        <v>交通便捷度</v>
      </c>
      <c r="R17" s="1654" t="s">
        <v>28</v>
      </c>
      <c r="S17" s="1655">
        <f>F17</f>
        <v>100</v>
      </c>
      <c r="T17" s="1654" t="s">
        <v>28</v>
      </c>
      <c r="U17" s="1655">
        <f>H17</f>
        <v>100</v>
      </c>
      <c r="V17" s="1654" t="s">
        <v>28</v>
      </c>
      <c r="W17" s="1655">
        <f>J17</f>
        <v>100</v>
      </c>
      <c r="X17" s="1594"/>
      <c r="Y17" s="358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07"/>
      <c r="Q18" s="1544"/>
      <c r="R18" s="1654"/>
      <c r="S18" s="1655"/>
      <c r="T18" s="1654"/>
      <c r="U18" s="1655"/>
      <c r="V18" s="1654"/>
      <c r="W18" s="1655"/>
      <c r="X18" s="1594"/>
      <c r="Y18" s="358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07"/>
      <c r="Q19" s="1544" t="str">
        <f>B19</f>
        <v>公共配套设施</v>
      </c>
      <c r="R19" s="1654" t="s">
        <v>28</v>
      </c>
      <c r="S19" s="1655">
        <f>F19</f>
        <v>100</v>
      </c>
      <c r="T19" s="1654" t="s">
        <v>28</v>
      </c>
      <c r="U19" s="1655">
        <f>H19</f>
        <v>100</v>
      </c>
      <c r="V19" s="1654" t="s">
        <v>28</v>
      </c>
      <c r="W19" s="1655">
        <f>J19</f>
        <v>100</v>
      </c>
      <c r="X19" s="1594"/>
      <c r="Y19" s="358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07"/>
      <c r="Q20" s="1544"/>
      <c r="R20" s="1654"/>
      <c r="S20" s="1655"/>
      <c r="T20" s="1654"/>
      <c r="U20" s="1655"/>
      <c r="V20" s="1654"/>
      <c r="W20" s="1655"/>
      <c r="X20" s="1594"/>
      <c r="Y20" s="358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07"/>
      <c r="Q21" s="1544" t="str">
        <f>B21</f>
        <v>基础设施水平</v>
      </c>
      <c r="R21" s="1654" t="s">
        <v>28</v>
      </c>
      <c r="S21" s="1655">
        <f>F21</f>
        <v>100</v>
      </c>
      <c r="T21" s="1654" t="s">
        <v>28</v>
      </c>
      <c r="U21" s="1655">
        <f>H21</f>
        <v>100</v>
      </c>
      <c r="V21" s="1654" t="s">
        <v>28</v>
      </c>
      <c r="W21" s="1655">
        <f>J21</f>
        <v>100</v>
      </c>
      <c r="X21" s="1594"/>
      <c r="Y21" s="3581"/>
      <c r="Z21" s="1656" t="str">
        <f>Q21</f>
        <v>基础设施水平</v>
      </c>
      <c r="AA21" s="1657">
        <f t="shared" ref="AA21" si="8">D21/F21</f>
        <v>1</v>
      </c>
      <c r="AB21" s="1657">
        <f t="shared" ref="AB21" si="9">D21/H21</f>
        <v>1</v>
      </c>
      <c r="AC21" s="1657">
        <f t="shared" ref="AC21" si="10">D21/J21</f>
        <v>1</v>
      </c>
    </row>
    <row r="22" spans="1:29" ht="15">
      <c r="A22" s="1631"/>
      <c r="B22" s="1679"/>
      <c r="C22" s="1673" t="s">
        <v>3042</v>
      </c>
      <c r="D22" s="1660"/>
      <c r="E22" s="1673" t="s">
        <v>3042</v>
      </c>
      <c r="F22" s="1662"/>
      <c r="G22" s="1673" t="s">
        <v>3042</v>
      </c>
      <c r="H22" s="1660"/>
      <c r="I22" s="1673" t="s">
        <v>3042</v>
      </c>
      <c r="J22" s="1660"/>
      <c r="K22" s="1680"/>
      <c r="L22" s="2917"/>
      <c r="M22" s="2913"/>
      <c r="N22" s="2913"/>
      <c r="O22" s="2913"/>
      <c r="P22" s="3607"/>
      <c r="Q22" s="1544"/>
      <c r="R22" s="1654"/>
      <c r="S22" s="1655"/>
      <c r="T22" s="1654"/>
      <c r="U22" s="1655"/>
      <c r="V22" s="1654"/>
      <c r="W22" s="1655"/>
      <c r="X22" s="1594"/>
      <c r="Y22" s="358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07"/>
      <c r="Q23" s="1544" t="str">
        <f>B23</f>
        <v>自然及人文环境</v>
      </c>
      <c r="R23" s="1654" t="s">
        <v>28</v>
      </c>
      <c r="S23" s="1655">
        <f>F23</f>
        <v>100</v>
      </c>
      <c r="T23" s="1654" t="s">
        <v>28</v>
      </c>
      <c r="U23" s="1655">
        <f>H23</f>
        <v>100</v>
      </c>
      <c r="V23" s="1654" t="s">
        <v>28</v>
      </c>
      <c r="W23" s="1655">
        <f>J23</f>
        <v>100</v>
      </c>
      <c r="X23" s="1594"/>
      <c r="Y23" s="358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07"/>
      <c r="Q24" s="1544"/>
      <c r="R24" s="1654"/>
      <c r="S24" s="1655"/>
      <c r="T24" s="1654"/>
      <c r="U24" s="1655"/>
      <c r="V24" s="1654"/>
      <c r="W24" s="1655"/>
      <c r="X24" s="1594"/>
      <c r="Y24" s="358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07"/>
      <c r="Q25" s="1544" t="str">
        <f t="shared" ref="Q25:Q46" si="11">B25</f>
        <v>楼层-1</v>
      </c>
      <c r="R25" s="1654" t="s">
        <v>28</v>
      </c>
      <c r="S25" s="1655">
        <f>F25</f>
        <v>100</v>
      </c>
      <c r="T25" s="1654" t="s">
        <v>28</v>
      </c>
      <c r="U25" s="1655">
        <f>H25</f>
        <v>100</v>
      </c>
      <c r="V25" s="1654" t="s">
        <v>28</v>
      </c>
      <c r="W25" s="1655">
        <f>J25</f>
        <v>100</v>
      </c>
      <c r="X25" s="1594"/>
      <c r="Y25" s="358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07"/>
      <c r="Q26" s="1544" t="str">
        <f t="shared" si="11"/>
        <v>朝向</v>
      </c>
      <c r="R26" s="1654" t="s">
        <v>28</v>
      </c>
      <c r="S26" s="1655">
        <f>F26</f>
        <v>100</v>
      </c>
      <c r="T26" s="1654" t="s">
        <v>28</v>
      </c>
      <c r="U26" s="1655">
        <f>H26</f>
        <v>100</v>
      </c>
      <c r="V26" s="1654" t="s">
        <v>28</v>
      </c>
      <c r="W26" s="1655">
        <f>J26</f>
        <v>100</v>
      </c>
      <c r="X26" s="1594"/>
      <c r="Y26" s="358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07"/>
      <c r="Q27" s="1563" t="str">
        <f t="shared" si="11"/>
        <v>道路级别</v>
      </c>
      <c r="R27" s="1609" t="s">
        <v>28</v>
      </c>
      <c r="S27" s="1610">
        <f>F27</f>
        <v>100</v>
      </c>
      <c r="T27" s="1609" t="s">
        <v>28</v>
      </c>
      <c r="U27" s="1610">
        <f>H27</f>
        <v>100</v>
      </c>
      <c r="V27" s="1609" t="s">
        <v>28</v>
      </c>
      <c r="W27" s="1610">
        <f>J27</f>
        <v>100</v>
      </c>
      <c r="X27" s="1611"/>
      <c r="Y27" s="3581"/>
      <c r="Z27" s="1622" t="str">
        <f>Q27</f>
        <v>道路级别</v>
      </c>
      <c r="AA27" s="1657">
        <f>D27/F27</f>
        <v>1</v>
      </c>
      <c r="AB27" s="1657">
        <f>D27/H27</f>
        <v>1</v>
      </c>
      <c r="AC27" s="1657">
        <f>D27/J27</f>
        <v>1</v>
      </c>
    </row>
    <row r="28" spans="1:29" ht="15">
      <c r="A28" s="1631"/>
      <c r="B28" s="3326" t="s">
        <v>3063</v>
      </c>
      <c r="C28" s="3327" t="s">
        <v>3044</v>
      </c>
      <c r="D28" s="1640">
        <v>100</v>
      </c>
      <c r="E28" s="3327" t="s">
        <v>3045</v>
      </c>
      <c r="F28" s="1683">
        <f>SUMIF(92:92,E28,93:93)-SUMIF(92:92,C28,93:93)+100</f>
        <v>101</v>
      </c>
      <c r="G28" s="3327" t="s">
        <v>3043</v>
      </c>
      <c r="H28" s="1640">
        <f>SUMIF(92:92,G28,93:93)-SUMIF(92:92,C28,93:93)+100</f>
        <v>102</v>
      </c>
      <c r="I28" s="3327" t="s">
        <v>3043</v>
      </c>
      <c r="J28" s="1640">
        <f>SUMIF(92:92,I28,93:93)-SUMIF(92:92,C28,93:93)+100</f>
        <v>102</v>
      </c>
      <c r="K28" s="1638"/>
      <c r="L28" s="2917"/>
      <c r="M28" s="2913"/>
      <c r="N28" s="2913"/>
      <c r="O28" s="2913"/>
      <c r="P28" s="3607"/>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8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07"/>
      <c r="Q29" s="1544">
        <f t="shared" si="11"/>
        <v>111</v>
      </c>
      <c r="R29" s="1654" t="s">
        <v>28</v>
      </c>
      <c r="S29" s="1655">
        <f t="shared" si="12"/>
        <v>100</v>
      </c>
      <c r="T29" s="1654" t="s">
        <v>28</v>
      </c>
      <c r="U29" s="1655">
        <f t="shared" si="13"/>
        <v>100</v>
      </c>
      <c r="V29" s="1654" t="s">
        <v>28</v>
      </c>
      <c r="W29" s="1655">
        <f t="shared" si="14"/>
        <v>100</v>
      </c>
      <c r="X29" s="1594"/>
      <c r="Y29" s="358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07"/>
      <c r="Q30" s="1544">
        <f t="shared" si="11"/>
        <v>111</v>
      </c>
      <c r="R30" s="1654" t="s">
        <v>28</v>
      </c>
      <c r="S30" s="1655">
        <f t="shared" si="12"/>
        <v>100</v>
      </c>
      <c r="T30" s="1654" t="s">
        <v>28</v>
      </c>
      <c r="U30" s="1655">
        <f t="shared" si="13"/>
        <v>100</v>
      </c>
      <c r="V30" s="1654" t="s">
        <v>28</v>
      </c>
      <c r="W30" s="1655">
        <f t="shared" si="14"/>
        <v>100</v>
      </c>
      <c r="X30" s="1594"/>
      <c r="Y30" s="358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07"/>
      <c r="Q31" s="1544">
        <f t="shared" si="11"/>
        <v>111</v>
      </c>
      <c r="R31" s="1654" t="s">
        <v>28</v>
      </c>
      <c r="S31" s="1655">
        <f t="shared" si="12"/>
        <v>100</v>
      </c>
      <c r="T31" s="1654" t="s">
        <v>28</v>
      </c>
      <c r="U31" s="1655">
        <f t="shared" si="13"/>
        <v>100</v>
      </c>
      <c r="V31" s="1654" t="s">
        <v>28</v>
      </c>
      <c r="W31" s="1655">
        <f t="shared" si="14"/>
        <v>100</v>
      </c>
      <c r="X31" s="1594"/>
      <c r="Y31" s="3581"/>
      <c r="Z31" s="1656">
        <f t="shared" si="15"/>
        <v>111</v>
      </c>
      <c r="AA31" s="1657">
        <f t="shared" si="3"/>
        <v>1</v>
      </c>
      <c r="AB31" s="1657">
        <f t="shared" si="4"/>
        <v>1</v>
      </c>
      <c r="AC31" s="1657">
        <f t="shared" si="5"/>
        <v>1</v>
      </c>
    </row>
    <row r="32" spans="1:29" ht="15">
      <c r="A32" s="1646" t="s">
        <v>2035</v>
      </c>
      <c r="B32" s="1616" t="s">
        <v>2036</v>
      </c>
      <c r="C32" s="1690" t="s">
        <v>3049</v>
      </c>
      <c r="D32" s="1691">
        <v>100</v>
      </c>
      <c r="E32" s="1690" t="s">
        <v>3049</v>
      </c>
      <c r="F32" s="1683">
        <f>SUMIF(100:100,E32,101:101)-SUMIF(100:100,C32,101:101)+100</f>
        <v>100</v>
      </c>
      <c r="G32" s="1690" t="s">
        <v>3049</v>
      </c>
      <c r="H32" s="1691">
        <f>SUMIF(100:100,G32,101:101)-SUMIF(100:100,C32,101:101)+100</f>
        <v>100</v>
      </c>
      <c r="I32" s="1690" t="s">
        <v>3049</v>
      </c>
      <c r="J32" s="1640">
        <f>SUMIF(100:100,I32,101:101)-SUMIF(100:100,C32,101:101)+100</f>
        <v>100</v>
      </c>
      <c r="K32" s="1629">
        <v>1</v>
      </c>
      <c r="L32" s="2917"/>
      <c r="M32" s="2913"/>
      <c r="N32" s="2913"/>
      <c r="O32" s="2913"/>
      <c r="P32" s="3608" t="s">
        <v>2037</v>
      </c>
      <c r="Q32" s="1544" t="str">
        <f t="shared" si="11"/>
        <v>建筑类型</v>
      </c>
      <c r="R32" s="1654" t="s">
        <v>28</v>
      </c>
      <c r="S32" s="1655">
        <f t="shared" si="12"/>
        <v>100</v>
      </c>
      <c r="T32" s="1654" t="s">
        <v>28</v>
      </c>
      <c r="U32" s="1655">
        <f t="shared" si="13"/>
        <v>100</v>
      </c>
      <c r="V32" s="1654" t="s">
        <v>28</v>
      </c>
      <c r="W32" s="1655">
        <f t="shared" si="14"/>
        <v>100</v>
      </c>
      <c r="X32" s="1594"/>
      <c r="Y32" s="3569"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507.9</v>
      </c>
      <c r="D33" s="1626">
        <v>100</v>
      </c>
      <c r="E33" s="1693">
        <v>107</v>
      </c>
      <c r="F33" s="1628">
        <f>LOOKUP(E33,103:103,104:104)-LOOKUP(C33,103:103,104:104)+100</f>
        <v>104</v>
      </c>
      <c r="G33" s="1693">
        <v>106</v>
      </c>
      <c r="H33" s="1626">
        <f>LOOKUP(G33,103:103,104:104)-LOOKUP(C33,103:103,104:104)+100</f>
        <v>104</v>
      </c>
      <c r="I33" s="1693">
        <v>156.41</v>
      </c>
      <c r="J33" s="1626">
        <f>LOOKUP(I33,103:103,104:104)-LOOKUP(C33,103:103,104:104)+100</f>
        <v>104</v>
      </c>
      <c r="K33" s="1638"/>
      <c r="L33" s="2916"/>
      <c r="M33" s="1985"/>
      <c r="N33" s="1985"/>
      <c r="O33" s="1985"/>
      <c r="P33" s="3609"/>
      <c r="Q33" s="1694" t="str">
        <f t="shared" si="11"/>
        <v>项目建筑规模</v>
      </c>
      <c r="R33" s="1695" t="s">
        <v>28</v>
      </c>
      <c r="S33" s="1696">
        <f t="shared" si="12"/>
        <v>104</v>
      </c>
      <c r="T33" s="1695" t="s">
        <v>28</v>
      </c>
      <c r="U33" s="1696">
        <f t="shared" si="13"/>
        <v>104</v>
      </c>
      <c r="V33" s="1695" t="s">
        <v>28</v>
      </c>
      <c r="W33" s="1696">
        <f t="shared" si="14"/>
        <v>104</v>
      </c>
      <c r="X33" s="1697"/>
      <c r="Y33" s="3569"/>
      <c r="Z33" s="1698" t="str">
        <f t="shared" si="15"/>
        <v>项目建筑规模</v>
      </c>
      <c r="AA33" s="1657">
        <f t="shared" si="3"/>
        <v>0.96153846153846156</v>
      </c>
      <c r="AB33" s="1657">
        <f t="shared" si="4"/>
        <v>0.96153846153846156</v>
      </c>
      <c r="AC33" s="1657">
        <f t="shared" si="5"/>
        <v>0.96153846153846156</v>
      </c>
    </row>
    <row r="34" spans="1:29" ht="15">
      <c r="A34" s="1700"/>
      <c r="B34" s="1624" t="s">
        <v>2039</v>
      </c>
      <c r="C34" s="1701" t="s">
        <v>3047</v>
      </c>
      <c r="D34" s="1640">
        <v>100</v>
      </c>
      <c r="E34" s="1701" t="s">
        <v>3047</v>
      </c>
      <c r="F34" s="1683">
        <f>SUMIF(105:105,E34,106:106)-SUMIF(105:105,C34,106:106)+100</f>
        <v>100</v>
      </c>
      <c r="G34" s="1701" t="s">
        <v>3047</v>
      </c>
      <c r="H34" s="1640">
        <f>SUMIF(105:105,G34,106:106)-SUMIF(105:105,C34,106:106)+100</f>
        <v>100</v>
      </c>
      <c r="I34" s="1701" t="s">
        <v>3047</v>
      </c>
      <c r="J34" s="1640">
        <f>SUMIF(105:105,I34,106:106)-SUMIF(105:105,C34,106:106)+100</f>
        <v>100</v>
      </c>
      <c r="K34" s="1629">
        <v>1</v>
      </c>
      <c r="L34" s="2917"/>
      <c r="M34" s="2913"/>
      <c r="N34" s="2913"/>
      <c r="O34" s="2913"/>
      <c r="P34" s="3609"/>
      <c r="Q34" s="1544" t="str">
        <f t="shared" si="11"/>
        <v>建筑结构</v>
      </c>
      <c r="R34" s="1654" t="s">
        <v>28</v>
      </c>
      <c r="S34" s="1655">
        <f t="shared" si="12"/>
        <v>100</v>
      </c>
      <c r="T34" s="1654" t="s">
        <v>28</v>
      </c>
      <c r="U34" s="1655">
        <f t="shared" si="13"/>
        <v>100</v>
      </c>
      <c r="V34" s="1654" t="s">
        <v>28</v>
      </c>
      <c r="W34" s="1655">
        <f t="shared" si="14"/>
        <v>100</v>
      </c>
      <c r="X34" s="1594"/>
      <c r="Y34" s="3569"/>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09"/>
      <c r="Q35" s="1544" t="str">
        <f t="shared" si="11"/>
        <v>建筑品质</v>
      </c>
      <c r="R35" s="1654" t="s">
        <v>28</v>
      </c>
      <c r="S35" s="1655">
        <f t="shared" si="12"/>
        <v>100</v>
      </c>
      <c r="T35" s="1654" t="s">
        <v>28</v>
      </c>
      <c r="U35" s="1655">
        <f t="shared" si="13"/>
        <v>100</v>
      </c>
      <c r="V35" s="1654" t="s">
        <v>28</v>
      </c>
      <c r="W35" s="1655">
        <f t="shared" si="14"/>
        <v>100</v>
      </c>
      <c r="X35" s="1594"/>
      <c r="Y35" s="3569"/>
      <c r="Z35" s="1656" t="str">
        <f t="shared" si="15"/>
        <v>建筑品质</v>
      </c>
      <c r="AA35" s="1657">
        <f t="shared" si="3"/>
        <v>1</v>
      </c>
      <c r="AB35" s="1657">
        <f t="shared" si="4"/>
        <v>1</v>
      </c>
      <c r="AC35" s="1657">
        <f t="shared" si="5"/>
        <v>1</v>
      </c>
    </row>
    <row r="36" spans="1:29" ht="15">
      <c r="A36" s="1700"/>
      <c r="B36" s="1624" t="s">
        <v>2041</v>
      </c>
      <c r="C36" s="1684" t="s">
        <v>3051</v>
      </c>
      <c r="D36" s="1640">
        <v>100</v>
      </c>
      <c r="E36" s="1684" t="s">
        <v>3051</v>
      </c>
      <c r="F36" s="1683">
        <f>SUMIF(109:109,E36,110:110)-SUMIF(109:109,C36,110:110)+100</f>
        <v>100</v>
      </c>
      <c r="G36" s="1684" t="s">
        <v>3051</v>
      </c>
      <c r="H36" s="1640">
        <f>SUMIF(109:109,G36,110:110)-SUMIF(109:109,C36,110:110)+100</f>
        <v>100</v>
      </c>
      <c r="I36" s="1684" t="s">
        <v>3051</v>
      </c>
      <c r="J36" s="1640">
        <f>SUMIF(109:109,I36,110:110)-SUMIF(109:109,C36,110:110)+100</f>
        <v>100</v>
      </c>
      <c r="K36" s="1629">
        <v>2</v>
      </c>
      <c r="L36" s="2917"/>
      <c r="M36" s="2913"/>
      <c r="N36" s="2913"/>
      <c r="O36" s="2913"/>
      <c r="P36" s="3609"/>
      <c r="Q36" s="1544" t="str">
        <f t="shared" si="11"/>
        <v>公共部分装修</v>
      </c>
      <c r="R36" s="1654" t="s">
        <v>28</v>
      </c>
      <c r="S36" s="1655">
        <f t="shared" si="12"/>
        <v>100</v>
      </c>
      <c r="T36" s="1654" t="s">
        <v>28</v>
      </c>
      <c r="U36" s="1655">
        <f t="shared" si="13"/>
        <v>100</v>
      </c>
      <c r="V36" s="1654" t="s">
        <v>28</v>
      </c>
      <c r="W36" s="1655">
        <f t="shared" si="14"/>
        <v>100</v>
      </c>
      <c r="X36" s="1594"/>
      <c r="Y36" s="3569"/>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0.87</v>
      </c>
      <c r="D37" s="1626">
        <v>100</v>
      </c>
      <c r="E37" s="1704">
        <f>C37</f>
        <v>0.87</v>
      </c>
      <c r="F37" s="1628">
        <f>LOOKUP(E37,112:112,113:113)-LOOKUP(C37,112:112,113:113)+100</f>
        <v>100</v>
      </c>
      <c r="G37" s="1704">
        <f>C37</f>
        <v>0.87</v>
      </c>
      <c r="H37" s="1626">
        <f>LOOKUP(G37,112:112,113:113)-LOOKUP(C37,112:112,113:113)+100</f>
        <v>100</v>
      </c>
      <c r="I37" s="3328">
        <v>0.87</v>
      </c>
      <c r="J37" s="1626">
        <f>LOOKUP(I37,112:112,113:113)-LOOKUP(C37,112:112,113:113)+100</f>
        <v>100</v>
      </c>
      <c r="K37" s="1629">
        <v>1</v>
      </c>
      <c r="L37" s="2912"/>
      <c r="M37" s="2885"/>
      <c r="N37" s="2885"/>
      <c r="O37" s="2885"/>
      <c r="P37" s="3609"/>
      <c r="Q37" s="1563" t="str">
        <f t="shared" si="11"/>
        <v>成新度</v>
      </c>
      <c r="R37" s="1609" t="s">
        <v>28</v>
      </c>
      <c r="S37" s="1610">
        <f t="shared" si="12"/>
        <v>100</v>
      </c>
      <c r="T37" s="1609" t="s">
        <v>28</v>
      </c>
      <c r="U37" s="1610">
        <f t="shared" si="13"/>
        <v>100</v>
      </c>
      <c r="V37" s="1609" t="s">
        <v>28</v>
      </c>
      <c r="W37" s="1610">
        <f t="shared" si="14"/>
        <v>100</v>
      </c>
      <c r="X37" s="1611"/>
      <c r="Y37" s="3569"/>
      <c r="Z37" s="1622" t="str">
        <f t="shared" si="15"/>
        <v>成新度</v>
      </c>
      <c r="AA37" s="1612">
        <f t="shared" si="3"/>
        <v>1</v>
      </c>
      <c r="AB37" s="1612">
        <f t="shared" si="4"/>
        <v>1</v>
      </c>
      <c r="AC37" s="1612">
        <f t="shared" si="5"/>
        <v>1</v>
      </c>
    </row>
    <row r="38" spans="1:29" ht="15">
      <c r="A38" s="1700"/>
      <c r="B38" s="1624" t="s">
        <v>2043</v>
      </c>
      <c r="C38" s="1684" t="s">
        <v>3060</v>
      </c>
      <c r="D38" s="1640">
        <v>100</v>
      </c>
      <c r="E38" s="1684" t="s">
        <v>3060</v>
      </c>
      <c r="F38" s="1683">
        <f>SUMIF(114:114,E38,115:115)-SUMIF(114:114,C38,115:115)+100</f>
        <v>100</v>
      </c>
      <c r="G38" s="1684" t="s">
        <v>3060</v>
      </c>
      <c r="H38" s="1640">
        <f>SUMIF(114:114,G38,115:115)-SUMIF(114:114,C38,115:115)+100</f>
        <v>100</v>
      </c>
      <c r="I38" s="1684" t="s">
        <v>3060</v>
      </c>
      <c r="J38" s="1640">
        <f>SUMIF(114:114,I38,115:115)-SUMIF(114:114,C38,115:115)+100</f>
        <v>100</v>
      </c>
      <c r="K38" s="1629">
        <v>2</v>
      </c>
      <c r="L38" s="2917"/>
      <c r="M38" s="2913"/>
      <c r="N38" s="2913"/>
      <c r="O38" s="2913"/>
      <c r="P38" s="3609" t="s">
        <v>2037</v>
      </c>
      <c r="Q38" s="1544" t="str">
        <f t="shared" si="11"/>
        <v>物业管理</v>
      </c>
      <c r="R38" s="1654" t="s">
        <v>28</v>
      </c>
      <c r="S38" s="1655">
        <f t="shared" si="12"/>
        <v>100</v>
      </c>
      <c r="T38" s="1654" t="s">
        <v>28</v>
      </c>
      <c r="U38" s="1655">
        <f t="shared" si="13"/>
        <v>100</v>
      </c>
      <c r="V38" s="1654" t="s">
        <v>28</v>
      </c>
      <c r="W38" s="1655">
        <f t="shared" si="14"/>
        <v>100</v>
      </c>
      <c r="X38" s="1594"/>
      <c r="Y38" s="3569" t="s">
        <v>2037</v>
      </c>
      <c r="Z38" s="1656" t="str">
        <f t="shared" si="15"/>
        <v>物业管理</v>
      </c>
      <c r="AA38" s="1657">
        <f t="shared" si="3"/>
        <v>1</v>
      </c>
      <c r="AB38" s="1657">
        <f t="shared" si="4"/>
        <v>1</v>
      </c>
      <c r="AC38" s="1657">
        <f t="shared" si="5"/>
        <v>1</v>
      </c>
    </row>
    <row r="39" spans="1:29" ht="15">
      <c r="A39" s="1700"/>
      <c r="B39" s="1624" t="s">
        <v>2044</v>
      </c>
      <c r="C39" s="1684" t="s">
        <v>3042</v>
      </c>
      <c r="D39" s="1640">
        <v>100</v>
      </c>
      <c r="E39" s="1684" t="s">
        <v>3042</v>
      </c>
      <c r="F39" s="1683">
        <f>SUMIF(116:116,E39,117:117)-SUMIF(116:116,C39,117:117)+100</f>
        <v>100</v>
      </c>
      <c r="G39" s="1684" t="s">
        <v>3042</v>
      </c>
      <c r="H39" s="1640">
        <f>SUMIF(116:116,G39,117:117)-SUMIF(116:116,C39,117:117)+100</f>
        <v>100</v>
      </c>
      <c r="I39" s="1684" t="s">
        <v>3042</v>
      </c>
      <c r="J39" s="1640">
        <f>SUMIF(116:116,I39,117:117)-SUMIF(116:116,C39,117:117)+100</f>
        <v>100</v>
      </c>
      <c r="K39" s="1629">
        <v>3</v>
      </c>
      <c r="L39" s="2917"/>
      <c r="M39" s="2913"/>
      <c r="N39" s="2913"/>
      <c r="O39" s="2913"/>
      <c r="P39" s="3609"/>
      <c r="Q39" s="1544" t="str">
        <f t="shared" si="11"/>
        <v>市政基础设施</v>
      </c>
      <c r="R39" s="1654" t="s">
        <v>28</v>
      </c>
      <c r="S39" s="1655">
        <f t="shared" si="12"/>
        <v>100</v>
      </c>
      <c r="T39" s="1654" t="s">
        <v>28</v>
      </c>
      <c r="U39" s="1655">
        <f t="shared" si="13"/>
        <v>100</v>
      </c>
      <c r="V39" s="1654" t="s">
        <v>28</v>
      </c>
      <c r="W39" s="1655">
        <f t="shared" si="14"/>
        <v>100</v>
      </c>
      <c r="X39" s="1594"/>
      <c r="Y39" s="3569"/>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09"/>
      <c r="Q40" s="1544" t="str">
        <f t="shared" si="11"/>
        <v>房型</v>
      </c>
      <c r="R40" s="1654" t="s">
        <v>28</v>
      </c>
      <c r="S40" s="1655">
        <f t="shared" si="12"/>
        <v>100</v>
      </c>
      <c r="T40" s="1654" t="s">
        <v>28</v>
      </c>
      <c r="U40" s="1655">
        <f t="shared" si="13"/>
        <v>100</v>
      </c>
      <c r="V40" s="1654" t="s">
        <v>28</v>
      </c>
      <c r="W40" s="1655">
        <f t="shared" si="14"/>
        <v>100</v>
      </c>
      <c r="X40" s="1594"/>
      <c r="Y40" s="3569"/>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09"/>
      <c r="Q41" s="1694" t="str">
        <f t="shared" si="11"/>
        <v>单套/主力户型建筑面积</v>
      </c>
      <c r="R41" s="1695" t="s">
        <v>28</v>
      </c>
      <c r="S41" s="1696">
        <f t="shared" si="12"/>
        <v>100</v>
      </c>
      <c r="T41" s="1695" t="s">
        <v>28</v>
      </c>
      <c r="U41" s="1696">
        <f t="shared" si="13"/>
        <v>100</v>
      </c>
      <c r="V41" s="1695" t="s">
        <v>28</v>
      </c>
      <c r="W41" s="1696">
        <f t="shared" si="14"/>
        <v>100</v>
      </c>
      <c r="X41" s="1697"/>
      <c r="Y41" s="3569"/>
      <c r="Z41" s="1698" t="str">
        <f t="shared" si="15"/>
        <v>单套/主力户型建筑面积</v>
      </c>
      <c r="AA41" s="1657">
        <f t="shared" si="3"/>
        <v>1</v>
      </c>
      <c r="AB41" s="1657">
        <f t="shared" si="4"/>
        <v>1</v>
      </c>
      <c r="AC41" s="1657">
        <f t="shared" si="5"/>
        <v>1</v>
      </c>
    </row>
    <row r="42" spans="1:29" ht="15">
      <c r="A42" s="1700"/>
      <c r="B42" s="1624" t="s">
        <v>2047</v>
      </c>
      <c r="C42" s="1684" t="s">
        <v>3051</v>
      </c>
      <c r="D42" s="1640">
        <v>100</v>
      </c>
      <c r="E42" s="1684" t="s">
        <v>3054</v>
      </c>
      <c r="F42" s="1683">
        <f>SUMIF(122:122,E42,123:123)-SUMIF(122:122,C42,123:123)+100</f>
        <v>90</v>
      </c>
      <c r="G42" s="1684" t="s">
        <v>3054</v>
      </c>
      <c r="H42" s="1640">
        <f>SUMIF(122:122,G42,123:123)-SUMIF(122:122,C42,123:123)+100</f>
        <v>90</v>
      </c>
      <c r="I42" s="1684" t="s">
        <v>3051</v>
      </c>
      <c r="J42" s="1640">
        <f>SUMIF(122:122,I42,123:123)-SUMIF(122:122,C42,123:123)+100</f>
        <v>100</v>
      </c>
      <c r="K42" s="1629">
        <v>5</v>
      </c>
      <c r="L42" s="2917"/>
      <c r="M42" s="2913"/>
      <c r="N42" s="2913"/>
      <c r="O42" s="2913"/>
      <c r="P42" s="3609"/>
      <c r="Q42" s="1544" t="str">
        <f t="shared" si="11"/>
        <v>内部装修</v>
      </c>
      <c r="R42" s="1654" t="s">
        <v>28</v>
      </c>
      <c r="S42" s="1655">
        <f t="shared" si="12"/>
        <v>90</v>
      </c>
      <c r="T42" s="1654" t="s">
        <v>28</v>
      </c>
      <c r="U42" s="1655">
        <f t="shared" si="13"/>
        <v>90</v>
      </c>
      <c r="V42" s="1654" t="s">
        <v>28</v>
      </c>
      <c r="W42" s="1655">
        <f t="shared" si="14"/>
        <v>100</v>
      </c>
      <c r="X42" s="1594"/>
      <c r="Y42" s="3569"/>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09"/>
      <c r="Q43" s="1544" t="str">
        <f t="shared" si="11"/>
        <v>内部装修维护情况</v>
      </c>
      <c r="R43" s="1654" t="s">
        <v>28</v>
      </c>
      <c r="S43" s="1655">
        <f t="shared" si="12"/>
        <v>100</v>
      </c>
      <c r="T43" s="1654" t="s">
        <v>28</v>
      </c>
      <c r="U43" s="1655">
        <f t="shared" si="13"/>
        <v>100</v>
      </c>
      <c r="V43" s="1654" t="s">
        <v>28</v>
      </c>
      <c r="W43" s="1655">
        <f t="shared" si="14"/>
        <v>100</v>
      </c>
      <c r="X43" s="1594"/>
      <c r="Y43" s="3569"/>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09"/>
      <c r="Q44" s="1563">
        <f t="shared" si="11"/>
        <v>111</v>
      </c>
      <c r="R44" s="1609" t="s">
        <v>28</v>
      </c>
      <c r="S44" s="1610">
        <f t="shared" si="12"/>
        <v>100</v>
      </c>
      <c r="T44" s="1609" t="s">
        <v>28</v>
      </c>
      <c r="U44" s="1610">
        <f t="shared" si="13"/>
        <v>100</v>
      </c>
      <c r="V44" s="1609" t="s">
        <v>28</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09"/>
      <c r="Q45" s="1544">
        <f t="shared" si="11"/>
        <v>111</v>
      </c>
      <c r="R45" s="1654" t="s">
        <v>28</v>
      </c>
      <c r="S45" s="1655">
        <f t="shared" si="12"/>
        <v>100</v>
      </c>
      <c r="T45" s="1654" t="s">
        <v>28</v>
      </c>
      <c r="U45" s="1655">
        <f t="shared" si="13"/>
        <v>100</v>
      </c>
      <c r="V45" s="1654" t="s">
        <v>28</v>
      </c>
      <c r="W45" s="1655">
        <f t="shared" si="14"/>
        <v>100</v>
      </c>
      <c r="X45" s="1594"/>
      <c r="Y45" s="3569"/>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10"/>
      <c r="Q46" s="1544">
        <f t="shared" si="11"/>
        <v>111</v>
      </c>
      <c r="R46" s="1654" t="s">
        <v>27</v>
      </c>
      <c r="S46" s="1655">
        <f t="shared" si="12"/>
        <v>100</v>
      </c>
      <c r="T46" s="1654" t="s">
        <v>27</v>
      </c>
      <c r="U46" s="1655">
        <f t="shared" si="13"/>
        <v>100</v>
      </c>
      <c r="V46" s="1654" t="s">
        <v>27</v>
      </c>
      <c r="W46" s="1655">
        <f t="shared" si="14"/>
        <v>100</v>
      </c>
      <c r="X46" s="1594"/>
      <c r="Y46" s="3570"/>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3" t="str">
        <f>A47</f>
        <v>成交单价（元/平方米）</v>
      </c>
      <c r="Q47" s="3563"/>
      <c r="R47" s="3564">
        <f>E47</f>
        <v>26000</v>
      </c>
      <c r="S47" s="3564"/>
      <c r="T47" s="3564">
        <f>G47</f>
        <v>26000</v>
      </c>
      <c r="U47" s="3564"/>
      <c r="V47" s="3564">
        <f>I47</f>
        <v>30050</v>
      </c>
      <c r="W47" s="3564"/>
      <c r="X47" s="1717"/>
      <c r="Y47" s="1718"/>
      <c r="Z47" s="1717"/>
      <c r="AA47" s="1717"/>
      <c r="AB47" s="1717"/>
      <c r="AC47" s="1717"/>
    </row>
    <row r="48" spans="1:29" ht="15.75" thickBot="1">
      <c r="A48" s="1719" t="s">
        <v>2050</v>
      </c>
      <c r="B48" s="1720"/>
      <c r="C48" s="1721">
        <f>R49</f>
        <v>27688</v>
      </c>
      <c r="D48" s="1722" t="s">
        <v>2503</v>
      </c>
      <c r="E48" s="1723">
        <f>R48</f>
        <v>27503</v>
      </c>
      <c r="F48" s="1724"/>
      <c r="G48" s="1721">
        <f>T48</f>
        <v>27233</v>
      </c>
      <c r="H48" s="1724"/>
      <c r="I48" s="1723">
        <f>V48</f>
        <v>28328</v>
      </c>
      <c r="J48" s="1724"/>
      <c r="K48" s="2427">
        <f>F48+H48+J48</f>
        <v>0</v>
      </c>
      <c r="L48" s="2918"/>
      <c r="P48" s="3563" t="str">
        <f>A48</f>
        <v>比较价值（元/平方米）</v>
      </c>
      <c r="Q48" s="3563"/>
      <c r="R48" s="3564">
        <f>IF(E1="售价",ROUND(PRODUCT(R47,AA7:AA46),0),ROUND(PRODUCT(R47,AA7:AA46),1))</f>
        <v>27503</v>
      </c>
      <c r="S48" s="3564"/>
      <c r="T48" s="3604">
        <f>IF(E1="售价",ROUND(PRODUCT(T47,AB7:AB46),0),ROUND(PRODUCT(T47,AB7:AB46),1))</f>
        <v>27233</v>
      </c>
      <c r="U48" s="3605"/>
      <c r="V48" s="3564">
        <f>IF(E1="售价",ROUND(PRODUCT(V47,AC7:AC46),0),ROUND(PRODUCT(V47,AC7:AC46),1))</f>
        <v>28328</v>
      </c>
      <c r="W48" s="3564"/>
      <c r="X48" s="1717"/>
      <c r="Y48" s="1717"/>
      <c r="Z48" s="1717"/>
      <c r="AA48" s="1717"/>
      <c r="AB48" s="1717"/>
      <c r="AC48" s="1717"/>
    </row>
    <row r="49" spans="1:29" ht="15.75" thickBot="1">
      <c r="A49" s="1725" t="s">
        <v>2051</v>
      </c>
      <c r="B49" s="1726"/>
      <c r="C49" s="1727">
        <f>R49</f>
        <v>27688</v>
      </c>
      <c r="D49" s="1728"/>
      <c r="E49" s="1728"/>
      <c r="F49" s="1728"/>
      <c r="G49" s="1728"/>
      <c r="H49" s="1728"/>
      <c r="I49" s="1728"/>
      <c r="J49" s="1728"/>
      <c r="K49" s="1729"/>
      <c r="L49" s="2918"/>
      <c r="P49" s="3565" t="str">
        <f>A49</f>
        <v>估价对象XX用房的比较价值（楼面单价，元/平方米）</v>
      </c>
      <c r="Q49" s="3566"/>
      <c r="R49" s="3567">
        <f>IF(E1="售价",ROUND(IF(D48="简单平均",AVERAGE(R48:V48),R48*F48+T48*H48+V48*J48),0),ROUND(IF(D48="简单平均",AVERAGE(R48:V48),R48*F48+T48*H48+V48*J48),1))</f>
        <v>27688</v>
      </c>
      <c r="S49" s="3567"/>
      <c r="T49" s="3567"/>
      <c r="U49" s="3567"/>
      <c r="V49" s="3567"/>
      <c r="W49" s="3567"/>
      <c r="X49" s="1717"/>
      <c r="Y49" s="1717"/>
      <c r="Z49" s="1717"/>
      <c r="AA49" s="1717"/>
      <c r="AB49" s="1717"/>
      <c r="AC49" s="1717"/>
    </row>
    <row r="50" spans="1:29">
      <c r="G50" s="2922"/>
    </row>
    <row r="52" spans="1:29" ht="13.5" customHeight="1">
      <c r="C52" s="383" t="s">
        <v>2052</v>
      </c>
      <c r="D52" s="1733"/>
      <c r="E52" s="1734">
        <f>IF(E47&lt;E48,E48/E47-1,E47/E48-1)</f>
        <v>5.7807692307692227E-2</v>
      </c>
      <c r="F52" s="1735" t="str">
        <f>IF(OR(E52&gt;=0.3,E52&lt;=-0.3),"超过30%","")</f>
        <v/>
      </c>
      <c r="G52" s="1734">
        <f>IF(G47&lt;G48,G48/G47-1,G47/G48-1)</f>
        <v>4.7423076923077012E-2</v>
      </c>
      <c r="H52" s="1735" t="str">
        <f>IF(OR(G52&gt;=0.3,G52&lt;=-0.3),"超过30%","")</f>
        <v/>
      </c>
      <c r="I52" s="1734">
        <f>IF(I47&lt;I48,I48/I47-1,I47/I48-1)</f>
        <v>6.078791301892128E-2</v>
      </c>
      <c r="J52" s="1735" t="str">
        <f>IF(OR(I52&gt;=0.3,I52&lt;=-0.3),"超过30%","")</f>
        <v/>
      </c>
    </row>
    <row r="53" spans="1:29" ht="13.5" customHeight="1">
      <c r="C53" s="383" t="s">
        <v>2053</v>
      </c>
      <c r="D53" s="1736"/>
      <c r="E53" s="1734">
        <f>IF(E48&lt;G48,G48/E48-1,E48/G48-1)</f>
        <v>9.914442037234128E-3</v>
      </c>
      <c r="F53" s="1735" t="str">
        <f>IF(OR(E53&gt;=0.2,E53&lt;=-0.2),"超过20%","")</f>
        <v/>
      </c>
      <c r="G53" s="1734">
        <f>IF(G48&lt;I48,I48/G48-1,G48/I48-1)</f>
        <v>4.0208570484338901E-2</v>
      </c>
      <c r="H53" s="1735" t="str">
        <f>IF(OR(G53&gt;=0.2,G53&lt;=-0.2),"超过20%","")</f>
        <v/>
      </c>
      <c r="I53" s="1734">
        <f>IF(I48&lt;E48,E48/I48-1,I48/E48-1)</f>
        <v>2.999672762971306E-2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3043</v>
      </c>
      <c r="D92" s="3324" t="s">
        <v>3045</v>
      </c>
      <c r="E92" s="3324" t="s">
        <v>3046</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3050</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3048</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3052</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3061</v>
      </c>
      <c r="D114" s="3324" t="s">
        <v>3062</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3042</v>
      </c>
      <c r="D116" s="468" t="s">
        <v>3056</v>
      </c>
      <c r="E116" s="468" t="s">
        <v>3057</v>
      </c>
      <c r="F116" s="468" t="s">
        <v>3058</v>
      </c>
      <c r="G116" s="468" t="s">
        <v>3059</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3052</v>
      </c>
      <c r="D122" s="3324" t="s">
        <v>3053</v>
      </c>
      <c r="E122" s="3324" t="s">
        <v>3055</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G38" sqref="G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16511187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32509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835269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834226</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507.9</v>
      </c>
      <c r="G7" s="909"/>
      <c r="H7" s="237"/>
      <c r="I7" s="238"/>
      <c r="J7" s="239"/>
      <c r="K7" s="240"/>
      <c r="L7" s="235" t="s">
        <v>1777</v>
      </c>
      <c r="M7" s="236">
        <f>IF('数据-取费表'!B42="",IF(D1="仅计算典型户型",'数据-取费表'!E5,'数据-取费表'!B5),'数据-取费表'!B42)</f>
        <v>507.9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1043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2548655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2031600</v>
      </c>
      <c r="D14" s="1256" t="s">
        <v>1795</v>
      </c>
      <c r="E14" s="1257"/>
      <c r="F14" s="757"/>
      <c r="G14" s="910"/>
      <c r="H14" s="253" t="s">
        <v>1774</v>
      </c>
      <c r="I14" s="235" t="s">
        <v>1796</v>
      </c>
      <c r="J14" s="13">
        <f ca="1">C29</f>
        <v>2929489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60948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43942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101580</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30474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2224602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44492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43942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94167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-43942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340364</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2929489</v>
      </c>
      <c r="D29" s="1034"/>
      <c r="E29" s="1032"/>
      <c r="F29" s="1035"/>
      <c r="G29" s="652"/>
      <c r="H29" s="271" t="s">
        <v>24</v>
      </c>
      <c r="I29" s="272" t="s">
        <v>1869</v>
      </c>
      <c r="J29" s="273">
        <f ca="1">ROUND(J26/(1+F40)^F41,0)</f>
        <v>0</v>
      </c>
      <c r="K29" s="274" t="s">
        <v>1870</v>
      </c>
      <c r="L29" s="275"/>
      <c r="M29" s="276">
        <f>IF(D1="仅计算典型户型",'数据-取费表'!E5,'数据-取费表'!B5)</f>
        <v>507.9</v>
      </c>
    </row>
    <row r="30" spans="1:37" ht="18" customHeight="1" thickTop="1">
      <c r="A30" s="1021" t="s">
        <v>14</v>
      </c>
      <c r="B30" s="1022" t="s">
        <v>1871</v>
      </c>
      <c r="C30" s="243">
        <f ca="1">ROUND(C31+C36+C37+C38,0)</f>
        <v>111733</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55615</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178406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43942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3823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8353</v>
      </c>
      <c r="D38" s="1034" t="s">
        <v>1846</v>
      </c>
      <c r="E38" s="1032" t="s">
        <v>1842</v>
      </c>
      <c r="F38" s="1027">
        <f>'数据-取费表'!B47</f>
        <v>0.01</v>
      </c>
      <c r="G38" s="652"/>
      <c r="H38" s="901"/>
      <c r="I38" s="280" t="s">
        <v>1884</v>
      </c>
      <c r="J38" s="136">
        <f ca="1">ROUND(J34/C39,3)</f>
        <v>0.247</v>
      </c>
      <c r="K38" s="906"/>
      <c r="L38" s="901"/>
      <c r="M38" s="901"/>
    </row>
    <row r="39" spans="1:18" ht="18" customHeight="1" thickTop="1">
      <c r="A39" s="1021" t="s">
        <v>22</v>
      </c>
      <c r="B39" s="1036" t="s">
        <v>1885</v>
      </c>
      <c r="C39" s="243">
        <f ca="1">C5-C30</f>
        <v>723536</v>
      </c>
      <c r="D39" s="1037" t="s">
        <v>1886</v>
      </c>
      <c r="E39" s="1038"/>
      <c r="F39" s="1039"/>
      <c r="G39" s="652"/>
      <c r="H39" s="901"/>
      <c r="I39" s="280" t="s">
        <v>1887</v>
      </c>
      <c r="J39" s="136">
        <f ca="1">1-J38</f>
        <v>0.753</v>
      </c>
      <c r="K39" s="906"/>
      <c r="L39" s="901"/>
      <c r="M39" s="901"/>
    </row>
    <row r="40" spans="1:18" s="652" customFormat="1" ht="18" customHeight="1">
      <c r="A40" s="232" t="s">
        <v>23</v>
      </c>
      <c r="B40" s="233" t="s">
        <v>1888</v>
      </c>
      <c r="C40" s="234">
        <f ca="1">ROUND(C39*(1-((1+F42)/(1+F40))^F41)/(F40-F42),0)</f>
        <v>16511187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0.154</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0.84599999999999997</v>
      </c>
      <c r="K42" s="905"/>
      <c r="L42" s="908"/>
      <c r="M42" s="908"/>
      <c r="Q42" s="656"/>
    </row>
    <row r="43" spans="1:18" s="652" customFormat="1" ht="18" customHeight="1" thickBot="1">
      <c r="A43" s="271" t="s">
        <v>24</v>
      </c>
      <c r="B43" s="272" t="s">
        <v>1891</v>
      </c>
      <c r="C43" s="273">
        <f ca="1">ROUND(C40/F43,0)</f>
        <v>32509</v>
      </c>
      <c r="D43" s="274" t="s">
        <v>1892</v>
      </c>
      <c r="E43" s="275" t="s">
        <v>1893</v>
      </c>
      <c r="F43" s="276">
        <f>IF(D1="仅计算典型户型",'数据-取费表'!E5,'数据-取费表'!B5)</f>
        <v>507.9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16511187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-17277630</v>
      </c>
      <c r="D47" s="1456" t="str">
        <f>C2</f>
        <v>元</v>
      </c>
      <c r="E47" s="649"/>
      <c r="F47" s="649"/>
      <c r="I47" s="1457" t="s">
        <v>1904</v>
      </c>
      <c r="J47" s="981"/>
      <c r="K47" s="982"/>
      <c r="L47" s="995" t="str">
        <f>IF(M48="住宅",0,IF(L49&gt;J52,L61,J61))</f>
        <v>0</v>
      </c>
      <c r="O47" s="1009" t="s">
        <v>769</v>
      </c>
      <c r="P47" s="1006" t="s">
        <v>1905</v>
      </c>
      <c r="Q47" s="1007">
        <f ca="1">C29</f>
        <v>2929489</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3065</v>
      </c>
      <c r="K49" s="1463" t="s">
        <v>1916</v>
      </c>
      <c r="L49" s="821">
        <f>'数据-取费表'!B13</f>
        <v>40</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507.9</v>
      </c>
      <c r="I51" s="1461" t="s">
        <v>1924</v>
      </c>
      <c r="J51" s="985">
        <f>SUMPRODUCT((I64:I66=J48)*(J63:L63=J49)*(J64:L66))</f>
        <v>60</v>
      </c>
      <c r="K51" s="1465" t="s">
        <v>1925</v>
      </c>
      <c r="L51" s="984"/>
      <c r="O51" s="1005" t="s">
        <v>773</v>
      </c>
      <c r="P51" s="1006" t="str">
        <f>IF(C2="元","收益价值(元)","收益价值(万元)")</f>
        <v>收益价值(元)</v>
      </c>
      <c r="Q51" s="1007">
        <f ca="1">ROUND(IF(C2="元",Q45+Q46,(Q45+Q46)/10000),0)</f>
        <v>16511187</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300818355</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613" t="s">
        <v>2460</v>
      </c>
      <c r="L54" s="3614"/>
      <c r="O54" s="1005" t="s">
        <v>767</v>
      </c>
      <c r="P54" s="1006" t="s">
        <v>1899</v>
      </c>
      <c r="Q54" s="1007">
        <f ca="1">C40+J29</f>
        <v>16511187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2548655</v>
      </c>
      <c r="D57" s="941"/>
      <c r="E57" s="942"/>
      <c r="F57" s="949"/>
      <c r="I57" s="1475" t="s">
        <v>1936</v>
      </c>
      <c r="J57" s="993" t="s">
        <v>3086</v>
      </c>
      <c r="K57" s="1461" t="s">
        <v>1937</v>
      </c>
      <c r="L57" s="821" t="str">
        <f>IF(L49&lt;J52,"——",L49-J52)</f>
        <v>——</v>
      </c>
      <c r="O57" s="1009" t="s">
        <v>770</v>
      </c>
      <c r="P57" s="1006" t="s">
        <v>1938</v>
      </c>
      <c r="Q57" s="1010">
        <f>L53</f>
        <v>0</v>
      </c>
      <c r="R57" s="1008"/>
    </row>
    <row r="58" spans="1:18" s="652" customFormat="1" ht="29.25" thickBot="1">
      <c r="A58" s="948"/>
      <c r="B58" s="235" t="s">
        <v>1868</v>
      </c>
      <c r="C58" s="104">
        <f ca="1">C29</f>
        <v>2929489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47765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16511187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16511187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43942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300818355</v>
      </c>
      <c r="R65" s="1012" t="s">
        <v>1962</v>
      </c>
    </row>
    <row r="66" spans="1:18" s="652" customFormat="1" ht="20.25" thickBot="1">
      <c r="A66" s="253" t="s">
        <v>20</v>
      </c>
      <c r="B66" s="235" t="s">
        <v>1840</v>
      </c>
      <c r="C66" s="13">
        <f ca="1">ROUND(C57*F66,0)</f>
        <v>3823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545130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723536</v>
      </c>
      <c r="R67" s="1008" t="s">
        <v>1900</v>
      </c>
    </row>
    <row r="68" spans="1:18" ht="15.75" thickBot="1">
      <c r="A68" s="248" t="s">
        <v>22</v>
      </c>
      <c r="B68" s="41" t="s">
        <v>1850</v>
      </c>
      <c r="C68" s="250">
        <f ca="1">C49-C59</f>
        <v>-47765</v>
      </c>
      <c r="D68" s="1256" t="s">
        <v>1851</v>
      </c>
      <c r="E68" s="1258"/>
      <c r="F68" s="268"/>
      <c r="H68" s="652"/>
      <c r="I68" s="652"/>
      <c r="J68" s="652"/>
      <c r="K68" s="652"/>
      <c r="L68" s="652"/>
      <c r="M68" s="652"/>
      <c r="O68" s="1009" t="s">
        <v>776</v>
      </c>
      <c r="P68" s="1013" t="s">
        <v>1966</v>
      </c>
      <c r="Q68" s="1007">
        <f ca="1">C13</f>
        <v>2548655</v>
      </c>
      <c r="R68" s="1008" t="s">
        <v>1900</v>
      </c>
    </row>
    <row r="69" spans="1:18" ht="15.75" thickBot="1">
      <c r="A69" s="232" t="s">
        <v>23</v>
      </c>
      <c r="B69" s="233" t="s">
        <v>1888</v>
      </c>
      <c r="C69" s="234">
        <f ca="1">ROUND(C68*(1-((1+F71)/(1+F69))^F70)/(F69-F71),0)</f>
        <v>-766443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-1509</v>
      </c>
      <c r="D72" s="274" t="s">
        <v>1892</v>
      </c>
      <c r="E72" s="275" t="s">
        <v>1893</v>
      </c>
      <c r="F72" s="276">
        <f>F43</f>
        <v>507.9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16511187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15" t="s">
        <v>2653</v>
      </c>
      <c r="K2" s="3616"/>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17" t="s">
        <v>2663</v>
      </c>
      <c r="K3" s="3618"/>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17" t="s">
        <v>2665</v>
      </c>
      <c r="K4" s="3618"/>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19" t="s">
        <v>2669</v>
      </c>
      <c r="B6" s="3620"/>
      <c r="C6" s="3621"/>
      <c r="D6" s="3151"/>
      <c r="E6" s="3095"/>
      <c r="F6" s="3096"/>
      <c r="G6" s="3196"/>
      <c r="H6" s="3182"/>
      <c r="I6" s="3183"/>
      <c r="J6" s="3622">
        <v>1</v>
      </c>
      <c r="K6" s="3623"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22"/>
      <c r="K7" s="3624"/>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26" t="s">
        <v>2682</v>
      </c>
      <c r="C8" s="3627"/>
      <c r="D8" s="3105" t="s">
        <v>2683</v>
      </c>
      <c r="E8" s="3106" t="s">
        <v>2684</v>
      </c>
      <c r="F8" s="3089" t="s">
        <v>2685</v>
      </c>
      <c r="G8" s="3259" t="s">
        <v>2793</v>
      </c>
      <c r="H8" s="3182"/>
      <c r="I8" s="3183"/>
      <c r="J8" s="3622"/>
      <c r="K8" s="3624"/>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26" t="s">
        <v>2687</v>
      </c>
      <c r="C9" s="3627"/>
      <c r="D9" s="3105">
        <f>ROUND(D6*E9,0)</f>
        <v>0</v>
      </c>
      <c r="E9" s="3152"/>
      <c r="F9" s="3107" t="s">
        <v>2688</v>
      </c>
      <c r="G9" s="3205" t="s">
        <v>2791</v>
      </c>
      <c r="H9" s="3182"/>
      <c r="I9" s="3183"/>
      <c r="J9" s="3622"/>
      <c r="K9" s="3624"/>
      <c r="L9" s="3200" t="s">
        <v>2781</v>
      </c>
      <c r="M9" s="3201"/>
      <c r="N9" s="3201"/>
      <c r="O9" s="3202"/>
      <c r="P9" s="3202"/>
      <c r="Q9" s="3203">
        <v>365</v>
      </c>
      <c r="R9" s="3204">
        <f t="shared" si="0"/>
        <v>0</v>
      </c>
      <c r="S9" s="3180"/>
      <c r="T9" s="3180"/>
      <c r="U9" s="3180"/>
      <c r="V9" s="3183"/>
      <c r="W9" s="3182"/>
    </row>
    <row r="10" spans="1:23" s="3088" customFormat="1" ht="13.15" customHeight="1">
      <c r="A10" s="3104">
        <v>2</v>
      </c>
      <c r="B10" s="3626" t="s">
        <v>2689</v>
      </c>
      <c r="C10" s="3627"/>
      <c r="D10" s="3105">
        <f>ROUND(D6*E10,0)</f>
        <v>0</v>
      </c>
      <c r="E10" s="3152"/>
      <c r="F10" s="3107" t="s">
        <v>2690</v>
      </c>
      <c r="G10" s="3205" t="s">
        <v>2792</v>
      </c>
      <c r="H10" s="3182"/>
      <c r="I10" s="3183"/>
      <c r="J10" s="3622"/>
      <c r="K10" s="3624"/>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26" t="s">
        <v>2691</v>
      </c>
      <c r="C11" s="3627"/>
      <c r="D11" s="3105">
        <f>D12+D14+D15+D16</f>
        <v>0</v>
      </c>
      <c r="E11" s="3108" t="e">
        <f>D11/D6</f>
        <v>#DIV/0!</v>
      </c>
      <c r="F11" s="3089"/>
      <c r="G11" s="3205"/>
      <c r="H11" s="3182"/>
      <c r="I11" s="3183"/>
      <c r="J11" s="3622"/>
      <c r="K11" s="3624"/>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8" t="s">
        <v>2693</v>
      </c>
      <c r="C12" s="3629"/>
      <c r="D12" s="3110">
        <f>ROUND(D13*1.2%*(1-30%),0)</f>
        <v>0</v>
      </c>
      <c r="E12" s="3111">
        <v>1.2E-2</v>
      </c>
      <c r="F12" s="3089" t="s">
        <v>2694</v>
      </c>
      <c r="G12" s="3205"/>
      <c r="H12" s="3182"/>
      <c r="I12" s="3183"/>
      <c r="J12" s="3622"/>
      <c r="K12" s="3624"/>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22"/>
      <c r="K13" s="3624"/>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8" t="s">
        <v>2697</v>
      </c>
      <c r="C14" s="3629"/>
      <c r="D14" s="3110">
        <f>ROUND(E14*B5/10000,0)</f>
        <v>0</v>
      </c>
      <c r="E14" s="3154"/>
      <c r="F14" s="3089" t="s">
        <v>2698</v>
      </c>
      <c r="G14" s="3205"/>
      <c r="H14" s="3182"/>
      <c r="I14" s="3183"/>
      <c r="J14" s="3622"/>
      <c r="K14" s="3625"/>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8" t="s">
        <v>2701</v>
      </c>
      <c r="C15" s="3629"/>
      <c r="D15" s="3110">
        <f>ROUND(D6*E15,0)</f>
        <v>0</v>
      </c>
      <c r="E15" s="3111">
        <v>5.5E-2</v>
      </c>
      <c r="F15" s="3089" t="s">
        <v>2702</v>
      </c>
      <c r="G15" s="3205"/>
      <c r="H15" s="3182"/>
      <c r="I15" s="3183"/>
      <c r="J15" s="3622">
        <v>2</v>
      </c>
      <c r="K15" s="3623"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8" t="s">
        <v>2712</v>
      </c>
      <c r="C16" s="3629"/>
      <c r="D16" s="3155">
        <f>D6*E16</f>
        <v>0</v>
      </c>
      <c r="E16" s="3156"/>
      <c r="F16" s="3107" t="s">
        <v>2713</v>
      </c>
      <c r="G16" s="3205"/>
      <c r="H16" s="3182"/>
      <c r="I16" s="3183"/>
      <c r="J16" s="3622"/>
      <c r="K16" s="3624"/>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30" t="s">
        <v>2714</v>
      </c>
      <c r="C17" s="3631"/>
      <c r="D17" s="3116">
        <f>ROUND(D6*E17,0)</f>
        <v>0</v>
      </c>
      <c r="E17" s="3157"/>
      <c r="F17" s="3117" t="s">
        <v>2715</v>
      </c>
      <c r="G17" s="3258">
        <v>0.1</v>
      </c>
      <c r="H17" s="3182"/>
      <c r="I17" s="3183"/>
      <c r="J17" s="3622"/>
      <c r="K17" s="3624"/>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22"/>
      <c r="K18" s="3624"/>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22"/>
      <c r="K19" s="3625"/>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22">
        <v>3</v>
      </c>
      <c r="K20" s="3623"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22"/>
      <c r="K21" s="3624"/>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22"/>
      <c r="K22" s="3624"/>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22"/>
      <c r="K23" s="3624"/>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22"/>
      <c r="K24" s="3625"/>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32">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33"/>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15" t="s">
        <v>2751</v>
      </c>
      <c r="K32" s="3616"/>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17" t="s">
        <v>2755</v>
      </c>
      <c r="K33" s="3618"/>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17" t="s">
        <v>2757</v>
      </c>
      <c r="K34" s="3618"/>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22">
        <v>1</v>
      </c>
      <c r="K36" s="3623"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22"/>
      <c r="K37" s="3624"/>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22"/>
      <c r="K38" s="3624"/>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22"/>
      <c r="K39" s="3624"/>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22"/>
      <c r="K40" s="3625"/>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32">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33"/>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507.9</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95" t="s">
        <v>2009</v>
      </c>
      <c r="AC4" s="3582" t="s">
        <v>2010</v>
      </c>
    </row>
    <row r="5" spans="1:29" ht="15">
      <c r="A5" s="1596"/>
      <c r="B5" s="1597"/>
      <c r="C5" s="3598" t="s">
        <v>2013</v>
      </c>
      <c r="D5" s="3599"/>
      <c r="E5" s="3596" t="s">
        <v>2014</v>
      </c>
      <c r="F5" s="3597"/>
      <c r="G5" s="3598" t="s">
        <v>2015</v>
      </c>
      <c r="H5" s="3599"/>
      <c r="I5" s="3598" t="s">
        <v>2016</v>
      </c>
      <c r="J5" s="3599"/>
      <c r="K5" s="1891"/>
      <c r="L5" s="2912"/>
      <c r="M5" s="2913"/>
      <c r="N5" s="2913"/>
      <c r="O5" s="2913"/>
      <c r="P5" s="3591"/>
      <c r="Q5" s="3592"/>
      <c r="R5" s="3575"/>
      <c r="S5" s="3576"/>
      <c r="T5" s="3575"/>
      <c r="U5" s="3576"/>
      <c r="V5" s="3595"/>
      <c r="W5" s="3595"/>
      <c r="X5" s="2000"/>
      <c r="Y5" s="3575"/>
      <c r="Z5" s="3576"/>
      <c r="AA5" s="3583"/>
      <c r="AB5" s="3595"/>
      <c r="AC5" s="3583"/>
    </row>
    <row r="6" spans="1:29"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2000"/>
      <c r="Y6" s="3577"/>
      <c r="Z6" s="3578"/>
      <c r="AA6" s="3584"/>
      <c r="AB6" s="3595"/>
      <c r="AC6" s="3584"/>
    </row>
    <row r="7" spans="1:29" s="1613" customFormat="1" ht="15.75" thickBot="1">
      <c r="A7" s="1601" t="s">
        <v>2019</v>
      </c>
      <c r="B7" s="1602"/>
      <c r="C7" s="1603">
        <f>'数据-取费表'!B2</f>
        <v>44858</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11" t="s">
        <v>2026</v>
      </c>
      <c r="Q9" s="1991"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11"/>
      <c r="Q10" s="1991"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11"/>
      <c r="Q11" s="1991"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11"/>
      <c r="Q12" s="1991">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11"/>
      <c r="Q13" s="1991">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11"/>
      <c r="Q14" s="1991">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06" t="s">
        <v>2031</v>
      </c>
      <c r="Q15" s="1997" t="str">
        <f t="shared" si="6"/>
        <v>商业繁华度</v>
      </c>
      <c r="R15" s="1654" t="s">
        <v>25</v>
      </c>
      <c r="S15" s="1655">
        <f t="shared" si="0"/>
        <v>100</v>
      </c>
      <c r="T15" s="1654" t="s">
        <v>25</v>
      </c>
      <c r="U15" s="1655">
        <f t="shared" si="1"/>
        <v>100</v>
      </c>
      <c r="V15" s="1654" t="s">
        <v>25</v>
      </c>
      <c r="W15" s="1655">
        <f t="shared" si="2"/>
        <v>100</v>
      </c>
      <c r="X15" s="2000"/>
      <c r="Y15" s="358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07"/>
      <c r="Q16" s="1997"/>
      <c r="R16" s="1654"/>
      <c r="S16" s="1655"/>
      <c r="T16" s="1654"/>
      <c r="U16" s="1655"/>
      <c r="V16" s="1654"/>
      <c r="W16" s="1655"/>
      <c r="X16" s="2000"/>
      <c r="Y16" s="3581"/>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07"/>
      <c r="Q17" s="1997"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07"/>
      <c r="Q18" s="1997"/>
      <c r="R18" s="1654"/>
      <c r="S18" s="1655"/>
      <c r="T18" s="1654"/>
      <c r="U18" s="1655"/>
      <c r="V18" s="1654"/>
      <c r="W18" s="1655"/>
      <c r="X18" s="2000"/>
      <c r="Y18" s="3581"/>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07"/>
      <c r="Q19" s="1997"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07"/>
      <c r="Q20" s="1997"/>
      <c r="R20" s="1654"/>
      <c r="S20" s="1655"/>
      <c r="T20" s="1654"/>
      <c r="U20" s="1655"/>
      <c r="V20" s="1654"/>
      <c r="W20" s="1655"/>
      <c r="X20" s="2000"/>
      <c r="Y20" s="3581"/>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07"/>
      <c r="Q21" s="1997"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07"/>
      <c r="Q22" s="1997"/>
      <c r="R22" s="1654"/>
      <c r="S22" s="1655"/>
      <c r="T22" s="1654"/>
      <c r="U22" s="1655"/>
      <c r="V22" s="1654"/>
      <c r="W22" s="1655"/>
      <c r="X22" s="2000"/>
      <c r="Y22" s="3581"/>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07"/>
      <c r="Q23" s="1997" t="str">
        <f>B23</f>
        <v>自然及人文环境</v>
      </c>
      <c r="R23" s="1654" t="s">
        <v>25</v>
      </c>
      <c r="S23" s="1655">
        <f>F23</f>
        <v>100</v>
      </c>
      <c r="T23" s="1654" t="s">
        <v>25</v>
      </c>
      <c r="U23" s="1655">
        <f>H23</f>
        <v>100</v>
      </c>
      <c r="V23" s="1654" t="s">
        <v>25</v>
      </c>
      <c r="W23" s="1655">
        <f>J23</f>
        <v>100</v>
      </c>
      <c r="X23" s="2000"/>
      <c r="Y23" s="358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07"/>
      <c r="Q24" s="1997"/>
      <c r="R24" s="1654"/>
      <c r="S24" s="1655"/>
      <c r="T24" s="1654"/>
      <c r="U24" s="1655"/>
      <c r="V24" s="1654"/>
      <c r="W24" s="1655"/>
      <c r="X24" s="2000"/>
      <c r="Y24" s="358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07"/>
      <c r="Q25" s="1997" t="str">
        <f t="shared" ref="Q25:Q46" si="11">B25</f>
        <v>临街状况</v>
      </c>
      <c r="R25" s="1654" t="s">
        <v>25</v>
      </c>
      <c r="S25" s="1655">
        <f>F25</f>
        <v>100</v>
      </c>
      <c r="T25" s="1654" t="s">
        <v>25</v>
      </c>
      <c r="U25" s="1655">
        <f>H25</f>
        <v>100</v>
      </c>
      <c r="V25" s="1654" t="s">
        <v>25</v>
      </c>
      <c r="W25" s="1655">
        <f>J25</f>
        <v>100</v>
      </c>
      <c r="X25" s="2000"/>
      <c r="Y25" s="358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07"/>
      <c r="Q26" s="1997" t="str">
        <f t="shared" si="11"/>
        <v>平面位置/可视性</v>
      </c>
      <c r="R26" s="1654" t="s">
        <v>25</v>
      </c>
      <c r="S26" s="1655">
        <f>F26</f>
        <v>100</v>
      </c>
      <c r="T26" s="1654" t="s">
        <v>25</v>
      </c>
      <c r="U26" s="1655">
        <f>H26</f>
        <v>100</v>
      </c>
      <c r="V26" s="1654" t="s">
        <v>25</v>
      </c>
      <c r="W26" s="1655">
        <f>J26</f>
        <v>100</v>
      </c>
      <c r="X26" s="2000"/>
      <c r="Y26" s="358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07"/>
      <c r="Q27" s="1991" t="str">
        <f t="shared" si="11"/>
        <v>人流量</v>
      </c>
      <c r="R27" s="1609" t="s">
        <v>25</v>
      </c>
      <c r="S27" s="1610">
        <f>F27</f>
        <v>100</v>
      </c>
      <c r="T27" s="1609" t="s">
        <v>25</v>
      </c>
      <c r="U27" s="1610">
        <f>H27</f>
        <v>100</v>
      </c>
      <c r="V27" s="1609" t="s">
        <v>25</v>
      </c>
      <c r="W27" s="1610">
        <f>J27</f>
        <v>100</v>
      </c>
      <c r="X27" s="1611"/>
      <c r="Y27" s="358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07"/>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8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07"/>
      <c r="Q29" s="1997">
        <f t="shared" si="11"/>
        <v>111</v>
      </c>
      <c r="R29" s="1654" t="s">
        <v>25</v>
      </c>
      <c r="S29" s="1655">
        <f t="shared" si="12"/>
        <v>100</v>
      </c>
      <c r="T29" s="1654" t="s">
        <v>25</v>
      </c>
      <c r="U29" s="1655">
        <f t="shared" si="13"/>
        <v>100</v>
      </c>
      <c r="V29" s="1654" t="s">
        <v>25</v>
      </c>
      <c r="W29" s="1655">
        <f t="shared" si="14"/>
        <v>100</v>
      </c>
      <c r="X29" s="2000"/>
      <c r="Y29" s="358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07"/>
      <c r="Q30" s="1997">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07"/>
      <c r="Q31" s="1997">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08" t="s">
        <v>2037</v>
      </c>
      <c r="Q32" s="1997" t="str">
        <f t="shared" si="11"/>
        <v>商业类型</v>
      </c>
      <c r="R32" s="1654" t="s">
        <v>25</v>
      </c>
      <c r="S32" s="1655">
        <f t="shared" si="12"/>
        <v>100</v>
      </c>
      <c r="T32" s="1654" t="s">
        <v>25</v>
      </c>
      <c r="U32" s="1655">
        <f t="shared" si="13"/>
        <v>100</v>
      </c>
      <c r="V32" s="1654" t="s">
        <v>25</v>
      </c>
      <c r="W32" s="1655">
        <f t="shared" si="14"/>
        <v>100</v>
      </c>
      <c r="X32" s="2000"/>
      <c r="Y32" s="3569"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09"/>
      <c r="Q33" s="1694" t="str">
        <f t="shared" si="11"/>
        <v>项目建筑规模</v>
      </c>
      <c r="R33" s="1695" t="s">
        <v>25</v>
      </c>
      <c r="S33" s="1696" t="e">
        <f t="shared" si="12"/>
        <v>#N/A</v>
      </c>
      <c r="T33" s="1695" t="s">
        <v>25</v>
      </c>
      <c r="U33" s="1696" t="e">
        <f t="shared" si="13"/>
        <v>#N/A</v>
      </c>
      <c r="V33" s="1695" t="s">
        <v>25</v>
      </c>
      <c r="W33" s="1696" t="e">
        <f t="shared" si="14"/>
        <v>#N/A</v>
      </c>
      <c r="X33" s="1697"/>
      <c r="Y33" s="3569"/>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09"/>
      <c r="Q34" s="1997" t="str">
        <f t="shared" si="11"/>
        <v>建筑结构</v>
      </c>
      <c r="R34" s="1654" t="s">
        <v>25</v>
      </c>
      <c r="S34" s="1655">
        <f t="shared" si="12"/>
        <v>100</v>
      </c>
      <c r="T34" s="1654" t="s">
        <v>25</v>
      </c>
      <c r="U34" s="1655">
        <f t="shared" si="13"/>
        <v>100</v>
      </c>
      <c r="V34" s="1654" t="s">
        <v>25</v>
      </c>
      <c r="W34" s="1655">
        <f t="shared" si="14"/>
        <v>100</v>
      </c>
      <c r="X34" s="2000"/>
      <c r="Y34" s="3569"/>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09"/>
      <c r="Q35" s="1997" t="str">
        <f t="shared" si="11"/>
        <v>公共部分装修</v>
      </c>
      <c r="R35" s="1654" t="s">
        <v>25</v>
      </c>
      <c r="S35" s="1655">
        <f t="shared" si="12"/>
        <v>100</v>
      </c>
      <c r="T35" s="1654" t="s">
        <v>25</v>
      </c>
      <c r="U35" s="1655">
        <f t="shared" si="13"/>
        <v>100</v>
      </c>
      <c r="V35" s="1654" t="s">
        <v>25</v>
      </c>
      <c r="W35" s="1655">
        <f t="shared" si="14"/>
        <v>100</v>
      </c>
      <c r="X35" s="2000"/>
      <c r="Y35" s="3569"/>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09"/>
      <c r="Q36" s="1997" t="str">
        <f t="shared" si="11"/>
        <v>成新度</v>
      </c>
      <c r="R36" s="1654" t="s">
        <v>25</v>
      </c>
      <c r="S36" s="1655" t="e">
        <f t="shared" si="12"/>
        <v>#N/A</v>
      </c>
      <c r="T36" s="1654" t="s">
        <v>25</v>
      </c>
      <c r="U36" s="1655" t="e">
        <f t="shared" si="13"/>
        <v>#N/A</v>
      </c>
      <c r="V36" s="1654" t="s">
        <v>25</v>
      </c>
      <c r="W36" s="1655" t="e">
        <f t="shared" si="14"/>
        <v>#N/A</v>
      </c>
      <c r="X36" s="2000"/>
      <c r="Y36" s="3569"/>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09"/>
      <c r="Q37" s="1991" t="str">
        <f t="shared" si="11"/>
        <v>市政基础设施</v>
      </c>
      <c r="R37" s="1609" t="s">
        <v>25</v>
      </c>
      <c r="S37" s="1610">
        <f t="shared" si="12"/>
        <v>100</v>
      </c>
      <c r="T37" s="1609" t="s">
        <v>25</v>
      </c>
      <c r="U37" s="1610">
        <f t="shared" si="13"/>
        <v>100</v>
      </c>
      <c r="V37" s="1609" t="s">
        <v>25</v>
      </c>
      <c r="W37" s="1610">
        <f t="shared" si="14"/>
        <v>100</v>
      </c>
      <c r="X37" s="1611"/>
      <c r="Y37" s="3569"/>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09" t="s">
        <v>2037</v>
      </c>
      <c r="Q38" s="1997" t="str">
        <f t="shared" si="11"/>
        <v>业态</v>
      </c>
      <c r="R38" s="1654" t="s">
        <v>25</v>
      </c>
      <c r="S38" s="1655">
        <f t="shared" si="12"/>
        <v>100</v>
      </c>
      <c r="T38" s="1654" t="s">
        <v>25</v>
      </c>
      <c r="U38" s="1655">
        <f t="shared" si="13"/>
        <v>100</v>
      </c>
      <c r="V38" s="1654" t="s">
        <v>25</v>
      </c>
      <c r="W38" s="1655">
        <f t="shared" si="14"/>
        <v>100</v>
      </c>
      <c r="X38" s="2000"/>
      <c r="Y38" s="3569"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09"/>
      <c r="Q39" s="1997" t="str">
        <f t="shared" si="11"/>
        <v>层高</v>
      </c>
      <c r="R39" s="1654" t="s">
        <v>25</v>
      </c>
      <c r="S39" s="1655">
        <f t="shared" si="12"/>
        <v>100</v>
      </c>
      <c r="T39" s="1654" t="s">
        <v>25</v>
      </c>
      <c r="U39" s="1655">
        <f t="shared" si="13"/>
        <v>100</v>
      </c>
      <c r="V39" s="1654" t="s">
        <v>25</v>
      </c>
      <c r="W39" s="1655">
        <f t="shared" si="14"/>
        <v>100</v>
      </c>
      <c r="X39" s="2000"/>
      <c r="Y39" s="3569"/>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09"/>
      <c r="Q40" s="1997" t="str">
        <f t="shared" si="11"/>
        <v>单套建筑面积</v>
      </c>
      <c r="R40" s="1654" t="s">
        <v>25</v>
      </c>
      <c r="S40" s="1655">
        <f t="shared" si="12"/>
        <v>100</v>
      </c>
      <c r="T40" s="1654" t="s">
        <v>25</v>
      </c>
      <c r="U40" s="1655">
        <f t="shared" si="13"/>
        <v>100</v>
      </c>
      <c r="V40" s="1654" t="s">
        <v>25</v>
      </c>
      <c r="W40" s="1655">
        <f t="shared" si="14"/>
        <v>100</v>
      </c>
      <c r="X40" s="2000"/>
      <c r="Y40" s="3569"/>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09"/>
      <c r="Q41" s="1694" t="str">
        <f t="shared" si="11"/>
        <v>进深比</v>
      </c>
      <c r="R41" s="1695" t="s">
        <v>25</v>
      </c>
      <c r="S41" s="1696">
        <f t="shared" si="12"/>
        <v>100</v>
      </c>
      <c r="T41" s="1695" t="s">
        <v>25</v>
      </c>
      <c r="U41" s="1696">
        <f t="shared" si="13"/>
        <v>100</v>
      </c>
      <c r="V41" s="1695" t="s">
        <v>25</v>
      </c>
      <c r="W41" s="1696">
        <f t="shared" si="14"/>
        <v>100</v>
      </c>
      <c r="X41" s="1697"/>
      <c r="Y41" s="3569"/>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09"/>
      <c r="Q42" s="1997" t="str">
        <f t="shared" si="11"/>
        <v>内部装修</v>
      </c>
      <c r="R42" s="1654" t="s">
        <v>25</v>
      </c>
      <c r="S42" s="1655">
        <f t="shared" si="12"/>
        <v>100</v>
      </c>
      <c r="T42" s="1654" t="s">
        <v>25</v>
      </c>
      <c r="U42" s="1655">
        <f t="shared" si="13"/>
        <v>100</v>
      </c>
      <c r="V42" s="1654" t="s">
        <v>25</v>
      </c>
      <c r="W42" s="1655">
        <f t="shared" si="14"/>
        <v>100</v>
      </c>
      <c r="X42" s="2000"/>
      <c r="Y42" s="3569"/>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09"/>
      <c r="Q43" s="1997" t="str">
        <f t="shared" si="11"/>
        <v>内部装修维护情况</v>
      </c>
      <c r="R43" s="1654" t="s">
        <v>25</v>
      </c>
      <c r="S43" s="1655">
        <f t="shared" si="12"/>
        <v>100</v>
      </c>
      <c r="T43" s="1654" t="s">
        <v>25</v>
      </c>
      <c r="U43" s="1655">
        <f t="shared" si="13"/>
        <v>100</v>
      </c>
      <c r="V43" s="1654" t="s">
        <v>25</v>
      </c>
      <c r="W43" s="1655">
        <f t="shared" si="14"/>
        <v>100</v>
      </c>
      <c r="X43" s="2000"/>
      <c r="Y43" s="3569"/>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09"/>
      <c r="Q44" s="1991">
        <f t="shared" si="11"/>
        <v>111</v>
      </c>
      <c r="R44" s="1609" t="s">
        <v>25</v>
      </c>
      <c r="S44" s="1610">
        <f t="shared" si="12"/>
        <v>100</v>
      </c>
      <c r="T44" s="1609" t="s">
        <v>25</v>
      </c>
      <c r="U44" s="1610">
        <f t="shared" si="13"/>
        <v>100</v>
      </c>
      <c r="V44" s="1609" t="s">
        <v>25</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09"/>
      <c r="Q45" s="1997">
        <f t="shared" si="11"/>
        <v>111</v>
      </c>
      <c r="R45" s="1654" t="s">
        <v>25</v>
      </c>
      <c r="S45" s="1655">
        <f t="shared" si="12"/>
        <v>100</v>
      </c>
      <c r="T45" s="1654" t="s">
        <v>25</v>
      </c>
      <c r="U45" s="1655">
        <f t="shared" si="13"/>
        <v>100</v>
      </c>
      <c r="V45" s="1654" t="s">
        <v>25</v>
      </c>
      <c r="W45" s="1655">
        <f t="shared" si="14"/>
        <v>100</v>
      </c>
      <c r="X45" s="2000"/>
      <c r="Y45" s="3569"/>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10"/>
      <c r="Q46" s="1997">
        <f t="shared" si="11"/>
        <v>111</v>
      </c>
      <c r="R46" s="1654" t="s">
        <v>25</v>
      </c>
      <c r="S46" s="1655">
        <f t="shared" si="12"/>
        <v>100</v>
      </c>
      <c r="T46" s="1654" t="s">
        <v>25</v>
      </c>
      <c r="U46" s="1655">
        <f t="shared" si="13"/>
        <v>100</v>
      </c>
      <c r="V46" s="1654" t="s">
        <v>25</v>
      </c>
      <c r="W46" s="1655">
        <f t="shared" si="14"/>
        <v>100</v>
      </c>
      <c r="X46" s="2000"/>
      <c r="Y46" s="3570"/>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3" t="str">
        <f>A47</f>
        <v>成交单价（元/平方米）</v>
      </c>
      <c r="Q47" s="3563"/>
      <c r="R47" s="3564">
        <f>E47</f>
        <v>0</v>
      </c>
      <c r="S47" s="3564"/>
      <c r="T47" s="3564">
        <f>G47</f>
        <v>0</v>
      </c>
      <c r="U47" s="3564"/>
      <c r="V47" s="3564">
        <f>I47</f>
        <v>0</v>
      </c>
      <c r="W47" s="3564"/>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3" t="str">
        <f>A48</f>
        <v>比较价值（元/平方米）</v>
      </c>
      <c r="Q48" s="3563"/>
      <c r="R48" s="3564" t="e">
        <f>IF(E1="售价",ROUND(PRODUCT(R47,AA7:AA46),0),ROUND(PRODUCT(R47,AA7:AA46),1))</f>
        <v>#DIV/0!</v>
      </c>
      <c r="S48" s="3564"/>
      <c r="T48" s="3564" t="e">
        <f>IF(E1="售价",ROUND(PRODUCT(T47,AB7:AB46),0),ROUND(PRODUCT(T47,AB7:AB46),1))</f>
        <v>#DIV/0!</v>
      </c>
      <c r="U48" s="3564"/>
      <c r="V48" s="3564" t="e">
        <f>IF(E1="售价",ROUND(PRODUCT(V47,AC7:AC46),0),ROUND(PRODUCT(V47,AC7:AC46),1))</f>
        <v>#DIV/0!</v>
      </c>
      <c r="W48" s="3564"/>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507.9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8"/>
      <c r="Q16" s="1262"/>
      <c r="R16" s="631"/>
      <c r="S16" s="632"/>
      <c r="T16" s="631"/>
      <c r="U16" s="632"/>
      <c r="V16" s="631"/>
      <c r="W16" s="632"/>
      <c r="X16" s="1263"/>
      <c r="Y16" s="365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8"/>
      <c r="Q18" s="1262"/>
      <c r="R18" s="631"/>
      <c r="S18" s="632"/>
      <c r="T18" s="631"/>
      <c r="U18" s="632"/>
      <c r="V18" s="631"/>
      <c r="W18" s="632"/>
      <c r="X18" s="1263"/>
      <c r="Y18" s="365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8"/>
      <c r="Q20" s="1262"/>
      <c r="R20" s="631"/>
      <c r="S20" s="632"/>
      <c r="T20" s="631"/>
      <c r="U20" s="632"/>
      <c r="V20" s="631"/>
      <c r="W20" s="632"/>
      <c r="X20" s="1263"/>
      <c r="Y20" s="365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8"/>
      <c r="Q22" s="1262"/>
      <c r="R22" s="631"/>
      <c r="S22" s="632"/>
      <c r="T22" s="631"/>
      <c r="U22" s="632"/>
      <c r="V22" s="631"/>
      <c r="W22" s="632"/>
      <c r="X22" s="1263"/>
      <c r="Y22" s="365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507.9</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8"/>
      <c r="Q15" s="1262"/>
      <c r="R15" s="631"/>
      <c r="S15" s="632"/>
      <c r="T15" s="631"/>
      <c r="U15" s="632"/>
      <c r="V15" s="631"/>
      <c r="W15" s="632"/>
      <c r="X15" s="1263"/>
      <c r="Y15" s="365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8"/>
      <c r="Q17" s="1262"/>
      <c r="R17" s="631"/>
      <c r="S17" s="632"/>
      <c r="T17" s="631"/>
      <c r="U17" s="632"/>
      <c r="V17" s="631"/>
      <c r="W17" s="632"/>
      <c r="X17" s="1263"/>
      <c r="Y17" s="365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8"/>
      <c r="Q19" s="1262"/>
      <c r="R19" s="631"/>
      <c r="S19" s="632"/>
      <c r="T19" s="631"/>
      <c r="U19" s="632"/>
      <c r="V19" s="631"/>
      <c r="W19" s="632"/>
      <c r="X19" s="1263"/>
      <c r="Y19" s="365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507.9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8"/>
      <c r="Q15" s="1262"/>
      <c r="R15" s="631"/>
      <c r="S15" s="632"/>
      <c r="T15" s="631"/>
      <c r="U15" s="632"/>
      <c r="V15" s="631"/>
      <c r="W15" s="632"/>
      <c r="X15" s="1263"/>
      <c r="Y15" s="365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8"/>
      <c r="Q17" s="1262"/>
      <c r="R17" s="631"/>
      <c r="S17" s="632"/>
      <c r="T17" s="631"/>
      <c r="U17" s="632"/>
      <c r="V17" s="631"/>
      <c r="W17" s="632"/>
      <c r="X17" s="1263"/>
      <c r="Y17" s="365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8"/>
      <c r="Q19" s="1262"/>
      <c r="R19" s="631"/>
      <c r="S19" s="632"/>
      <c r="T19" s="631"/>
      <c r="U19" s="632"/>
      <c r="V19" s="631"/>
      <c r="W19" s="632"/>
      <c r="X19" s="1263"/>
      <c r="Y19" s="365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3" t="s">
        <v>2009</v>
      </c>
      <c r="AC4" s="3582" t="s">
        <v>2010</v>
      </c>
    </row>
    <row r="5" spans="1:30" ht="15">
      <c r="A5" s="1596"/>
      <c r="B5" s="1597"/>
      <c r="C5" s="3598" t="s">
        <v>2013</v>
      </c>
      <c r="D5" s="3599"/>
      <c r="E5" s="3596" t="s">
        <v>2014</v>
      </c>
      <c r="F5" s="3597"/>
      <c r="G5" s="3598" t="s">
        <v>2015</v>
      </c>
      <c r="H5" s="3599"/>
      <c r="I5" s="3598" t="s">
        <v>2016</v>
      </c>
      <c r="J5" s="3599"/>
      <c r="K5" s="1891"/>
      <c r="L5" s="2912"/>
      <c r="M5" s="2913"/>
      <c r="N5" s="2913"/>
      <c r="O5" s="2913"/>
      <c r="P5" s="3591"/>
      <c r="Q5" s="3592"/>
      <c r="R5" s="3575"/>
      <c r="S5" s="3576"/>
      <c r="T5" s="3575"/>
      <c r="U5" s="3576"/>
      <c r="V5" s="3595"/>
      <c r="W5" s="3595"/>
      <c r="X5" s="1594"/>
      <c r="Y5" s="3575"/>
      <c r="Z5" s="3576"/>
      <c r="AA5" s="3583"/>
      <c r="AB5" s="3583"/>
      <c r="AC5" s="3583"/>
    </row>
    <row r="6" spans="1:30" ht="15.75" thickBot="1">
      <c r="A6" s="1599"/>
      <c r="B6" s="1600"/>
      <c r="C6" s="3600" t="s">
        <v>2017</v>
      </c>
      <c r="D6" s="3601"/>
      <c r="E6" s="3602" t="s">
        <v>2017</v>
      </c>
      <c r="F6" s="3603"/>
      <c r="G6" s="3600" t="s">
        <v>2017</v>
      </c>
      <c r="H6" s="3601"/>
      <c r="I6" s="3600" t="s">
        <v>2017</v>
      </c>
      <c r="J6" s="3601"/>
      <c r="K6" s="1891" t="s">
        <v>2018</v>
      </c>
      <c r="L6" s="2912"/>
      <c r="M6" s="2913"/>
      <c r="N6" s="2913"/>
      <c r="O6" s="2913"/>
      <c r="P6" s="3593"/>
      <c r="Q6" s="3594"/>
      <c r="R6" s="3575"/>
      <c r="S6" s="3576"/>
      <c r="T6" s="3577"/>
      <c r="U6" s="3578"/>
      <c r="V6" s="3595"/>
      <c r="W6" s="3595"/>
      <c r="X6" s="1594"/>
      <c r="Y6" s="3577"/>
      <c r="Z6" s="3578"/>
      <c r="AA6" s="3584"/>
      <c r="AB6" s="3584"/>
      <c r="AC6" s="3584"/>
    </row>
    <row r="7" spans="1:30" s="1613" customFormat="1" ht="15.75" thickBot="1">
      <c r="A7" s="1601" t="s">
        <v>2019</v>
      </c>
      <c r="B7" s="1602"/>
      <c r="C7" s="1603">
        <f>'数据-取费表'!B2</f>
        <v>44858</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3"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4"/>
      <c r="M10" s="2915"/>
      <c r="N10" s="2915"/>
      <c r="O10" s="2960"/>
      <c r="P10" s="3563"/>
      <c r="Q10" s="1563" t="str">
        <f t="shared" si="6"/>
        <v>土地使用年限（年）</v>
      </c>
      <c r="R10" s="1609" t="s">
        <v>25</v>
      </c>
      <c r="S10" s="1610">
        <f t="shared" si="0"/>
        <v>106</v>
      </c>
      <c r="T10" s="1609" t="s">
        <v>25</v>
      </c>
      <c r="U10" s="1610">
        <f t="shared" si="1"/>
        <v>106</v>
      </c>
      <c r="V10" s="1609" t="s">
        <v>25</v>
      </c>
      <c r="W10" s="1610">
        <f t="shared" si="2"/>
        <v>106</v>
      </c>
      <c r="X10" s="1611"/>
      <c r="Y10" s="3456"/>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80" t="s">
        <v>2031</v>
      </c>
      <c r="Q15" s="1544" t="str">
        <f t="shared" si="6"/>
        <v>居住社区成熟度</v>
      </c>
      <c r="R15" s="1654" t="s">
        <v>25</v>
      </c>
      <c r="S15" s="1655">
        <f t="shared" si="0"/>
        <v>100</v>
      </c>
      <c r="T15" s="1654" t="s">
        <v>25</v>
      </c>
      <c r="U15" s="1655">
        <f t="shared" si="1"/>
        <v>100</v>
      </c>
      <c r="V15" s="1654" t="s">
        <v>25</v>
      </c>
      <c r="W15" s="1655">
        <f t="shared" si="2"/>
        <v>100</v>
      </c>
      <c r="X15" s="1594"/>
      <c r="Y15" s="358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81"/>
      <c r="Q16" s="1544"/>
      <c r="R16" s="1654"/>
      <c r="S16" s="1655"/>
      <c r="T16" s="1654"/>
      <c r="U16" s="1655"/>
      <c r="V16" s="1654"/>
      <c r="W16" s="1655"/>
      <c r="X16" s="1594"/>
      <c r="Y16" s="3581"/>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81"/>
      <c r="Q17" s="1544" t="str">
        <f>B17</f>
        <v>商业繁华度</v>
      </c>
      <c r="R17" s="1654" t="s">
        <v>25</v>
      </c>
      <c r="S17" s="1655">
        <f>F17</f>
        <v>100</v>
      </c>
      <c r="T17" s="1654" t="s">
        <v>25</v>
      </c>
      <c r="U17" s="1655">
        <f>H17</f>
        <v>100</v>
      </c>
      <c r="V17" s="1654" t="s">
        <v>25</v>
      </c>
      <c r="W17" s="1655">
        <f>J17</f>
        <v>100</v>
      </c>
      <c r="X17" s="1594"/>
      <c r="Y17" s="358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81"/>
      <c r="Q18" s="1544"/>
      <c r="R18" s="1654"/>
      <c r="S18" s="1655"/>
      <c r="T18" s="1654"/>
      <c r="U18" s="1655"/>
      <c r="V18" s="1654"/>
      <c r="W18" s="1655"/>
      <c r="X18" s="1594"/>
      <c r="Y18" s="3581"/>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81"/>
      <c r="Q19" s="1544" t="str">
        <f>B19</f>
        <v>办公集聚程度</v>
      </c>
      <c r="R19" s="1654" t="s">
        <v>25</v>
      </c>
      <c r="S19" s="1655">
        <f>F19</f>
        <v>100</v>
      </c>
      <c r="T19" s="1654" t="s">
        <v>25</v>
      </c>
      <c r="U19" s="1655">
        <f>H19</f>
        <v>100</v>
      </c>
      <c r="V19" s="1654" t="s">
        <v>25</v>
      </c>
      <c r="W19" s="1655">
        <f>J19</f>
        <v>100</v>
      </c>
      <c r="X19" s="1594"/>
      <c r="Y19" s="358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81"/>
      <c r="Q20" s="1544"/>
      <c r="R20" s="1654"/>
      <c r="S20" s="1655"/>
      <c r="T20" s="1654"/>
      <c r="U20" s="1655"/>
      <c r="V20" s="1654"/>
      <c r="W20" s="1655"/>
      <c r="X20" s="1594"/>
      <c r="Y20" s="3581"/>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81"/>
      <c r="Q21" s="1544" t="str">
        <f>B21</f>
        <v>交通便捷度</v>
      </c>
      <c r="R21" s="1654" t="s">
        <v>25</v>
      </c>
      <c r="S21" s="1655">
        <f>F21</f>
        <v>100</v>
      </c>
      <c r="T21" s="1654" t="s">
        <v>25</v>
      </c>
      <c r="U21" s="1655">
        <f>H21</f>
        <v>100</v>
      </c>
      <c r="V21" s="1654" t="s">
        <v>25</v>
      </c>
      <c r="W21" s="1655">
        <f>J21</f>
        <v>100</v>
      </c>
      <c r="X21" s="1594"/>
      <c r="Y21" s="358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81"/>
      <c r="Q22" s="1544"/>
      <c r="R22" s="1654"/>
      <c r="S22" s="1655"/>
      <c r="T22" s="1654"/>
      <c r="U22" s="1655"/>
      <c r="V22" s="1654"/>
      <c r="W22" s="1655"/>
      <c r="X22" s="1594"/>
      <c r="Y22" s="3581"/>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81"/>
      <c r="Q23" s="1544" t="str">
        <f t="shared" ref="Q23:Q37" si="8">B23</f>
        <v>区域土地利用方向</v>
      </c>
      <c r="R23" s="1654" t="s">
        <v>25</v>
      </c>
      <c r="S23" s="1655">
        <f>F23</f>
        <v>100</v>
      </c>
      <c r="T23" s="1654" t="s">
        <v>25</v>
      </c>
      <c r="U23" s="1655">
        <f>H23</f>
        <v>100</v>
      </c>
      <c r="V23" s="1654" t="s">
        <v>25</v>
      </c>
      <c r="W23" s="1655">
        <f>J23</f>
        <v>100</v>
      </c>
      <c r="X23" s="1594"/>
      <c r="Y23" s="358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81"/>
      <c r="Q24" s="1544"/>
      <c r="R24" s="1654"/>
      <c r="S24" s="1655"/>
      <c r="T24" s="1654"/>
      <c r="U24" s="1655"/>
      <c r="V24" s="1654"/>
      <c r="W24" s="1655"/>
      <c r="X24" s="1594"/>
      <c r="Y24" s="3581"/>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81"/>
      <c r="Q25" s="1544" t="str">
        <f t="shared" si="8"/>
        <v>自然及人文环境状况</v>
      </c>
      <c r="R25" s="1654" t="s">
        <v>25</v>
      </c>
      <c r="S25" s="1655">
        <f>F25</f>
        <v>100</v>
      </c>
      <c r="T25" s="1654" t="s">
        <v>25</v>
      </c>
      <c r="U25" s="1655">
        <f>H25</f>
        <v>100</v>
      </c>
      <c r="V25" s="1654" t="s">
        <v>25</v>
      </c>
      <c r="W25" s="1655">
        <f>J25</f>
        <v>100</v>
      </c>
      <c r="X25" s="1594"/>
      <c r="Y25" s="358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81"/>
      <c r="Q26" s="1544"/>
      <c r="R26" s="1654"/>
      <c r="S26" s="1655"/>
      <c r="T26" s="1654"/>
      <c r="U26" s="1655"/>
      <c r="V26" s="1654"/>
      <c r="W26" s="1655"/>
      <c r="X26" s="1594"/>
      <c r="Y26" s="3581"/>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81"/>
      <c r="Q27" s="1563" t="str">
        <f t="shared" ref="Q27" si="9">B27</f>
        <v>公共配套设施</v>
      </c>
      <c r="R27" s="1609" t="s">
        <v>25</v>
      </c>
      <c r="S27" s="1610">
        <f>F27</f>
        <v>100</v>
      </c>
      <c r="T27" s="1609" t="s">
        <v>25</v>
      </c>
      <c r="U27" s="1610">
        <f>H27</f>
        <v>100</v>
      </c>
      <c r="V27" s="1609" t="s">
        <v>25</v>
      </c>
      <c r="W27" s="1610">
        <f>J27</f>
        <v>100</v>
      </c>
      <c r="X27" s="1594"/>
      <c r="Y27" s="358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81"/>
      <c r="Q28" s="1544"/>
      <c r="R28" s="1654"/>
      <c r="S28" s="1655"/>
      <c r="T28" s="1654"/>
      <c r="U28" s="1655"/>
      <c r="V28" s="1654"/>
      <c r="W28" s="1655"/>
      <c r="X28" s="1594"/>
      <c r="Y28" s="3581"/>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81"/>
      <c r="Q29" s="1563" t="str">
        <f t="shared" si="8"/>
        <v>基础设施水平</v>
      </c>
      <c r="R29" s="1609" t="s">
        <v>25</v>
      </c>
      <c r="S29" s="1610">
        <f>F29</f>
        <v>100</v>
      </c>
      <c r="T29" s="1609" t="s">
        <v>25</v>
      </c>
      <c r="U29" s="1610">
        <f>H29</f>
        <v>100</v>
      </c>
      <c r="V29" s="1609" t="s">
        <v>25</v>
      </c>
      <c r="W29" s="1610">
        <f>J29</f>
        <v>100</v>
      </c>
      <c r="X29" s="1611"/>
      <c r="Y29" s="358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81"/>
      <c r="Q30" s="1563"/>
      <c r="R30" s="1609"/>
      <c r="S30" s="1610"/>
      <c r="T30" s="1609"/>
      <c r="U30" s="1610"/>
      <c r="V30" s="1609"/>
      <c r="W30" s="1610"/>
      <c r="X30" s="1611"/>
      <c r="Y30" s="358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8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1"/>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81"/>
      <c r="Q32" s="1544" t="str">
        <f t="shared" si="8"/>
        <v>毗邻道路的类型与等级</v>
      </c>
      <c r="R32" s="1654" t="s">
        <v>25</v>
      </c>
      <c r="S32" s="1655">
        <f t="shared" si="10"/>
        <v>100</v>
      </c>
      <c r="T32" s="1654" t="s">
        <v>25</v>
      </c>
      <c r="U32" s="1655">
        <f t="shared" si="11"/>
        <v>100</v>
      </c>
      <c r="V32" s="1654" t="s">
        <v>25</v>
      </c>
      <c r="W32" s="1655">
        <f t="shared" si="12"/>
        <v>100</v>
      </c>
      <c r="X32" s="1594"/>
      <c r="Y32" s="358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81"/>
      <c r="Q33" s="1544"/>
      <c r="R33" s="1654"/>
      <c r="S33" s="1655"/>
      <c r="T33" s="1654"/>
      <c r="U33" s="1655"/>
      <c r="V33" s="1654"/>
      <c r="W33" s="1655"/>
      <c r="X33" s="1594"/>
      <c r="Y33" s="358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81"/>
      <c r="Q34" s="1544" t="str">
        <f t="shared" si="8"/>
        <v>土地级别</v>
      </c>
      <c r="R34" s="1654" t="s">
        <v>25</v>
      </c>
      <c r="S34" s="1655">
        <f t="shared" si="10"/>
        <v>100</v>
      </c>
      <c r="T34" s="1654" t="s">
        <v>25</v>
      </c>
      <c r="U34" s="1655">
        <f t="shared" si="11"/>
        <v>100</v>
      </c>
      <c r="V34" s="1654" t="s">
        <v>25</v>
      </c>
      <c r="W34" s="1655">
        <f t="shared" si="12"/>
        <v>100</v>
      </c>
      <c r="X34" s="1594"/>
      <c r="Y34" s="358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81"/>
      <c r="Q35" s="1544">
        <f t="shared" si="8"/>
        <v>111</v>
      </c>
      <c r="R35" s="1654" t="s">
        <v>25</v>
      </c>
      <c r="S35" s="1655">
        <f t="shared" si="10"/>
        <v>100</v>
      </c>
      <c r="T35" s="1654" t="s">
        <v>25</v>
      </c>
      <c r="U35" s="1655">
        <f t="shared" si="11"/>
        <v>100</v>
      </c>
      <c r="V35" s="1654" t="s">
        <v>25</v>
      </c>
      <c r="W35" s="1655">
        <f t="shared" si="12"/>
        <v>100</v>
      </c>
      <c r="X35" s="1594"/>
      <c r="Y35" s="358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568" t="s">
        <v>2037</v>
      </c>
      <c r="Q36" s="1544">
        <f t="shared" si="8"/>
        <v>111</v>
      </c>
      <c r="R36" s="1654" t="s">
        <v>25</v>
      </c>
      <c r="S36" s="1655">
        <f t="shared" si="10"/>
        <v>100</v>
      </c>
      <c r="T36" s="1654" t="s">
        <v>25</v>
      </c>
      <c r="U36" s="1655">
        <f t="shared" si="11"/>
        <v>100</v>
      </c>
      <c r="V36" s="1654" t="s">
        <v>25</v>
      </c>
      <c r="W36" s="1655">
        <f t="shared" si="12"/>
        <v>100</v>
      </c>
      <c r="X36" s="1594"/>
      <c r="Y36" s="3569"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69"/>
      <c r="Q37" s="1544">
        <f t="shared" si="8"/>
        <v>111</v>
      </c>
      <c r="R37" s="1695" t="s">
        <v>25</v>
      </c>
      <c r="S37" s="1696">
        <f t="shared" si="10"/>
        <v>100</v>
      </c>
      <c r="T37" s="1695" t="s">
        <v>25</v>
      </c>
      <c r="U37" s="1696">
        <f t="shared" si="11"/>
        <v>100</v>
      </c>
      <c r="V37" s="1695" t="s">
        <v>25</v>
      </c>
      <c r="W37" s="1696">
        <f t="shared" si="12"/>
        <v>100</v>
      </c>
      <c r="X37" s="1697"/>
      <c r="Y37" s="3569"/>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69"/>
      <c r="Q38" s="1544" t="str">
        <f>B38</f>
        <v>宗地面积</v>
      </c>
      <c r="R38" s="1654" t="s">
        <v>25</v>
      </c>
      <c r="S38" s="1655" t="e">
        <f t="shared" si="10"/>
        <v>#N/A</v>
      </c>
      <c r="T38" s="1654" t="s">
        <v>25</v>
      </c>
      <c r="U38" s="1655" t="e">
        <f t="shared" si="11"/>
        <v>#N/A</v>
      </c>
      <c r="V38" s="1654" t="s">
        <v>25</v>
      </c>
      <c r="W38" s="1655" t="e">
        <f t="shared" si="12"/>
        <v>#N/A</v>
      </c>
      <c r="X38" s="1594"/>
      <c r="Y38" s="3569"/>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69"/>
      <c r="Q39" s="1544" t="str">
        <f t="shared" ref="Q39:Q45" si="14">B39</f>
        <v>宗地形状</v>
      </c>
      <c r="R39" s="1654" t="s">
        <v>25</v>
      </c>
      <c r="S39" s="1655">
        <f t="shared" si="10"/>
        <v>100</v>
      </c>
      <c r="T39" s="1654" t="s">
        <v>25</v>
      </c>
      <c r="U39" s="1655">
        <f t="shared" si="11"/>
        <v>100</v>
      </c>
      <c r="V39" s="1654" t="s">
        <v>25</v>
      </c>
      <c r="W39" s="1655">
        <f t="shared" si="12"/>
        <v>100</v>
      </c>
      <c r="X39" s="1594"/>
      <c r="Y39" s="3569"/>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69"/>
      <c r="Q40" s="1544" t="str">
        <f t="shared" si="14"/>
        <v>临街宽度及深度</v>
      </c>
      <c r="R40" s="1654" t="s">
        <v>25</v>
      </c>
      <c r="S40" s="1655">
        <f t="shared" si="10"/>
        <v>100</v>
      </c>
      <c r="T40" s="1654" t="s">
        <v>25</v>
      </c>
      <c r="U40" s="1655">
        <f t="shared" si="11"/>
        <v>100</v>
      </c>
      <c r="V40" s="1654" t="s">
        <v>25</v>
      </c>
      <c r="W40" s="1655">
        <f t="shared" si="12"/>
        <v>100</v>
      </c>
      <c r="X40" s="1594"/>
      <c r="Y40" s="3569"/>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69"/>
      <c r="Q41" s="1544" t="str">
        <f t="shared" si="14"/>
        <v>宗地开发程度</v>
      </c>
      <c r="R41" s="1609" t="s">
        <v>25</v>
      </c>
      <c r="S41" s="1610">
        <f t="shared" si="10"/>
        <v>100</v>
      </c>
      <c r="T41" s="1609" t="s">
        <v>25</v>
      </c>
      <c r="U41" s="1610">
        <f t="shared" si="11"/>
        <v>100</v>
      </c>
      <c r="V41" s="1609" t="s">
        <v>25</v>
      </c>
      <c r="W41" s="1610">
        <f t="shared" si="12"/>
        <v>100</v>
      </c>
      <c r="X41" s="1611"/>
      <c r="Y41" s="3569"/>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69" t="s">
        <v>2037</v>
      </c>
      <c r="Q42" s="1544" t="str">
        <f t="shared" si="14"/>
        <v>工程地质条件</v>
      </c>
      <c r="R42" s="1654" t="s">
        <v>25</v>
      </c>
      <c r="S42" s="1655">
        <f t="shared" si="10"/>
        <v>100</v>
      </c>
      <c r="T42" s="1654" t="s">
        <v>25</v>
      </c>
      <c r="U42" s="1655">
        <f t="shared" si="11"/>
        <v>100</v>
      </c>
      <c r="V42" s="1654" t="s">
        <v>25</v>
      </c>
      <c r="W42" s="1655">
        <f t="shared" si="12"/>
        <v>100</v>
      </c>
      <c r="X42" s="1594"/>
      <c r="Y42" s="3569"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69"/>
      <c r="Q43" s="1544">
        <f t="shared" si="14"/>
        <v>111</v>
      </c>
      <c r="R43" s="1654" t="s">
        <v>25</v>
      </c>
      <c r="S43" s="1655">
        <f t="shared" si="10"/>
        <v>100</v>
      </c>
      <c r="T43" s="1654" t="s">
        <v>25</v>
      </c>
      <c r="U43" s="1655">
        <f t="shared" si="11"/>
        <v>100</v>
      </c>
      <c r="V43" s="1654" t="s">
        <v>25</v>
      </c>
      <c r="W43" s="1655">
        <f t="shared" si="12"/>
        <v>100</v>
      </c>
      <c r="X43" s="1594"/>
      <c r="Y43" s="3569"/>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69"/>
      <c r="Q44" s="1544">
        <f t="shared" si="14"/>
        <v>111</v>
      </c>
      <c r="R44" s="1654" t="s">
        <v>25</v>
      </c>
      <c r="S44" s="1655">
        <f t="shared" si="10"/>
        <v>100</v>
      </c>
      <c r="T44" s="1654" t="s">
        <v>25</v>
      </c>
      <c r="U44" s="1655">
        <f t="shared" si="11"/>
        <v>100</v>
      </c>
      <c r="V44" s="1654" t="s">
        <v>25</v>
      </c>
      <c r="W44" s="1655">
        <f t="shared" si="12"/>
        <v>100</v>
      </c>
      <c r="X44" s="1594"/>
      <c r="Y44" s="3569"/>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69"/>
      <c r="Q45" s="1544">
        <f t="shared" si="14"/>
        <v>111</v>
      </c>
      <c r="R45" s="1695" t="s">
        <v>25</v>
      </c>
      <c r="S45" s="1696">
        <f t="shared" si="10"/>
        <v>100</v>
      </c>
      <c r="T45" s="1695" t="s">
        <v>25</v>
      </c>
      <c r="U45" s="1696">
        <f t="shared" si="11"/>
        <v>100</v>
      </c>
      <c r="V45" s="1695" t="s">
        <v>25</v>
      </c>
      <c r="W45" s="1696">
        <f t="shared" si="12"/>
        <v>100</v>
      </c>
      <c r="X45" s="1697"/>
      <c r="Y45" s="3569"/>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3" t="str">
        <f>A46</f>
        <v>成交单价</v>
      </c>
      <c r="Q46" s="3563"/>
      <c r="R46" s="3595">
        <f>E46</f>
        <v>0</v>
      </c>
      <c r="S46" s="3595"/>
      <c r="T46" s="3595">
        <f>G46</f>
        <v>0</v>
      </c>
      <c r="U46" s="3595"/>
      <c r="V46" s="3595">
        <f>I46</f>
        <v>0</v>
      </c>
      <c r="W46" s="3595"/>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3" t="str">
        <f>A47</f>
        <v>比较价值（元/平方米）</v>
      </c>
      <c r="Q47" s="3563"/>
      <c r="R47" s="3682" t="e">
        <f>ROUND(PRODUCT(R46,AA7:AA45),0)</f>
        <v>#DIV/0!</v>
      </c>
      <c r="S47" s="3682"/>
      <c r="T47" s="3682" t="e">
        <f>ROUND(PRODUCT(T46,AB7:AB45),0)</f>
        <v>#DIV/0!</v>
      </c>
      <c r="U47" s="3682"/>
      <c r="V47" s="3682" t="e">
        <f>ROUND(PRODUCT(V46,AC7:AC45),0)</f>
        <v>#DIV/0!</v>
      </c>
      <c r="W47" s="3682"/>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565" t="str">
        <f>A48</f>
        <v>估价对象XX用房的比较价值（楼面单价，元/平方米）</v>
      </c>
      <c r="Q48" s="3566"/>
      <c r="R48" s="3683" t="e">
        <f>ROUND(IF(D47="简单平均",AVERAGE(R47:W47),R47*F47+T47*H47+V47*J47),0)</f>
        <v>#DIV/0!</v>
      </c>
      <c r="S48" s="3683"/>
      <c r="T48" s="3683"/>
      <c r="U48" s="3683"/>
      <c r="V48" s="3683"/>
      <c r="W48" s="3683"/>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44858</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5"/>
      <c r="M10" s="2946"/>
      <c r="N10" s="2946"/>
      <c r="O10" s="2947"/>
      <c r="P10" s="3640"/>
      <c r="Q10" s="1255" t="str">
        <f t="shared" si="6"/>
        <v>土地使用年限（年）</v>
      </c>
      <c r="R10" s="627" t="s">
        <v>25</v>
      </c>
      <c r="S10" s="628">
        <f t="shared" si="0"/>
        <v>106</v>
      </c>
      <c r="T10" s="627" t="s">
        <v>25</v>
      </c>
      <c r="U10" s="628">
        <f t="shared" si="1"/>
        <v>106</v>
      </c>
      <c r="V10" s="627" t="s">
        <v>25</v>
      </c>
      <c r="W10" s="628">
        <f t="shared" si="2"/>
        <v>106</v>
      </c>
      <c r="X10" s="629"/>
      <c r="Y10" s="3659"/>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8"/>
      <c r="Q16" s="1262"/>
      <c r="R16" s="631"/>
      <c r="S16" s="632"/>
      <c r="T16" s="631"/>
      <c r="U16" s="632"/>
      <c r="V16" s="631"/>
      <c r="W16" s="632"/>
      <c r="X16" s="1263"/>
      <c r="Y16" s="365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8"/>
      <c r="Q18" s="1262"/>
      <c r="R18" s="631"/>
      <c r="S18" s="632"/>
      <c r="T18" s="631"/>
      <c r="U18" s="632"/>
      <c r="V18" s="631"/>
      <c r="W18" s="632"/>
      <c r="X18" s="1263"/>
      <c r="Y18" s="365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8"/>
      <c r="Q20" s="1262"/>
      <c r="R20" s="631"/>
      <c r="S20" s="632"/>
      <c r="T20" s="631"/>
      <c r="U20" s="632"/>
      <c r="V20" s="631"/>
      <c r="W20" s="632"/>
      <c r="X20" s="1263"/>
      <c r="Y20" s="365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8"/>
      <c r="Q22" s="1262"/>
      <c r="R22" s="631"/>
      <c r="S22" s="632"/>
      <c r="T22" s="631"/>
      <c r="U22" s="632"/>
      <c r="V22" s="631"/>
      <c r="W22" s="632"/>
      <c r="X22" s="1263"/>
      <c r="Y22" s="365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8"/>
      <c r="Q24" s="1255"/>
      <c r="R24" s="627"/>
      <c r="S24" s="628"/>
      <c r="T24" s="627"/>
      <c r="U24" s="628"/>
      <c r="V24" s="627"/>
      <c r="W24" s="628"/>
      <c r="X24" s="629"/>
      <c r="Y24" s="365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估价对象为北京市房地产，为XX所有。根据《》[]，估价对象建筑面积为507.9平方米。根据《》[]，估价对象（分摊）出让国有建设用地使用权面积为平方米。估价对象用途为。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507.9</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88"/>
      <c r="B4" s="3689"/>
      <c r="C4" s="3689"/>
      <c r="D4" s="3690"/>
      <c r="E4" s="3690"/>
      <c r="F4" s="3690"/>
      <c r="G4" s="3690"/>
      <c r="H4" s="3690"/>
      <c r="I4" s="3690"/>
      <c r="J4" s="3691"/>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2"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3"/>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86" t="s">
        <v>2292</v>
      </c>
      <c r="X8" s="3687"/>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3"/>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87"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3"/>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87"/>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3"/>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87"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2">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87"/>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4"/>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87"/>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4"/>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695"/>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97"/>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44858</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0.8871</v>
      </c>
      <c r="D20" s="2127" t="s">
        <v>2354</v>
      </c>
      <c r="E20" s="3069">
        <f>存贷款利率!E22/100</f>
        <v>4.3499999999999997E-2</v>
      </c>
      <c r="F20" s="2127" t="s">
        <v>2343</v>
      </c>
      <c r="G20" s="3070">
        <f>SUMIF(M26:P26,E2,M28:P28)</f>
        <v>0.05</v>
      </c>
      <c r="H20" s="2127" t="s">
        <v>2355</v>
      </c>
      <c r="I20" s="2128">
        <f>'数据-取费表'!B13</f>
        <v>40</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507.9</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06"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07"/>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07"/>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08"/>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98" t="s">
        <v>2437</v>
      </c>
      <c r="B90" s="3698"/>
      <c r="C90" s="3698"/>
      <c r="D90" s="3698"/>
      <c r="E90" s="3698"/>
      <c r="F90" s="3698"/>
      <c r="G90" s="3698"/>
      <c r="H90" s="3698"/>
      <c r="I90" s="3698"/>
      <c r="J90" s="3698"/>
      <c r="K90" s="2231"/>
      <c r="L90" s="2231"/>
      <c r="M90" s="2231"/>
      <c r="N90" s="2231"/>
      <c r="Q90" s="2973"/>
      <c r="R90" s="2973"/>
      <c r="S90" s="2973"/>
      <c r="T90" s="2973"/>
      <c r="U90" s="2973"/>
      <c r="V90" s="2973"/>
      <c r="W90" s="2973"/>
    </row>
    <row r="91" spans="1:33">
      <c r="A91" s="3700" t="s">
        <v>2438</v>
      </c>
      <c r="B91" s="3700"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700"/>
      <c r="B92" s="3700"/>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701"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2"/>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2"/>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2"/>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2"/>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2"/>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2"/>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3"/>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701"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2"/>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2"/>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2"/>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2"/>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2"/>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2"/>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2"/>
      <c r="B108" s="3704"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3"/>
      <c r="B109" s="3705"/>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99" t="s">
        <v>2445</v>
      </c>
      <c r="B110" s="3699"/>
      <c r="C110" s="3699"/>
      <c r="D110" s="3699"/>
      <c r="E110" s="3699"/>
      <c r="F110" s="3699"/>
      <c r="G110" s="3699"/>
      <c r="H110" s="3699"/>
      <c r="I110" s="3699"/>
      <c r="J110" s="3699"/>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8" t="s">
        <v>2803</v>
      </c>
      <c r="B20" s="3721" t="s">
        <v>2811</v>
      </c>
      <c r="C20" s="3287" t="s">
        <v>2812</v>
      </c>
      <c r="D20" s="3288"/>
      <c r="E20" s="3289">
        <v>1</v>
      </c>
      <c r="F20" s="3290" t="s">
        <v>2813</v>
      </c>
      <c r="G20" s="3290"/>
    </row>
    <row r="21" spans="1:13" ht="19.5" customHeight="1">
      <c r="A21" s="3719"/>
      <c r="B21" s="3716"/>
      <c r="C21" s="740" t="s">
        <v>2814</v>
      </c>
      <c r="D21" s="741"/>
      <c r="E21" s="3291">
        <v>1</v>
      </c>
      <c r="F21" s="3290" t="s">
        <v>2815</v>
      </c>
      <c r="G21" s="3290"/>
    </row>
    <row r="22" spans="1:13" ht="19.5" customHeight="1">
      <c r="A22" s="3719"/>
      <c r="B22" s="3716"/>
      <c r="C22" s="740" t="s">
        <v>2816</v>
      </c>
      <c r="D22" s="741"/>
      <c r="E22" s="3291">
        <v>0.9</v>
      </c>
      <c r="F22" s="3290" t="s">
        <v>2817</v>
      </c>
      <c r="G22" s="3290"/>
    </row>
    <row r="23" spans="1:13" ht="19.5" customHeight="1">
      <c r="A23" s="3719"/>
      <c r="B23" s="3716"/>
      <c r="C23" s="740" t="s">
        <v>2818</v>
      </c>
      <c r="D23" s="741"/>
      <c r="E23" s="3291">
        <v>0.9</v>
      </c>
      <c r="F23" s="3290" t="s">
        <v>2819</v>
      </c>
      <c r="G23" s="3290"/>
    </row>
    <row r="24" spans="1:13" ht="19.5" customHeight="1">
      <c r="A24" s="3719"/>
      <c r="B24" s="3716"/>
      <c r="C24" s="740" t="s">
        <v>2820</v>
      </c>
      <c r="D24" s="741"/>
      <c r="E24" s="3291">
        <v>0.8</v>
      </c>
      <c r="F24" s="3290" t="s">
        <v>2821</v>
      </c>
      <c r="G24" s="3290"/>
    </row>
    <row r="25" spans="1:13" ht="19.5" customHeight="1" thickBot="1">
      <c r="A25" s="3720"/>
      <c r="B25" s="3722"/>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3" t="s">
        <v>2808</v>
      </c>
      <c r="B27" s="3721" t="s">
        <v>2808</v>
      </c>
      <c r="C27" s="3287" t="s">
        <v>2825</v>
      </c>
      <c r="D27" s="3288"/>
      <c r="E27" s="3289">
        <v>1</v>
      </c>
      <c r="F27" s="3290" t="s">
        <v>2866</v>
      </c>
      <c r="G27" s="3290"/>
    </row>
    <row r="28" spans="1:13" ht="19.5" customHeight="1">
      <c r="A28" s="3724"/>
      <c r="B28" s="3716"/>
      <c r="C28" s="740" t="s">
        <v>2826</v>
      </c>
      <c r="D28" s="741"/>
      <c r="E28" s="3291">
        <v>1</v>
      </c>
      <c r="F28" s="3290" t="s">
        <v>2867</v>
      </c>
      <c r="G28" s="3290"/>
    </row>
    <row r="29" spans="1:13" ht="19.5" customHeight="1">
      <c r="A29" s="3724"/>
      <c r="B29" s="3716"/>
      <c r="C29" s="740" t="s">
        <v>2827</v>
      </c>
      <c r="D29" s="741"/>
      <c r="E29" s="3291">
        <v>0.8</v>
      </c>
      <c r="F29" s="3290" t="s">
        <v>2868</v>
      </c>
      <c r="G29" s="3290"/>
    </row>
    <row r="30" spans="1:13" ht="19.5" customHeight="1">
      <c r="A30" s="3724"/>
      <c r="B30" s="3716"/>
      <c r="C30" s="740" t="s">
        <v>2828</v>
      </c>
      <c r="D30" s="741"/>
      <c r="E30" s="3291">
        <v>0.8</v>
      </c>
      <c r="F30" s="3290" t="s">
        <v>2869</v>
      </c>
      <c r="G30" s="3290"/>
    </row>
    <row r="31" spans="1:13" ht="19.5" customHeight="1">
      <c r="A31" s="3724"/>
      <c r="B31" s="3716"/>
      <c r="C31" s="740" t="s">
        <v>2829</v>
      </c>
      <c r="D31" s="741"/>
      <c r="E31" s="3291">
        <v>0.8</v>
      </c>
      <c r="F31" s="3290" t="s">
        <v>2870</v>
      </c>
      <c r="G31" s="3290"/>
    </row>
    <row r="32" spans="1:13" ht="19.5" customHeight="1">
      <c r="A32" s="3724"/>
      <c r="B32" s="3716"/>
      <c r="C32" s="740" t="s">
        <v>2830</v>
      </c>
      <c r="D32" s="741"/>
      <c r="E32" s="3291">
        <v>0.7</v>
      </c>
      <c r="F32" s="3290" t="s">
        <v>2871</v>
      </c>
      <c r="G32" s="3290"/>
    </row>
    <row r="33" spans="1:7" ht="19.5" customHeight="1">
      <c r="A33" s="3724"/>
      <c r="B33" s="3716"/>
      <c r="C33" s="740" t="s">
        <v>2831</v>
      </c>
      <c r="D33" s="741"/>
      <c r="E33" s="3291">
        <v>0.8</v>
      </c>
      <c r="F33" s="3290" t="s">
        <v>2872</v>
      </c>
      <c r="G33" s="3290"/>
    </row>
    <row r="34" spans="1:7" ht="19.5" customHeight="1">
      <c r="A34" s="3724"/>
      <c r="B34" s="3716"/>
      <c r="C34" s="740" t="s">
        <v>2832</v>
      </c>
      <c r="D34" s="741"/>
      <c r="E34" s="3291">
        <v>0.6</v>
      </c>
      <c r="F34" s="3290" t="s">
        <v>2873</v>
      </c>
      <c r="G34" s="3290"/>
    </row>
    <row r="35" spans="1:7" ht="19.5" customHeight="1">
      <c r="A35" s="3724"/>
      <c r="B35" s="3716"/>
      <c r="C35" s="740" t="s">
        <v>2833</v>
      </c>
      <c r="D35" s="741"/>
      <c r="E35" s="3291">
        <v>0.2</v>
      </c>
      <c r="F35" s="3290" t="s">
        <v>2874</v>
      </c>
      <c r="G35" s="3290"/>
    </row>
    <row r="36" spans="1:7" ht="19.5" customHeight="1">
      <c r="A36" s="3724"/>
      <c r="B36" s="3716"/>
      <c r="C36" s="740" t="s">
        <v>2834</v>
      </c>
      <c r="D36" s="741"/>
      <c r="E36" s="3291">
        <v>0.2</v>
      </c>
      <c r="F36" s="3290" t="s">
        <v>2875</v>
      </c>
      <c r="G36" s="3290"/>
    </row>
    <row r="37" spans="1:7" ht="19.5" customHeight="1">
      <c r="A37" s="3724"/>
      <c r="B37" s="3715" t="s">
        <v>2835</v>
      </c>
      <c r="C37" s="740" t="s">
        <v>2836</v>
      </c>
      <c r="D37" s="741"/>
      <c r="E37" s="3291">
        <v>0.6</v>
      </c>
      <c r="F37" s="3290" t="s">
        <v>2876</v>
      </c>
      <c r="G37" s="3290"/>
    </row>
    <row r="38" spans="1:7" ht="19.5" customHeight="1">
      <c r="A38" s="3724"/>
      <c r="B38" s="3716"/>
      <c r="C38" s="740" t="s">
        <v>2837</v>
      </c>
      <c r="D38" s="741"/>
      <c r="E38" s="3291">
        <v>0.6</v>
      </c>
      <c r="F38" s="3290" t="s">
        <v>2877</v>
      </c>
      <c r="G38" s="3290"/>
    </row>
    <row r="39" spans="1:7" ht="19.5" customHeight="1" thickBot="1">
      <c r="A39" s="3725"/>
      <c r="B39" s="3722"/>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8" t="s">
        <v>2841</v>
      </c>
      <c r="B41" s="3721" t="s">
        <v>2842</v>
      </c>
      <c r="C41" s="3287" t="s">
        <v>2843</v>
      </c>
      <c r="D41" s="3288"/>
      <c r="E41" s="3289">
        <v>1</v>
      </c>
      <c r="F41" s="3290" t="s">
        <v>2844</v>
      </c>
      <c r="G41" s="3290"/>
    </row>
    <row r="42" spans="1:7" ht="19.5" customHeight="1">
      <c r="A42" s="3719"/>
      <c r="B42" s="3716"/>
      <c r="C42" s="740" t="s">
        <v>2845</v>
      </c>
      <c r="D42" s="741"/>
      <c r="E42" s="3291">
        <v>1</v>
      </c>
      <c r="F42" s="3290" t="s">
        <v>2846</v>
      </c>
      <c r="G42" s="3290"/>
    </row>
    <row r="43" spans="1:7" ht="19.5" customHeight="1">
      <c r="A43" s="3719"/>
      <c r="B43" s="3717"/>
      <c r="C43" s="740" t="s">
        <v>2847</v>
      </c>
      <c r="D43" s="741"/>
      <c r="E43" s="3291">
        <v>1.5</v>
      </c>
      <c r="F43" s="3290" t="s">
        <v>2848</v>
      </c>
      <c r="G43" s="3290"/>
    </row>
    <row r="44" spans="1:7" ht="19.5" customHeight="1">
      <c r="A44" s="3719"/>
      <c r="B44" s="3300" t="s">
        <v>2808</v>
      </c>
      <c r="C44" s="740" t="s">
        <v>2807</v>
      </c>
      <c r="D44" s="741"/>
      <c r="E44" s="3291">
        <v>2</v>
      </c>
      <c r="F44" s="3290" t="s">
        <v>2849</v>
      </c>
      <c r="G44" s="3290"/>
    </row>
    <row r="45" spans="1:7" ht="19.5" customHeight="1">
      <c r="A45" s="3719"/>
      <c r="B45" s="3715" t="s">
        <v>2850</v>
      </c>
      <c r="C45" s="740" t="s">
        <v>2851</v>
      </c>
      <c r="D45" s="741"/>
      <c r="E45" s="3291">
        <v>1</v>
      </c>
      <c r="F45" s="3290" t="s">
        <v>2852</v>
      </c>
      <c r="G45" s="3290"/>
    </row>
    <row r="46" spans="1:7" ht="19.5" customHeight="1">
      <c r="A46" s="3719"/>
      <c r="B46" s="3716"/>
      <c r="C46" s="740" t="s">
        <v>2853</v>
      </c>
      <c r="D46" s="741"/>
      <c r="E46" s="3291">
        <v>1</v>
      </c>
      <c r="F46" s="3290" t="s">
        <v>2854</v>
      </c>
      <c r="G46" s="3290"/>
    </row>
    <row r="47" spans="1:7" ht="19.5" customHeight="1">
      <c r="A47" s="3719"/>
      <c r="B47" s="3716"/>
      <c r="C47" s="740" t="s">
        <v>2855</v>
      </c>
      <c r="D47" s="741"/>
      <c r="E47" s="3291">
        <v>1</v>
      </c>
      <c r="F47" s="3290" t="s">
        <v>2856</v>
      </c>
      <c r="G47" s="3290"/>
    </row>
    <row r="48" spans="1:7" ht="19.5" customHeight="1">
      <c r="A48" s="3719"/>
      <c r="B48" s="3716"/>
      <c r="C48" s="740" t="s">
        <v>2857</v>
      </c>
      <c r="D48" s="741"/>
      <c r="E48" s="3291">
        <v>1</v>
      </c>
      <c r="F48" s="3290" t="s">
        <v>2858</v>
      </c>
      <c r="G48" s="3290"/>
    </row>
    <row r="49" spans="1:7" ht="19.5" customHeight="1">
      <c r="A49" s="3719"/>
      <c r="B49" s="3716"/>
      <c r="C49" s="740" t="s">
        <v>2859</v>
      </c>
      <c r="D49" s="741"/>
      <c r="E49" s="3291">
        <v>1</v>
      </c>
      <c r="F49" s="3290" t="s">
        <v>2860</v>
      </c>
      <c r="G49" s="3290"/>
    </row>
    <row r="50" spans="1:7" ht="19.5" customHeight="1">
      <c r="A50" s="3719"/>
      <c r="B50" s="3716"/>
      <c r="C50" s="740" t="s">
        <v>2861</v>
      </c>
      <c r="D50" s="741"/>
      <c r="E50" s="3291">
        <v>1</v>
      </c>
      <c r="F50" s="3290" t="s">
        <v>2862</v>
      </c>
      <c r="G50" s="3290"/>
    </row>
    <row r="51" spans="1:7" ht="19.5" customHeight="1" thickBot="1">
      <c r="A51" s="3720"/>
      <c r="B51" s="3722"/>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5" t="s">
        <v>2881</v>
      </c>
      <c r="C73" s="3281" t="s">
        <v>2882</v>
      </c>
      <c r="D73" s="3281" t="s">
        <v>2883</v>
      </c>
      <c r="E73" s="3306">
        <v>0.2</v>
      </c>
      <c r="F73" s="3300">
        <v>25</v>
      </c>
    </row>
    <row r="74" spans="1:7" ht="24">
      <c r="A74" s="3300">
        <v>2</v>
      </c>
      <c r="B74" s="3716"/>
      <c r="C74" s="3281" t="s">
        <v>2884</v>
      </c>
      <c r="D74" s="3281" t="s">
        <v>2885</v>
      </c>
      <c r="E74" s="3306">
        <v>0.2</v>
      </c>
      <c r="F74" s="3300">
        <v>25</v>
      </c>
    </row>
    <row r="75" spans="1:7" ht="24">
      <c r="A75" s="3300">
        <v>3</v>
      </c>
      <c r="B75" s="3716"/>
      <c r="C75" s="3281" t="s">
        <v>2886</v>
      </c>
      <c r="D75" s="3281" t="s">
        <v>2887</v>
      </c>
      <c r="E75" s="3306">
        <v>0.2</v>
      </c>
      <c r="F75" s="3300">
        <v>25</v>
      </c>
    </row>
    <row r="76" spans="1:7" ht="13.5">
      <c r="A76" s="3300">
        <v>4</v>
      </c>
      <c r="B76" s="3716"/>
      <c r="C76" s="3281" t="s">
        <v>2888</v>
      </c>
      <c r="D76" s="3281" t="s">
        <v>2889</v>
      </c>
      <c r="E76" s="3306">
        <v>0.15</v>
      </c>
      <c r="F76" s="3300">
        <v>20</v>
      </c>
    </row>
    <row r="77" spans="1:7" ht="24">
      <c r="A77" s="3300">
        <v>5</v>
      </c>
      <c r="B77" s="3716"/>
      <c r="C77" s="3281" t="s">
        <v>2890</v>
      </c>
      <c r="D77" s="3281" t="s">
        <v>2891</v>
      </c>
      <c r="E77" s="3306">
        <v>0.15</v>
      </c>
      <c r="F77" s="3300">
        <v>20</v>
      </c>
    </row>
    <row r="78" spans="1:7" ht="24">
      <c r="A78" s="3300">
        <v>6</v>
      </c>
      <c r="B78" s="3716"/>
      <c r="C78" s="3281" t="s">
        <v>2892</v>
      </c>
      <c r="D78" s="3281" t="s">
        <v>2893</v>
      </c>
      <c r="E78" s="3306">
        <v>0.15</v>
      </c>
      <c r="F78" s="3300">
        <v>20</v>
      </c>
    </row>
    <row r="79" spans="1:7" ht="24">
      <c r="A79" s="3300">
        <v>7</v>
      </c>
      <c r="B79" s="3716"/>
      <c r="C79" s="3281" t="s">
        <v>2894</v>
      </c>
      <c r="D79" s="3281" t="s">
        <v>2895</v>
      </c>
      <c r="E79" s="3306">
        <v>0.15</v>
      </c>
      <c r="F79" s="3300">
        <v>20</v>
      </c>
    </row>
    <row r="80" spans="1:7" ht="24">
      <c r="A80" s="3300">
        <v>8</v>
      </c>
      <c r="B80" s="3716"/>
      <c r="C80" s="3281" t="s">
        <v>2896</v>
      </c>
      <c r="D80" s="3281" t="s">
        <v>2897</v>
      </c>
      <c r="E80" s="3306">
        <v>0.1</v>
      </c>
      <c r="F80" s="3300">
        <v>15</v>
      </c>
    </row>
    <row r="81" spans="1:6" ht="24">
      <c r="A81" s="3300">
        <v>9</v>
      </c>
      <c r="B81" s="3716"/>
      <c r="C81" s="3281" t="s">
        <v>2898</v>
      </c>
      <c r="D81" s="3281" t="s">
        <v>2899</v>
      </c>
      <c r="E81" s="3306">
        <v>0.1</v>
      </c>
      <c r="F81" s="3300">
        <v>15</v>
      </c>
    </row>
    <row r="82" spans="1:6" ht="24">
      <c r="A82" s="3300">
        <v>10</v>
      </c>
      <c r="B82" s="3716"/>
      <c r="C82" s="3281" t="s">
        <v>2900</v>
      </c>
      <c r="D82" s="3281" t="s">
        <v>2901</v>
      </c>
      <c r="E82" s="3306">
        <v>0.1</v>
      </c>
      <c r="F82" s="3300">
        <v>15</v>
      </c>
    </row>
    <row r="83" spans="1:6" ht="24">
      <c r="A83" s="3300">
        <v>11</v>
      </c>
      <c r="B83" s="3716"/>
      <c r="C83" s="3281" t="s">
        <v>2902</v>
      </c>
      <c r="D83" s="3281" t="s">
        <v>2903</v>
      </c>
      <c r="E83" s="3306">
        <v>0.1</v>
      </c>
      <c r="F83" s="3300">
        <v>15</v>
      </c>
    </row>
    <row r="84" spans="1:6" ht="24">
      <c r="A84" s="3300">
        <v>12</v>
      </c>
      <c r="B84" s="3716"/>
      <c r="C84" s="3281" t="s">
        <v>2904</v>
      </c>
      <c r="D84" s="3281" t="s">
        <v>2905</v>
      </c>
      <c r="E84" s="3306">
        <v>0.1</v>
      </c>
      <c r="F84" s="3300">
        <v>15</v>
      </c>
    </row>
    <row r="85" spans="1:6" ht="13.5">
      <c r="A85" s="3300">
        <v>13</v>
      </c>
      <c r="B85" s="3716"/>
      <c r="C85" s="3281" t="s">
        <v>2906</v>
      </c>
      <c r="D85" s="3281" t="s">
        <v>2907</v>
      </c>
      <c r="E85" s="3306">
        <v>0.1</v>
      </c>
      <c r="F85" s="3300">
        <v>15</v>
      </c>
    </row>
    <row r="86" spans="1:6" ht="13.5">
      <c r="A86" s="3300">
        <v>14</v>
      </c>
      <c r="B86" s="3716"/>
      <c r="C86" s="3281" t="s">
        <v>2908</v>
      </c>
      <c r="D86" s="3281" t="s">
        <v>2909</v>
      </c>
      <c r="E86" s="3306">
        <v>0.1</v>
      </c>
      <c r="F86" s="3300">
        <v>15</v>
      </c>
    </row>
    <row r="87" spans="1:6" ht="13.5">
      <c r="A87" s="3300">
        <v>15</v>
      </c>
      <c r="B87" s="3716"/>
      <c r="C87" s="3281" t="s">
        <v>2910</v>
      </c>
      <c r="D87" s="3281" t="s">
        <v>2911</v>
      </c>
      <c r="E87" s="3306">
        <v>0.1</v>
      </c>
      <c r="F87" s="3300">
        <v>15</v>
      </c>
    </row>
    <row r="88" spans="1:6" ht="24">
      <c r="A88" s="3300">
        <v>16</v>
      </c>
      <c r="B88" s="3716"/>
      <c r="C88" s="3281" t="s">
        <v>2912</v>
      </c>
      <c r="D88" s="3281" t="s">
        <v>2913</v>
      </c>
      <c r="E88" s="3306">
        <v>0.1</v>
      </c>
      <c r="F88" s="3300">
        <v>15</v>
      </c>
    </row>
    <row r="89" spans="1:6" ht="24">
      <c r="A89" s="3300">
        <v>17</v>
      </c>
      <c r="B89" s="3717"/>
      <c r="C89" s="3281" t="s">
        <v>2914</v>
      </c>
      <c r="D89" s="3281" t="s">
        <v>2915</v>
      </c>
      <c r="E89" s="3306">
        <v>0.1</v>
      </c>
      <c r="F89" s="3300">
        <v>15</v>
      </c>
    </row>
    <row r="90" spans="1:6" ht="13.5">
      <c r="A90" s="3300">
        <v>18</v>
      </c>
      <c r="B90" s="3715" t="s">
        <v>2916</v>
      </c>
      <c r="C90" s="3281" t="s">
        <v>2917</v>
      </c>
      <c r="D90" s="3281" t="s">
        <v>2918</v>
      </c>
      <c r="E90" s="3306">
        <v>0.2</v>
      </c>
      <c r="F90" s="3300">
        <v>25</v>
      </c>
    </row>
    <row r="91" spans="1:6" ht="24">
      <c r="A91" s="3300">
        <v>19</v>
      </c>
      <c r="B91" s="3716"/>
      <c r="C91" s="3281" t="s">
        <v>2919</v>
      </c>
      <c r="D91" s="3281" t="s">
        <v>2920</v>
      </c>
      <c r="E91" s="3306">
        <v>0.2</v>
      </c>
      <c r="F91" s="3300">
        <v>25</v>
      </c>
    </row>
    <row r="92" spans="1:6" ht="13.5">
      <c r="A92" s="3300">
        <v>20</v>
      </c>
      <c r="B92" s="3716"/>
      <c r="C92" s="3281" t="s">
        <v>2921</v>
      </c>
      <c r="D92" s="3281" t="s">
        <v>2922</v>
      </c>
      <c r="E92" s="3306">
        <v>0.15</v>
      </c>
      <c r="F92" s="3300">
        <v>20</v>
      </c>
    </row>
    <row r="93" spans="1:6" ht="24">
      <c r="A93" s="3300">
        <v>21</v>
      </c>
      <c r="B93" s="3716"/>
      <c r="C93" s="3281" t="s">
        <v>2923</v>
      </c>
      <c r="D93" s="3281" t="s">
        <v>2924</v>
      </c>
      <c r="E93" s="3306">
        <v>0.15</v>
      </c>
      <c r="F93" s="3300">
        <v>20</v>
      </c>
    </row>
    <row r="94" spans="1:6" ht="24">
      <c r="A94" s="3300">
        <v>22</v>
      </c>
      <c r="B94" s="3716"/>
      <c r="C94" s="3281" t="s">
        <v>2925</v>
      </c>
      <c r="D94" s="3281" t="s">
        <v>2926</v>
      </c>
      <c r="E94" s="3306">
        <v>0.15</v>
      </c>
      <c r="F94" s="3300">
        <v>20</v>
      </c>
    </row>
    <row r="95" spans="1:6" ht="36">
      <c r="A95" s="3300">
        <v>23</v>
      </c>
      <c r="B95" s="3716"/>
      <c r="C95" s="3281" t="s">
        <v>2927</v>
      </c>
      <c r="D95" s="3281" t="s">
        <v>2928</v>
      </c>
      <c r="E95" s="3306">
        <v>0.15</v>
      </c>
      <c r="F95" s="3300">
        <v>20</v>
      </c>
    </row>
    <row r="96" spans="1:6" ht="13.5">
      <c r="A96" s="3300">
        <v>24</v>
      </c>
      <c r="B96" s="3716"/>
      <c r="C96" s="3281" t="s">
        <v>2929</v>
      </c>
      <c r="D96" s="3281" t="s">
        <v>2930</v>
      </c>
      <c r="E96" s="3306">
        <v>0.1</v>
      </c>
      <c r="F96" s="3300">
        <v>15</v>
      </c>
    </row>
    <row r="97" spans="1:6" ht="24">
      <c r="A97" s="3300">
        <v>25</v>
      </c>
      <c r="B97" s="3716"/>
      <c r="C97" s="3281" t="s">
        <v>2931</v>
      </c>
      <c r="D97" s="3281" t="s">
        <v>2932</v>
      </c>
      <c r="E97" s="3306">
        <v>0.1</v>
      </c>
      <c r="F97" s="3300">
        <v>15</v>
      </c>
    </row>
    <row r="98" spans="1:6" ht="24">
      <c r="A98" s="3300">
        <v>26</v>
      </c>
      <c r="B98" s="3716"/>
      <c r="C98" s="3281" t="s">
        <v>2933</v>
      </c>
      <c r="D98" s="3281" t="s">
        <v>2934</v>
      </c>
      <c r="E98" s="3306">
        <v>0.1</v>
      </c>
      <c r="F98" s="3300">
        <v>15</v>
      </c>
    </row>
    <row r="99" spans="1:6" ht="24">
      <c r="A99" s="3300">
        <v>27</v>
      </c>
      <c r="B99" s="3716"/>
      <c r="C99" s="3281" t="s">
        <v>2935</v>
      </c>
      <c r="D99" s="3281" t="s">
        <v>2936</v>
      </c>
      <c r="E99" s="3306">
        <v>0.1</v>
      </c>
      <c r="F99" s="3300">
        <v>15</v>
      </c>
    </row>
    <row r="100" spans="1:6" ht="24">
      <c r="A100" s="3300">
        <v>28</v>
      </c>
      <c r="B100" s="3716"/>
      <c r="C100" s="3281" t="s">
        <v>2937</v>
      </c>
      <c r="D100" s="3281" t="s">
        <v>2938</v>
      </c>
      <c r="E100" s="3306">
        <v>0.1</v>
      </c>
      <c r="F100" s="3300">
        <v>15</v>
      </c>
    </row>
    <row r="101" spans="1:6" ht="24">
      <c r="A101" s="3300">
        <v>29</v>
      </c>
      <c r="B101" s="3716"/>
      <c r="C101" s="3281" t="s">
        <v>2939</v>
      </c>
      <c r="D101" s="3281" t="s">
        <v>2940</v>
      </c>
      <c r="E101" s="3306">
        <v>0.1</v>
      </c>
      <c r="F101" s="3300">
        <v>15</v>
      </c>
    </row>
    <row r="102" spans="1:6" ht="24">
      <c r="A102" s="3300">
        <v>30</v>
      </c>
      <c r="B102" s="3716"/>
      <c r="C102" s="3281" t="s">
        <v>2941</v>
      </c>
      <c r="D102" s="3281" t="s">
        <v>2942</v>
      </c>
      <c r="E102" s="3306">
        <v>0.1</v>
      </c>
      <c r="F102" s="3300">
        <v>15</v>
      </c>
    </row>
    <row r="103" spans="1:6" ht="24">
      <c r="A103" s="3300">
        <v>31</v>
      </c>
      <c r="B103" s="3716"/>
      <c r="C103" s="3281" t="s">
        <v>2943</v>
      </c>
      <c r="D103" s="3281" t="s">
        <v>2944</v>
      </c>
      <c r="E103" s="3306">
        <v>0.1</v>
      </c>
      <c r="F103" s="3300">
        <v>15</v>
      </c>
    </row>
    <row r="104" spans="1:6" ht="24">
      <c r="A104" s="3300">
        <v>32</v>
      </c>
      <c r="B104" s="3716"/>
      <c r="C104" s="3281" t="s">
        <v>2945</v>
      </c>
      <c r="D104" s="3281" t="s">
        <v>2946</v>
      </c>
      <c r="E104" s="3306">
        <v>0.1</v>
      </c>
      <c r="F104" s="3300">
        <v>15</v>
      </c>
    </row>
    <row r="105" spans="1:6" ht="24">
      <c r="A105" s="3300">
        <v>33</v>
      </c>
      <c r="B105" s="3716"/>
      <c r="C105" s="3281" t="s">
        <v>2947</v>
      </c>
      <c r="D105" s="3281" t="s">
        <v>2948</v>
      </c>
      <c r="E105" s="3306">
        <v>0.1</v>
      </c>
      <c r="F105" s="3300">
        <v>15</v>
      </c>
    </row>
    <row r="106" spans="1:6" ht="24">
      <c r="A106" s="3300">
        <v>34</v>
      </c>
      <c r="B106" s="3717"/>
      <c r="C106" s="3281" t="s">
        <v>2949</v>
      </c>
      <c r="D106" s="3281" t="s">
        <v>2950</v>
      </c>
      <c r="E106" s="3306">
        <v>0.1</v>
      </c>
      <c r="F106" s="3300">
        <v>15</v>
      </c>
    </row>
    <row r="107" spans="1:6" ht="24">
      <c r="A107" s="3300">
        <v>35</v>
      </c>
      <c r="B107" s="3715" t="s">
        <v>2951</v>
      </c>
      <c r="C107" s="3300" t="s">
        <v>2952</v>
      </c>
      <c r="D107" s="3281" t="s">
        <v>2953</v>
      </c>
      <c r="E107" s="3306">
        <v>0.15</v>
      </c>
      <c r="F107" s="3300">
        <v>20</v>
      </c>
    </row>
    <row r="108" spans="1:6" ht="24">
      <c r="A108" s="3300">
        <v>36</v>
      </c>
      <c r="B108" s="3716"/>
      <c r="C108" s="3300" t="s">
        <v>2954</v>
      </c>
      <c r="D108" s="3281" t="s">
        <v>2955</v>
      </c>
      <c r="E108" s="3306">
        <v>0.15</v>
      </c>
      <c r="F108" s="3300">
        <v>20</v>
      </c>
    </row>
    <row r="109" spans="1:6" ht="24">
      <c r="A109" s="3300">
        <v>37</v>
      </c>
      <c r="B109" s="3716"/>
      <c r="C109" s="3300" t="s">
        <v>2956</v>
      </c>
      <c r="D109" s="3281" t="s">
        <v>2957</v>
      </c>
      <c r="E109" s="3306">
        <v>0.15</v>
      </c>
      <c r="F109" s="3300">
        <v>20</v>
      </c>
    </row>
    <row r="110" spans="1:6" ht="13.5">
      <c r="A110" s="3300">
        <v>38</v>
      </c>
      <c r="B110" s="3716"/>
      <c r="C110" s="3300" t="s">
        <v>2958</v>
      </c>
      <c r="D110" s="3281" t="s">
        <v>2959</v>
      </c>
      <c r="E110" s="3306">
        <v>0.1</v>
      </c>
      <c r="F110" s="3300">
        <v>15</v>
      </c>
    </row>
    <row r="111" spans="1:6" ht="24">
      <c r="A111" s="3300">
        <v>39</v>
      </c>
      <c r="B111" s="3716"/>
      <c r="C111" s="3300" t="s">
        <v>2960</v>
      </c>
      <c r="D111" s="3281" t="s">
        <v>2961</v>
      </c>
      <c r="E111" s="3306">
        <v>0.1</v>
      </c>
      <c r="F111" s="3300">
        <v>15</v>
      </c>
    </row>
    <row r="112" spans="1:6" ht="24">
      <c r="A112" s="3300">
        <v>40</v>
      </c>
      <c r="B112" s="3717"/>
      <c r="C112" s="3300" t="s">
        <v>2962</v>
      </c>
      <c r="D112" s="3281" t="s">
        <v>2963</v>
      </c>
      <c r="E112" s="3306">
        <v>0.1</v>
      </c>
      <c r="F112" s="3300">
        <v>15</v>
      </c>
    </row>
    <row r="113" spans="1:6" ht="24">
      <c r="A113" s="3300">
        <v>41</v>
      </c>
      <c r="B113" s="3726" t="s">
        <v>2964</v>
      </c>
      <c r="C113" s="3300" t="s">
        <v>2965</v>
      </c>
      <c r="D113" s="3281" t="s">
        <v>2966</v>
      </c>
      <c r="E113" s="3306">
        <v>0.1</v>
      </c>
      <c r="F113" s="3300">
        <v>15</v>
      </c>
    </row>
    <row r="114" spans="1:6" ht="13.5">
      <c r="A114" s="3300">
        <v>42</v>
      </c>
      <c r="B114" s="3726"/>
      <c r="C114" s="3300" t="s">
        <v>2967</v>
      </c>
      <c r="D114" s="3281" t="s">
        <v>2968</v>
      </c>
      <c r="E114" s="3306">
        <v>0.1</v>
      </c>
      <c r="F114" s="3300">
        <v>15</v>
      </c>
    </row>
    <row r="115" spans="1:6" ht="24">
      <c r="A115" s="3300">
        <v>43</v>
      </c>
      <c r="B115" s="3726"/>
      <c r="C115" s="3300" t="s">
        <v>2969</v>
      </c>
      <c r="D115" s="3281" t="s">
        <v>2970</v>
      </c>
      <c r="E115" s="3306">
        <v>0.1</v>
      </c>
      <c r="F115" s="3300">
        <v>15</v>
      </c>
    </row>
    <row r="116" spans="1:6" ht="24">
      <c r="A116" s="3300">
        <v>44</v>
      </c>
      <c r="B116" s="3715" t="s">
        <v>2971</v>
      </c>
      <c r="C116" s="3300" t="s">
        <v>2972</v>
      </c>
      <c r="D116" s="3281" t="s">
        <v>2973</v>
      </c>
      <c r="E116" s="3306">
        <v>0.1</v>
      </c>
      <c r="F116" s="3300">
        <v>15</v>
      </c>
    </row>
    <row r="117" spans="1:6" ht="24">
      <c r="A117" s="3300">
        <v>45</v>
      </c>
      <c r="B117" s="3717"/>
      <c r="C117" s="3281" t="s">
        <v>2974</v>
      </c>
      <c r="D117" s="3281" t="s">
        <v>2975</v>
      </c>
      <c r="E117" s="3306">
        <v>0.1</v>
      </c>
      <c r="F117" s="3300">
        <v>15</v>
      </c>
    </row>
    <row r="118" spans="1:6" ht="24">
      <c r="A118" s="3300">
        <v>46</v>
      </c>
      <c r="B118" s="3715" t="s">
        <v>2976</v>
      </c>
      <c r="C118" s="3300" t="s">
        <v>2977</v>
      </c>
      <c r="D118" s="3281" t="s">
        <v>2978</v>
      </c>
      <c r="E118" s="3306">
        <v>0.1</v>
      </c>
      <c r="F118" s="3300">
        <v>15</v>
      </c>
    </row>
    <row r="119" spans="1:6" ht="24">
      <c r="A119" s="3300">
        <v>47</v>
      </c>
      <c r="B119" s="3717"/>
      <c r="C119" s="3300" t="s">
        <v>2979</v>
      </c>
      <c r="D119" s="3281" t="s">
        <v>2980</v>
      </c>
      <c r="E119" s="3306">
        <v>0.1</v>
      </c>
      <c r="F119" s="3300">
        <v>15</v>
      </c>
    </row>
    <row r="120" spans="1:6" ht="24">
      <c r="A120" s="3300">
        <v>48</v>
      </c>
      <c r="B120" s="3715" t="s">
        <v>2981</v>
      </c>
      <c r="C120" s="3300" t="s">
        <v>2982</v>
      </c>
      <c r="D120" s="3281" t="s">
        <v>2983</v>
      </c>
      <c r="E120" s="3306">
        <v>0.1</v>
      </c>
      <c r="F120" s="3300">
        <v>15</v>
      </c>
    </row>
    <row r="121" spans="1:6" ht="13.5">
      <c r="A121" s="3300">
        <v>49</v>
      </c>
      <c r="B121" s="3717"/>
      <c r="C121" s="3300" t="s">
        <v>2984</v>
      </c>
      <c r="D121" s="3281" t="s">
        <v>2985</v>
      </c>
      <c r="E121" s="3306">
        <v>0.1</v>
      </c>
      <c r="F121" s="3300">
        <v>15</v>
      </c>
    </row>
    <row r="122" spans="1:6" ht="24">
      <c r="A122" s="3300">
        <v>50</v>
      </c>
      <c r="B122" s="3726" t="s">
        <v>2986</v>
      </c>
      <c r="C122" s="3300" t="s">
        <v>2987</v>
      </c>
      <c r="D122" s="3281" t="s">
        <v>2988</v>
      </c>
      <c r="E122" s="3306">
        <v>0.1</v>
      </c>
      <c r="F122" s="3300">
        <v>15</v>
      </c>
    </row>
    <row r="123" spans="1:6" ht="24">
      <c r="A123" s="3300">
        <v>51</v>
      </c>
      <c r="B123" s="3726"/>
      <c r="C123" s="3300" t="s">
        <v>2989</v>
      </c>
      <c r="D123" s="3281" t="s">
        <v>2990</v>
      </c>
      <c r="E123" s="3306">
        <v>0.1</v>
      </c>
      <c r="F123" s="3300">
        <v>15</v>
      </c>
    </row>
    <row r="124" spans="1:6" ht="24">
      <c r="A124" s="3300">
        <v>52</v>
      </c>
      <c r="B124" s="3726" t="s">
        <v>2991</v>
      </c>
      <c r="C124" s="3300" t="s">
        <v>2992</v>
      </c>
      <c r="D124" s="3281" t="s">
        <v>2993</v>
      </c>
      <c r="E124" s="3306">
        <v>0.1</v>
      </c>
      <c r="F124" s="3300">
        <v>15</v>
      </c>
    </row>
    <row r="125" spans="1:6" ht="24">
      <c r="A125" s="3300">
        <v>53</v>
      </c>
      <c r="B125" s="3726"/>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26" t="s">
        <v>2999</v>
      </c>
      <c r="C127" s="3300" t="s">
        <v>3000</v>
      </c>
      <c r="D127" s="3281" t="s">
        <v>3001</v>
      </c>
      <c r="E127" s="3306">
        <v>0.1</v>
      </c>
      <c r="F127" s="3300">
        <v>15</v>
      </c>
    </row>
    <row r="128" spans="1:6" ht="13.5">
      <c r="A128" s="3300">
        <v>56</v>
      </c>
      <c r="B128" s="3726"/>
      <c r="C128" s="3300" t="s">
        <v>3002</v>
      </c>
      <c r="D128" s="3281" t="s">
        <v>3003</v>
      </c>
      <c r="E128" s="3306">
        <v>0.1</v>
      </c>
      <c r="F128" s="3300">
        <v>15</v>
      </c>
    </row>
    <row r="129" spans="1:6" ht="24">
      <c r="A129" s="3300">
        <v>57</v>
      </c>
      <c r="B129" s="3726"/>
      <c r="C129" s="3300" t="s">
        <v>3004</v>
      </c>
      <c r="D129" s="3281" t="s">
        <v>3005</v>
      </c>
      <c r="E129" s="3306">
        <v>0.1</v>
      </c>
      <c r="F129" s="3300">
        <v>15</v>
      </c>
    </row>
    <row r="130" spans="1:6" ht="24">
      <c r="A130" s="3300">
        <v>58</v>
      </c>
      <c r="B130" s="3726" t="s">
        <v>3006</v>
      </c>
      <c r="C130" s="3300" t="s">
        <v>3007</v>
      </c>
      <c r="D130" s="3281" t="s">
        <v>3008</v>
      </c>
      <c r="E130" s="3306">
        <v>0.1</v>
      </c>
      <c r="F130" s="3300">
        <v>15</v>
      </c>
    </row>
    <row r="131" spans="1:6" ht="24">
      <c r="A131" s="3300">
        <v>59</v>
      </c>
      <c r="B131" s="3726"/>
      <c r="C131" s="3300" t="s">
        <v>3009</v>
      </c>
      <c r="D131" s="3281" t="s">
        <v>3010</v>
      </c>
      <c r="E131" s="3306">
        <v>0.1</v>
      </c>
      <c r="F131" s="3300">
        <v>15</v>
      </c>
    </row>
    <row r="132" spans="1:6" ht="24">
      <c r="A132" s="3300">
        <v>60</v>
      </c>
      <c r="B132" s="3715" t="s">
        <v>3011</v>
      </c>
      <c r="C132" s="3300" t="s">
        <v>3012</v>
      </c>
      <c r="D132" s="3281" t="s">
        <v>3013</v>
      </c>
      <c r="E132" s="3306">
        <v>0.1</v>
      </c>
      <c r="F132" s="3300">
        <v>15</v>
      </c>
    </row>
    <row r="133" spans="1:6" ht="24">
      <c r="A133" s="3300">
        <v>61</v>
      </c>
      <c r="B133" s="3717"/>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26" t="s">
        <v>3019</v>
      </c>
      <c r="C135" s="3300" t="s">
        <v>3020</v>
      </c>
      <c r="D135" s="3281" t="s">
        <v>3021</v>
      </c>
      <c r="E135" s="3306">
        <v>0.1</v>
      </c>
      <c r="F135" s="3300">
        <v>15</v>
      </c>
    </row>
    <row r="136" spans="1:6" ht="13.5">
      <c r="A136" s="3300">
        <v>64</v>
      </c>
      <c r="B136" s="3726"/>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30">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30"/>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30"/>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7"/>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3">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30"/>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30"/>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7"/>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3">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30"/>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30"/>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31"/>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9">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30"/>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30"/>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31"/>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9">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30"/>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30"/>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31"/>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4">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5"/>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5"/>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6"/>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9">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30"/>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30"/>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31"/>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9">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30">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30">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31">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9">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30">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30">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31">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9">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30">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30">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31">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9">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30">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30">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31">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9">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30">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30">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31">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9">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30">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30">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31">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9">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30">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30">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31">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9">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30">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30">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31">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9">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30">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30">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31">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9">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30">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30">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31">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507.9</v>
      </c>
      <c r="D6" s="3352"/>
      <c r="E6" s="1287"/>
    </row>
    <row r="7" spans="1:5" ht="14.25">
      <c r="A7" s="1287"/>
      <c r="B7" s="3346" t="s">
        <v>594</v>
      </c>
      <c r="C7" s="1293" t="str">
        <f>IF('数据-取费表'!B3="万元","总价（万元）","总价（元）")</f>
        <v>总价（元）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3" t="str">
        <f>IF('数据-取费表'!E3="否",结果表!F110,'结果表 (1修多)'!F112)</f>
        <v>3.房地产抵押价值</v>
      </c>
      <c r="C15" s="1288" t="str">
        <f>C7</f>
        <v>总价（元）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507.9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t="str">
        <f>项目基本情况!D3</f>
        <v>吴薇</v>
      </c>
      <c r="B5" s="1318">
        <f ca="1">项目基本情况!E3</f>
        <v>1419970001</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2496</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7" t="str">
        <f>IF(项目基本情况!D4="抵押","4.本次评估估价师所知悉的法定优先受偿款情况说明如下：","——")</f>
        <v>4.本次评估估价师所知悉的法定优先受偿款情况说明如下：</v>
      </c>
      <c r="B15" s="3368"/>
      <c r="C15" s="3368"/>
      <c r="D15" s="3368"/>
    </row>
    <row r="16" spans="1:4" ht="75" customHeight="1">
      <c r="A16" s="336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7"/>
      <c r="C16" s="3367"/>
      <c r="D16" s="3367"/>
    </row>
    <row r="17" spans="1:4" ht="63.75" customHeight="1">
      <c r="A17" s="3369" t="s">
        <v>1045</v>
      </c>
      <c r="B17" s="3369"/>
      <c r="C17" s="3369"/>
      <c r="D17" s="3369"/>
    </row>
    <row r="18" spans="1:4" ht="15.75" customHeight="1">
      <c r="A18" s="3367" t="str">
        <f>IF(项目基本情况!D4="抵押",结果表!L106,"——")</f>
        <v>本次评估不存在估价师所知悉的法定优先受偿款。</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2497</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44861</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4"/>
      <c r="E18" s="3380" t="s">
        <v>584</v>
      </c>
      <c r="F18" s="3379"/>
      <c r="G18" s="3379"/>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2022-10-27T06:11:01Z</dcterms:modified>
</cp:coreProperties>
</file>