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2" i="4" l="1"/>
  <c r="E20" i="1" l="1"/>
  <c r="I48" i="34" l="1"/>
  <c r="C34" i="34"/>
  <c r="G48" i="34"/>
  <c r="E48" i="34"/>
  <c r="I37" i="34"/>
  <c r="G37" i="34"/>
  <c r="E37" i="34"/>
  <c r="H12" i="4" l="1"/>
  <c r="C37" i="34"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V25" i="31" s="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R266" i="31"/>
  <c r="T266" i="31" s="1"/>
  <c r="R267" i="31"/>
  <c r="S267" i="31" s="1"/>
  <c r="R268" i="31"/>
  <c r="T268" i="31" s="1"/>
  <c r="R269" i="31"/>
  <c r="R270" i="31"/>
  <c r="R271" i="31"/>
  <c r="S271" i="31" s="1"/>
  <c r="R272" i="31"/>
  <c r="T272" i="31" s="1"/>
  <c r="R273" i="3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A131" i="9"/>
  <c r="A135" i="57"/>
  <c r="B103" i="57"/>
  <c r="B107" i="57" s="1"/>
  <c r="C112" i="57"/>
  <c r="H107" i="57" s="1"/>
  <c r="D128" i="57"/>
  <c r="S23"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9" i="31"/>
  <c r="S403" i="31"/>
  <c r="S387" i="31"/>
  <c r="S371" i="31"/>
  <c r="S355" i="31"/>
  <c r="S339" i="31"/>
  <c r="T323" i="31"/>
  <c r="T315" i="31"/>
  <c r="T307" i="31"/>
  <c r="T299" i="31"/>
  <c r="T291" i="31"/>
  <c r="T283" i="31"/>
  <c r="T275" i="31"/>
  <c r="T267" i="31"/>
  <c r="T261" i="31"/>
  <c r="T259" i="31"/>
  <c r="S513" i="31"/>
  <c r="S113" i="31"/>
  <c r="S109" i="31"/>
  <c r="S105" i="31"/>
  <c r="S101" i="31"/>
  <c r="S81" i="31"/>
  <c r="S85" i="31"/>
  <c r="S89" i="31"/>
  <c r="S93"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S43"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9" i="31"/>
  <c r="S467"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C36" i="57"/>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6" i="61"/>
  <c r="D4" i="61"/>
  <c r="D7" i="61"/>
  <c r="D3" i="61"/>
  <c r="E2" i="36"/>
  <c r="F4" i="61"/>
  <c r="E2" i="21"/>
  <c r="D5" i="61"/>
  <c r="E2" i="34"/>
  <c r="E2" i="35"/>
  <c r="E2" i="33"/>
  <c r="F7" i="61"/>
  <c r="F3" i="61"/>
  <c r="F5" i="61"/>
  <c r="D6" i="61"/>
  <c r="E2" i="11"/>
  <c r="H23" i="31"/>
  <c r="E2" i="37"/>
  <c r="T527" i="31" l="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B125" i="57"/>
  <c r="G125" i="57" s="1"/>
  <c r="H103" i="57"/>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AC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125" i="57" l="1"/>
  <c r="AB37" i="34"/>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I121" i="9" l="1"/>
  <c r="H121" i="9" s="1"/>
  <c r="C103" i="9" s="1"/>
  <c r="G121" i="9"/>
  <c r="F121" i="9" s="1"/>
  <c r="F122" i="9" s="1"/>
  <c r="H122" i="9" l="1"/>
  <c r="D106" i="9"/>
  <c r="D112" i="9" s="1"/>
  <c r="I102" i="9"/>
  <c r="N48" i="9" s="1"/>
  <c r="I103" i="9"/>
  <c r="E14" i="62" s="1"/>
  <c r="C104" i="9"/>
  <c r="R27" i="31" s="1"/>
  <c r="D107" i="9"/>
  <c r="S27" i="31" l="1"/>
  <c r="R28" i="31"/>
  <c r="C33" i="57"/>
  <c r="T27" i="31"/>
  <c r="D45" i="9"/>
  <c r="C78" i="9" s="1"/>
  <c r="C73" i="9" s="1"/>
  <c r="D14" i="62"/>
  <c r="B5" i="62" s="1"/>
  <c r="C5" i="62" s="1"/>
  <c r="D113" i="9"/>
  <c r="I111" i="9" s="1"/>
  <c r="D126" i="9" s="1"/>
  <c r="I110" i="9"/>
  <c r="D125" i="9" s="1"/>
  <c r="G14" i="62" s="1"/>
  <c r="B6" i="62" s="1"/>
  <c r="D117" i="9"/>
  <c r="I115" i="9" s="1"/>
  <c r="F14" i="62"/>
  <c r="D53" i="9"/>
  <c r="D48" i="9" s="1"/>
  <c r="N52" i="9" s="1"/>
  <c r="O57" i="9" s="1"/>
  <c r="S28" i="31" l="1"/>
  <c r="T28" i="31"/>
  <c r="T25" i="31" s="1"/>
  <c r="S25" i="31"/>
  <c r="C72" i="9"/>
  <c r="C79" i="9" s="1"/>
  <c r="C80" i="9" s="1"/>
  <c r="E80" i="9" s="1"/>
  <c r="E81" i="9" s="1"/>
  <c r="D5" i="62"/>
  <c r="C85" i="9"/>
  <c r="C64" i="9"/>
  <c r="C63" i="9" s="1"/>
  <c r="C67" i="9" s="1"/>
  <c r="C68" i="9" s="1"/>
  <c r="D54" i="9" s="1"/>
  <c r="D52" i="9"/>
  <c r="C93" i="9"/>
  <c r="C86" i="9" s="1"/>
  <c r="N49" i="9"/>
  <c r="Q57" i="9" s="1"/>
  <c r="D6" i="62"/>
  <c r="C6" i="62"/>
  <c r="O58" i="9"/>
  <c r="R25" i="31" l="1"/>
  <c r="B23" i="31"/>
  <c r="M68" i="9"/>
  <c r="N68" i="9" s="1"/>
  <c r="C95" i="9"/>
  <c r="O59" i="9"/>
  <c r="O60" i="9" s="1"/>
  <c r="M63" i="9"/>
  <c r="N63" i="9" s="1"/>
  <c r="M66" i="9"/>
  <c r="N66" i="9" s="1"/>
  <c r="M67" i="9"/>
  <c r="N67" i="9" s="1"/>
  <c r="M64" i="9"/>
  <c r="N64" i="9" s="1"/>
  <c r="M65" i="9"/>
  <c r="N65" i="9" s="1"/>
  <c r="C81" i="9"/>
  <c r="C96" i="9"/>
  <c r="E96" i="9" s="1"/>
  <c r="E97" i="9" s="1"/>
  <c r="O61" i="9"/>
  <c r="E121" i="9"/>
  <c r="D121" i="9" s="1"/>
  <c r="D122" i="9" s="1"/>
  <c r="B24" i="31" l="1"/>
  <c r="B3" i="31" s="1"/>
  <c r="B2" i="31"/>
  <c r="N69" i="9"/>
  <c r="O69" i="9" s="1"/>
  <c r="C97" i="9"/>
  <c r="D58" i="9" s="1"/>
  <c r="D20" i="57"/>
  <c r="C20" i="57"/>
  <c r="D19" i="57"/>
  <c r="C19" i="57"/>
  <c r="G19" i="57" l="1"/>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C81" i="57" s="1"/>
  <c r="D61" i="57"/>
  <c r="N57" i="57" s="1"/>
  <c r="D57" i="57"/>
  <c r="N55" i="57" s="1"/>
  <c r="C95" i="57"/>
  <c r="C88" i="57" s="1"/>
  <c r="D54" i="57"/>
  <c r="C87" i="57"/>
  <c r="C97" i="57" s="1"/>
  <c r="C82" i="57" l="1"/>
  <c r="E82" i="57" s="1"/>
  <c r="E83" i="57" s="1"/>
  <c r="C98" i="57"/>
  <c r="E98" i="57" s="1"/>
  <c r="E99"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<sst xmlns="http://schemas.openxmlformats.org/spreadsheetml/2006/main" count="7074" uniqueCount="3096">
  <si>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</si>
  <si>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</si>
  <si>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</si>
  <si>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</si>
  <si>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</si>
  <si>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</si>
  <si>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</si>
  <si>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</si>
  <si>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</si>
  <si>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</si>
  <si>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</si>
  <si>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</si>
  <si>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</si>
  <si>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</si>
  <si>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</si>
  <si>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</si>
  <si>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</si>
  <si>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</si>
  <si>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</si>
  <si>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</si>
  <si>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</si>
  <si>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</si>
  <si>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</si>
  <si>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</si>
  <si>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</si>
  <si>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</si>
  <si>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</si>
  <si>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</si>
  <si>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</si>
  <si>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</si>
  <si>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</si>
  <si>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</si>
  <si>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</si>
  <si>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</si>
  <si>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</si>
  <si>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</si>
  <si>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</si>
  <si>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</si>
  <si>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</si>
  <si>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</si>
  <si>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</si>
  <si>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</si>
  <si>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</si>
  <si>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</si>
  <si>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</si>
  <si>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</si>
  <si>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</si>
  <si>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</si>
  <si>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</si>
  <si>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</si>
  <si>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</si>
  <si>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</si>
  <si>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</si>
  <si>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</si>
  <si>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</si>
  <si>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</si>
  <si>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</si>
  <si>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</si>
  <si>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</si>
  <si>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</si>
  <si>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</si>
  <si>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</si>
  <si>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</si>
  <si>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</si>
  <si>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</si>
  <si>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</si>
  <si>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</si>
  <si>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</si>
  <si>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</si>
  <si>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</si>
  <si>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</si>
  <si>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</si>
  <si>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</si>
  <si>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</si>
  <si>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</si>
  <si>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</si>
  <si>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</si>
  <si>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</si>
  <si>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</si>
  <si>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</si>
  <si>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</si>
  <si>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</si>
  <si>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</si>
  <si>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</si>
  <si>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</si>
  <si>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</si>
  <si>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</si>
  <si>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</si>
  <si>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</si>
  <si>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</si>
  <si>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</si>
  <si>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</si>
  <si>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</si>
  <si>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</si>
  <si>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</si>
  <si>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</si>
  <si>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</si>
  <si>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</si>
  <si>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</si>
  <si>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</si>
  <si>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</si>
  <si>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</si>
  <si>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</si>
  <si>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</si>
  <si>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</si>
  <si>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</si>
  <si>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</si>
  <si>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</si>
  <si>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</si>
  <si>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</si>
  <si>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</si>
  <si>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</si>
  <si>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</si>
  <si>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</si>
  <si>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</si>
  <si>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</si>
  <si>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</si>
  <si>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</si>
  <si>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</si>
  <si>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</si>
  <si>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</si>
  <si>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</si>
  <si>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</si>
  <si>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</si>
  <si>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</si>
  <si>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</si>
  <si>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</si>
  <si>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</si>
  <si>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</si>
  <si>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</si>
  <si>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</si>
  <si>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</si>
  <si>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</si>
  <si>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</si>
  <si>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</si>
  <si>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</si>
  <si>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</si>
  <si>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</si>
  <si>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</si>
  <si>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</si>
  <si>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</si>
  <si>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</si>
  <si>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</si>
  <si>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</si>
  <si>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</si>
  <si>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</si>
  <si>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</si>
  <si>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</si>
  <si>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</si>
  <si>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</si>
  <si>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</si>
  <si>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</si>
  <si>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</si>
  <si>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</si>
  <si>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</si>
  <si>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</si>
  <si>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</si>
  <si>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</si>
  <si>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</si>
  <si>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</si>
  <si>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</si>
  <si>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</si>
  <si>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</si>
  <si>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</si>
  <si>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</si>
  <si>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</si>
  <si>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</si>
  <si>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</si>
  <si>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</si>
  <si>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</si>
  <si>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</si>
  <si>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</si>
  <si>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</si>
  <si>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</si>
  <si>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</si>
  <si>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</si>
  <si>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</si>
  <si>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</si>
  <si>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</si>
  <si>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</si>
  <si>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</si>
  <si>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</si>
  <si>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</si>
  <si>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</si>
  <si>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</si>
  <si>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</si>
  <si>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</si>
  <si>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</si>
  <si>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</si>
  <si>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</si>
  <si>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</si>
  <si>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</si>
  <si>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</si>
  <si>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</si>
  <si>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</si>
  <si>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</si>
  <si>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</si>
  <si>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</si>
  <si>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</si>
  <si>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</si>
  <si>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</si>
  <si>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</si>
  <si>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</si>
  <si>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</si>
  <si>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</si>
  <si>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</si>
  <si>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</si>
  <si>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</si>
  <si>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</si>
  <si>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</si>
  <si>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</si>
  <si>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</si>
  <si>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</si>
  <si>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</si>
  <si>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</si>
  <si>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</si>
  <si>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</si>
  <si>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</si>
  <si>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</si>
  <si>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</si>
  <si>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</si>
  <si>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</si>
  <si>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</si>
  <si>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</si>
  <si>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</si>
  <si>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</si>
  <si>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</si>
  <si>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</si>
  <si>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</si>
  <si>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</si>
  <si>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</si>
  <si>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</si>
  <si>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</si>
  <si>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</si>
  <si>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</si>
  <si>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</si>
  <si>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</si>
  <si>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</si>
  <si>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</si>
  <si>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</si>
  <si>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</si>
  <si>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</si>
  <si>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</si>
  <si>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</si>
  <si>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</si>
  <si>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</si>
  <si>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</si>
  <si>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</si>
  <si>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</si>
  <si>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</si>
  <si>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</si>
  <si>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</si>
  <si>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</si>
  <si>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</si>
  <si>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</si>
  <si>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</si>
  <si>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</si>
  <si>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</si>
  <si>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</si>
  <si>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</si>
  <si>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</si>
  <si>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</si>
  <si>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</si>
  <si>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</si>
  <si>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</si>
  <si>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</si>
  <si>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</si>
  <si>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</si>
  <si>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</si>
  <si>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</si>
  <si>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</si>
  <si>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</si>
  <si>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</si>
  <si>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</si>
  <si>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</si>
  <si>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</si>
  <si>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</si>
  <si>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</si>
  <si>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</si>
  <si>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</si>
  <si>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</si>
  <si>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</si>
  <si>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</si>
  <si>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</si>
  <si>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</si>
  <si>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</si>
  <si>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</si>
  <si>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</si>
  <si>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</si>
  <si>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</si>
  <si>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</si>
  <si>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</si>
  <si>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</si>
  <si>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</si>
  <si>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</si>
  <si>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</si>
  <si>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</si>
  <si>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</si>
  <si>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</si>
  <si>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</si>
  <si>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</si>
  <si>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</si>
  <si>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</si>
  <si>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</si>
  <si>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</si>
  <si>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</si>
  <si>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</si>
  <si>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</si>
  <si>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</si>
  <si>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</si>
  <si>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</si>
  <si>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</si>
  <si>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</si>
  <si>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</si>
  <si>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</si>
  <si>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</si>
  <si>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</si>
  <si>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</si>
  <si>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</si>
  <si>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</si>
  <si>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</si>
  <si>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</si>
  <si>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</si>
  <si>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</si>
  <si>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</si>
  <si>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</si>
  <si>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</si>
  <si>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</si>
  <si>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</si>
  <si>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</si>
  <si>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</si>
  <si>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</si>
  <si>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</si>
  <si>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</si>
  <si>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</si>
  <si>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</si>
  <si>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</si>
  <si>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</si>
  <si>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</si>
  <si>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</si>
  <si>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</si>
  <si>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</si>
  <si>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</si>
  <si>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</si>
  <si>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</si>
  <si>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</si>
  <si>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</si>
  <si>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</si>
  <si>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</si>
  <si>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</si>
  <si>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</si>
  <si>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</si>
  <si>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</si>
  <si>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</si>
  <si>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</si>
  <si>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</si>
  <si>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</si>
  <si>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</si>
  <si>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</si>
  <si>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</si>
  <si>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</si>
  <si>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</si>
  <si>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</si>
  <si>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</si>
  <si>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</si>
  <si>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</si>
  <si>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</si>
  <si>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</si>
  <si>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</si>
  <si>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</si>
  <si>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</si>
  <si>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</si>
  <si>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</si>
  <si>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</si>
  <si>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</si>
  <si>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</si>
  <si>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</si>
  <si>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</si>
  <si>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</si>
  <si>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</si>
  <si>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</si>
  <si>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</si>
  <si>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</si>
  <si>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</si>
  <si>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</si>
  <si>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</si>
  <si>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</si>
  <si>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</si>
  <si>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</si>
  <si>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</si>
  <si>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</si>
  <si>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</si>
  <si>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</si>
  <si>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</si>
  <si>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</si>
  <si>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</si>
  <si>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</si>
  <si>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</si>
  <si>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</si>
  <si>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</si>
  <si>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</si>
  <si>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</si>
  <si>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</si>
  <si>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</si>
  <si>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</si>
  <si>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</si>
  <si>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</si>
  <si>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</si>
  <si>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</si>
  <si>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</si>
  <si>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</si>
  <si>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</si>
  <si>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</si>
  <si>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</si>
  <si>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</si>
  <si>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</si>
  <si>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</si>
  <si>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</si>
  <si>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</si>
  <si>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</si>
  <si>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</si>
  <si>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</si>
  <si>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</si>
  <si>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</si>
  <si>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</si>
  <si>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</si>
  <si>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</si>
  <si>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</si>
  <si>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</si>
  <si>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</si>
  <si>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</si>
  <si>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</si>
  <si>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</si>
  <si>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</si>
  <si>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</si>
  <si>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</si>
  <si>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</si>
  <si>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</si>
  <si>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</si>
  <si>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</si>
  <si>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</si>
  <si>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</si>
  <si>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</si>
  <si>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</si>
  <si>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</si>
  <si>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</si>
  <si>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</si>
  <si>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</si>
  <si>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</si>
  <si>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</si>
  <si>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</si>
  <si>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</si>
  <si>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</si>
  <si>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</si>
  <si>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</si>
  <si>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</si>
  <si>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</si>
  <si>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</si>
  <si>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</si>
  <si>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</si>
  <si>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</si>
  <si>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</si>
  <si>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</si>
  <si>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</si>
  <si>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</si>
  <si>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</si>
  <si>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</si>
  <si>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</si>
  <si>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</si>
  <si>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</si>
  <si>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</si>
  <si>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</si>
  <si>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</si>
  <si>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</si>
  <si>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</si>
  <si>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</si>
  <si>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</si>
  <si>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</si>
  <si>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</si>
  <si>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</si>
  <si>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</si>
  <si>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</si>
  <si>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</si>
  <si>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</si>
  <si>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</si>
  <si>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</si>
  <si>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</si>
  <si>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</si>
  <si>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</si>
  <si>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</si>
  <si>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</si>
  <si>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</si>
  <si>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</si>
  <si>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</si>
  <si>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</si>
  <si>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</si>
  <si>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</si>
  <si>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</si>
  <si>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</si>
  <si>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</si>
  <si>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</si>
  <si>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</si>
  <si>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</si>
  <si>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</si>
  <si>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</si>
  <si>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</si>
  <si>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</si>
  <si>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</si>
  <si>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</si>
  <si>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</si>
  <si>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</si>
  <si>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</si>
  <si>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</si>
  <si>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</si>
  <si>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</si>
  <si>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</si>
  <si>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</si>
  <si>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</si>
  <si>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</si>
  <si>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</si>
  <si>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</si>
  <si>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</si>
  <si>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</si>
  <si>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</si>
  <si>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</si>
  <si>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</si>
  <si>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</si>
  <si>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</si>
  <si>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</si>
  <si>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</si>
  <si>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</si>
  <si>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</si>
  <si>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</si>
  <si>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</si>
  <si>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</si>
  <si>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</si>
  <si>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</si>
  <si>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</si>
  <si>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</si>
  <si>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</si>
  <si>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</si>
  <si>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</si>
  <si>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</si>
  <si>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</si>
  <si>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</si>
  <si>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</si>
  <si>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</si>
  <si>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</si>
  <si>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</si>
  <si>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</si>
  <si>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</si>
  <si>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</si>
  <si>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</si>
  <si>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</si>
  <si>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</si>
  <si>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</si>
  <si>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</si>
  <si>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</si>
  <si>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</si>
  <si>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</si>
  <si>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</si>
  <si>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</si>
  <si>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</si>
  <si>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</si>
  <si>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</si>
  <si>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</si>
  <si>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</si>
  <si>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</si>
  <si>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</si>
  <si>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</si>
  <si>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</si>
  <si>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</si>
  <si>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</si>
  <si>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</si>
  <si>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</si>
  <si>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</si>
  <si>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</si>
  <si>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</si>
  <si>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</si>
  <si>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</si>
  <si>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</si>
  <si>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</si>
  <si>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</si>
  <si>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</si>
  <si>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</si>
  <si>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</si>
  <si>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</si>
  <si>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</si>
  <si>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</si>
  <si>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</si>
  <si>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</si>
  <si>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</si>
  <si>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</si>
  <si>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</si>
  <si>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</si>
  <si>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</si>
  <si>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</si>
  <si>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</si>
  <si>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</si>
  <si>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</si>
  <si>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</si>
  <si>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</si>
  <si>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</si>
  <si>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</si>
  <si>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</si>
  <si>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</si>
  <si>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</si>
  <si>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</si>
  <si>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</si>
  <si>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</si>
  <si>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</si>
  <si>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</si>
  <si>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</si>
  <si>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</si>
  <si>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</si>
  <si>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</si>
  <si>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</si>
  <si>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</si>
  <si>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</si>
  <si>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</si>
  <si>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</si>
  <si>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</si>
  <si>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</si>
  <si>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</si>
  <si>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</si>
  <si>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</si>
  <si>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</si>
  <si>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</si>
  <si>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</si>
  <si>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</si>
  <si>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</si>
  <si>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</si>
  <si>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</si>
  <si>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</si>
  <si>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</si>
  <si>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</si>
  <si>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</si>
  <si>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</si>
  <si>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</si>
  <si>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</si>
  <si>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</si>
  <si>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</si>
  <si>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</si>
  <si>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</si>
  <si>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</si>
  <si>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</si>
  <si>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</si>
  <si>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</si>
  <si>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</si>
  <si>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</si>
  <si>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</si>
  <si>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</si>
  <si>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</si>
  <si>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</si>
  <si>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</si>
  <si>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</si>
  <si>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</si>
  <si>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</si>
  <si>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</si>
  <si>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</si>
  <si>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</si>
  <si>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</si>
  <si>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</si>
  <si>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</si>
  <si>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</si>
  <si>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</si>
  <si>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</si>
  <si>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</si>
  <si>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</si>
  <si>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</si>
  <si>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</si>
  <si>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</si>
  <si>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</si>
  <si>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</si>
  <si>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</si>
  <si>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</si>
  <si>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</si>
  <si>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</si>
  <si>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</si>
  <si>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</si>
  <si>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</si>
  <si>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</si>
  <si>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</si>
  <si>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</si>
  <si>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</si>
  <si>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</si>
  <si>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</si>
  <si>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</si>
  <si>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</si>
  <si>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</si>
  <si>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</si>
  <si>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</si>
  <si>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</si>
  <si>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</si>
  <si>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</si>
  <si>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</si>
  <si>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</si>
  <si>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</si>
  <si>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</si>
  <si>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</si>
  <si>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</si>
  <si>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</si>
  <si>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</si>
  <si>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</si>
  <si>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</si>
  <si>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</si>
  <si>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</si>
  <si>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</si>
  <si>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</si>
  <si>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</si>
  <si>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</si>
  <si>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</si>
  <si>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</si>
  <si>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</si>
  <si>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</si>
  <si>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</si>
  <si>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</si>
  <si>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</si>
  <si>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</si>
  <si>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</si>
  <si>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</si>
  <si>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</si>
  <si>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</si>
  <si>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</si>
  <si>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</si>
  <si>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</si>
  <si>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</si>
  <si>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</si>
  <si>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</si>
  <si>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</si>
  <si>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</si>
  <si>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</si>
  <si>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</si>
  <si>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</si>
  <si>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</si>
  <si>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</si>
  <si>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</si>
  <si>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</si>
  <si>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</si>
  <si>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</si>
  <si>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</si>
  <si>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</si>
  <si>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</si>
  <si>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</si>
  <si>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</si>
  <si>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</si>
  <si>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</si>
  <si>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</si>
  <si>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</si>
  <si>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</si>
  <si>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</si>
  <si>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</si>
  <si>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</si>
  <si>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</si>
  <si>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</si>
  <si>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</si>
  <si>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</si>
  <si>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</si>
  <si>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</si>
  <si>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</si>
  <si>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</si>
  <si>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</si>
  <si>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</si>
  <si>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</si>
  <si>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</si>
  <si>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</si>
  <si>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</si>
  <si>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</si>
  <si>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</si>
  <si>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</si>
  <si>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</si>
  <si>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</si>
  <si>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</si>
  <si>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</si>
  <si>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</si>
  <si>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</si>
  <si>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</si>
  <si>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</si>
  <si>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</si>
  <si>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</si>
  <si>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</si>
  <si>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</si>
  <si>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</si>
  <si>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</si>
  <si>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</si>
  <si>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</si>
  <si>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</si>
  <si>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</si>
  <si>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</si>
  <si>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</si>
  <si>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</si>
  <si>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</si>
  <si>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</si>
  <si>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</si>
  <si>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</si>
  <si>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</si>
  <si>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</si>
  <si>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</si>
  <si>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</si>
  <si>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</si>
  <si>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</si>
  <si>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</si>
  <si>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</si>
  <si>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</si>
  <si>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</si>
  <si>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</si>
  <si>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</si>
  <si>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</si>
  <si>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</si>
  <si>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</si>
  <si>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</si>
  <si>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</si>
  <si>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</si>
  <si>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</si>
  <si>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</si>
  <si>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</si>
  <si>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</si>
  <si>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</si>
  <si>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</si>
  <si>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</si>
  <si>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</si>
  <si>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</si>
  <si>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</si>
  <si>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</si>
  <si>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</si>
  <si>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</si>
  <si>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</si>
  <si>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</si>
  <si>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</si>
  <si>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</si>
  <si>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</si>
  <si>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</si>
  <si>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</si>
  <si>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</si>
  <si>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</si>
  <si>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</si>
  <si>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</si>
  <si>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</si>
  <si>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</si>
  <si>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</si>
  <si>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</si>
  <si>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</si>
  <si>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</si>
  <si>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</si>
  <si>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</si>
  <si>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</si>
  <si>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</si>
  <si>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</si>
  <si>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</si>
  <si>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</si>
  <si>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</si>
  <si>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</si>
  <si>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</si>
  <si>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</si>
  <si>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</si>
  <si>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</si>
  <si>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</si>
  <si>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</si>
  <si>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</si>
  <si>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</si>
  <si>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</si>
  <si>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</si>
  <si>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</si>
  <si>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</si>
  <si>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</si>
  <si>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</si>
  <si>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</si>
  <si>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</si>
  <si>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</si>
  <si>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</si>
  <si>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</si>
  <si>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</si>
  <si>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</si>
  <si>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</si>
  <si>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</si>
  <si>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</si>
  <si>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</si>
  <si>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</si>
  <si>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</si>
  <si>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</si>
  <si>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</si>
  <si>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</si>
  <si>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</si>
  <si>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</si>
  <si>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</si>
  <si>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</si>
  <si>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</si>
  <si>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</si>
  <si>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</si>
  <si>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</si>
  <si>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</si>
  <si>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</si>
  <si>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</si>
  <si>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</si>
  <si>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</si>
  <si>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</si>
  <si>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</si>
  <si>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</si>
  <si>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</si>
  <si>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</si>
  <si>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</si>
  <si>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</si>
  <si>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</si>
  <si>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</si>
  <si>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</si>
  <si>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</si>
  <si>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</si>
  <si>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</si>
  <si>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</si>
  <si>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</si>
  <si>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</si>
  <si>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</si>
  <si>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</si>
  <si>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</si>
  <si>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</si>
  <si>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</si>
  <si>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</si>
  <si>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</si>
  <si>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</si>
  <si>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</si>
  <si>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</si>
  <si>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</si>
  <si>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</si>
  <si>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</si>
  <si>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</si>
  <si>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</si>
  <si>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</si>
  <si>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</si>
  <si>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</si>
  <si>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</si>
  <si>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</si>
  <si>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</si>
  <si>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</si>
  <si>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</si>
  <si>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</si>
  <si>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</si>
  <si>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</si>
  <si>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</si>
  <si>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</si>
  <si>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</si>
  <si>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</si>
  <si>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</si>
  <si>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</si>
  <si>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</si>
  <si>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</si>
  <si>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</si>
  <si>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</si>
  <si>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</si>
  <si>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</si>
  <si>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</si>
  <si>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</si>
  <si>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</si>
  <si>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</si>
  <si>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</si>
  <si>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</si>
  <si>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</si>
  <si>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</si>
  <si>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</si>
  <si>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</si>
  <si>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</si>
  <si>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</si>
  <si>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</si>
  <si>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</si>
  <si>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</si>
  <si>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</si>
  <si>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</si>
  <si>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</si>
  <si>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</si>
  <si>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</si>
  <si>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</si>
  <si>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</si>
  <si>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</si>
  <si>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</si>
  <si>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</si>
  <si>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</si>
  <si>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</si>
  <si>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</si>
  <si>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</si>
  <si>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</si>
  <si>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</si>
  <si>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</si>
  <si>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</si>
  <si>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</si>
  <si>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</si>
  <si>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</si>
  <si>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</si>
  <si>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</si>
  <si>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</si>
  <si>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</si>
  <si>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</si>
  <si>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</si>
  <si>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</si>
  <si>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</si>
  <si>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</si>
  <si>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</si>
  <si>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</si>
  <si>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</si>
  <si>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</si>
  <si>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</si>
  <si>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</si>
  <si>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</si>
  <si>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</si>
  <si>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</si>
  <si>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</si>
  <si>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</si>
  <si>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</si>
  <si>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</si>
  <si>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</si>
  <si>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</si>
  <si>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</si>
  <si>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</si>
  <si>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</si>
  <si>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</si>
  <si>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</si>
  <si>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</si>
  <si>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</si>
  <si>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</si>
  <si>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</si>
  <si>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</si>
  <si>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</si>
  <si>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</si>
  <si>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</si>
  <si>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</si>
  <si>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</si>
  <si>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</si>
  <si>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</si>
  <si>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</si>
  <si>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</si>
  <si>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</si>
  <si>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</si>
  <si>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</si>
  <si>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</si>
  <si>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</si>
  <si>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</si>
  <si>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</si>
  <si>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</si>
  <si>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</si>
  <si>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</si>
  <si>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</si>
  <si>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</si>
  <si>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</si>
  <si>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</si>
  <si>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</si>
  <si>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</si>
  <si>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</si>
  <si>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</si>
  <si>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</si>
  <si>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</si>
  <si>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</si>
  <si>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</si>
  <si>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</si>
  <si>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</si>
  <si>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</si>
  <si>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</si>
  <si>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</si>
  <si>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</si>
  <si>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</si>
  <si>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</si>
  <si>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</si>
  <si>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</si>
  <si>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</si>
  <si>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</si>
  <si>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</si>
  <si>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</si>
  <si>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</si>
  <si>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</si>
  <si>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</si>
  <si>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</si>
  <si>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</si>
  <si>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</si>
  <si>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</si>
  <si>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</si>
  <si>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</si>
  <si>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</si>
  <si>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</si>
  <si>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</si>
  <si>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</si>
  <si>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</si>
  <si>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</si>
  <si>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</si>
  <si>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</si>
  <si>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</si>
  <si>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</si>
  <si>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</si>
  <si>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</si>
  <si>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</si>
  <si>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</si>
  <si>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</si>
  <si>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</si>
  <si>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</si>
  <si>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</si>
  <si>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</si>
  <si>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</si>
  <si>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</si>
  <si>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</si>
  <si>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</si>
  <si>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</si>
  <si>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</si>
  <si>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</si>
  <si>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</si>
  <si>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</si>
  <si>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</si>
  <si>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</si>
  <si>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</si>
  <si>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</si>
  <si>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</si>
  <si>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</si>
  <si>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</si>
  <si>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</si>
  <si>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</si>
  <si>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</si>
  <si>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</si>
  <si>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</si>
  <si>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</si>
  <si>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</si>
  <si>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</si>
  <si>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</si>
  <si>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</si>
  <si>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</si>
  <si>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</si>
  <si>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</si>
  <si>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</si>
  <si>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</si>
  <si>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</si>
  <si>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</si>
  <si>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</si>
  <si>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</si>
  <si>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</si>
  <si>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</si>
  <si>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</si>
  <si>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</si>
  <si>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</si>
  <si>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</si>
  <si>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</si>
  <si>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</si>
  <si>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</si>
  <si>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</si>
  <si>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</si>
  <si>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</si>
  <si>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</si>
  <si>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</si>
  <si>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</si>
  <si>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</si>
  <si>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</si>
  <si>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</si>
  <si>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</si>
  <si>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</si>
  <si>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</si>
  <si>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</si>
  <si>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</si>
  <si>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</si>
  <si>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</si>
  <si>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</si>
  <si>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</si>
  <si>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</si>
  <si>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</si>
  <si>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</si>
  <si>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</si>
  <si>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</si>
  <si>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</si>
  <si>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</si>
  <si>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</si>
  <si>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</si>
  <si>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</si>
  <si>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</si>
  <si>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</si>
  <si>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</si>
  <si>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</si>
  <si>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</si>
  <si>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</si>
  <si>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</si>
  <si>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</si>
  <si>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</si>
  <si>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</si>
  <si>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</si>
  <si>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</si>
  <si>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</si>
  <si>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</si>
  <si>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</si>
  <si>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</si>
  <si>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</si>
  <si>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</si>
  <si>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</si>
  <si>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</si>
  <si>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</si>
  <si>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</si>
  <si>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</si>
  <si>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</si>
  <si>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</si>
  <si>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</si>
  <si>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</si>
  <si>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</si>
  <si>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</si>
  <si>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</si>
  <si>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</si>
  <si>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</si>
  <si>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</si>
  <si>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</si>
  <si>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</si>
  <si>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</si>
  <si>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</si>
  <si>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</si>
  <si>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</si>
  <si>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</si>
  <si>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</si>
  <si>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</si>
  <si>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</si>
  <si>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</si>
  <si>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</si>
  <si>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</si>
  <si>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</si>
  <si>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</si>
  <si>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</si>
  <si>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</si>
  <si>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</si>
  <si>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</si>
  <si>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</si>
  <si>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</si>
  <si>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</si>
  <si>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</si>
  <si>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</si>
  <si>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</si>
  <si>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</si>
  <si>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</si>
  <si>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</si>
  <si>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</si>
  <si>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</si>
  <si>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</si>
  <si>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</si>
  <si>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</si>
  <si>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</si>
  <si>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</si>
  <si>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</si>
  <si>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</si>
  <si>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</si>
  <si>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</si>
  <si>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</si>
  <si>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</si>
  <si>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</si>
  <si>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</si>
  <si>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</si>
  <si>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</si>
  <si>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</si>
  <si>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</si>
  <si>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</si>
  <si>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</si>
  <si>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</si>
  <si>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</si>
  <si>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</si>
  <si>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</si>
  <si>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</si>
  <si>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</si>
  <si>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</si>
  <si>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</si>
  <si>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</si>
  <si>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</si>
  <si>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</si>
  <si>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</si>
  <si>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</si>
  <si>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</si>
  <si>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</si>
  <si>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</si>
  <si>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</si>
  <si>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</si>
  <si>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</si>
  <si>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</si>
  <si>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</si>
  <si>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</si>
  <si>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</si>
  <si>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</si>
  <si>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</si>
  <si>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</si>
  <si>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</si>
  <si>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</si>
  <si>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</si>
  <si>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</si>
  <si>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</si>
  <si>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</si>
  <si>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</si>
  <si>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</si>
  <si>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</si>
  <si>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</si>
  <si>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</si>
  <si>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</si>
  <si>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</si>
  <si>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</si>
  <si>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</si>
  <si>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</si>
  <si>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</si>
  <si>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</si>
  <si>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</si>
  <si>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</si>
  <si>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</si>
  <si>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</si>
  <si>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</si>
  <si>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</si>
  <si>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</si>
  <si>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</si>
  <si>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</si>
  <si>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</si>
  <si>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</si>
  <si>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</si>
  <si>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</si>
  <si>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</si>
  <si>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</si>
  <si>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</si>
  <si>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</si>
  <si>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</si>
  <si>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</si>
  <si>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</si>
  <si>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</si>
  <si>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</si>
  <si>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</si>
  <si>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</si>
  <si>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</si>
  <si>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</si>
  <si>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</si>
  <si>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</si>
  <si>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</si>
  <si>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</si>
  <si>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</si>
  <si>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</si>
  <si>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</si>
  <si>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</si>
  <si>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</si>
  <si>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</si>
  <si>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</si>
  <si>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</si>
  <si>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</si>
  <si>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</si>
  <si>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</si>
  <si>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</si>
  <si>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</si>
  <si>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</si>
  <si>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</si>
  <si>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</si>
  <si>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</si>
  <si>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</si>
  <si>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</si>
  <si>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</si>
  <si>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</si>
  <si>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</si>
  <si>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</si>
  <si>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</si>
  <si>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</si>
  <si>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</si>
  <si>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</si>
  <si>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</si>
  <si>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</si>
  <si>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</si>
  <si>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</si>
  <si>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</si>
  <si>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</si>
  <si>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</si>
  <si>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</si>
  <si>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</si>
  <si>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</si>
  <si>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</si>
  <si>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</si>
  <si>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</si>
  <si>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</si>
  <si>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</si>
  <si>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</si>
  <si>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</si>
  <si>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</si>
  <si>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</si>
  <si>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</si>
  <si>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</si>
  <si>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</si>
  <si>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</si>
  <si>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</si>
  <si>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</si>
  <si>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</si>
  <si>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</si>
  <si>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</si>
  <si>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</si>
  <si>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</si>
  <si>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</si>
  <si>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</si>
  <si>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</si>
  <si>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</si>
  <si>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</si>
  <si>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</si>
  <si>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</si>
  <si>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</si>
  <si>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</si>
  <si>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</si>
  <si>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</si>
  <si>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</si>
  <si>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</si>
  <si>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</si>
  <si>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</si>
  <si>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</si>
  <si>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</si>
  <si>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</si>
  <si>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</si>
  <si>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</si>
  <si>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</si>
  <si>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</si>
  <si>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</si>
  <si>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</si>
  <si>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</si>
  <si>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</si>
  <si>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</si>
  <si>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</si>
  <si>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</si>
  <si>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</si>
  <si>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</si>
  <si>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</si>
  <si>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</si>
  <si>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</si>
  <si>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</si>
  <si>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</si>
  <si>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</si>
  <si>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</si>
  <si>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</si>
  <si>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</si>
  <si>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</si>
  <si>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</si>
  <si>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</si>
  <si>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</si>
  <si>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</si>
  <si>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</si>
  <si>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</si>
  <si>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</si>
  <si>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</si>
  <si>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</si>
  <si>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</si>
  <si>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</si>
  <si>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</si>
  <si>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</si>
  <si>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</si>
  <si>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</si>
  <si>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</si>
  <si>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</si>
  <si>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</si>
  <si>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</si>
  <si>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</si>
  <si>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</si>
  <si>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</si>
  <si>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</si>
  <si>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</si>
  <si>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</si>
  <si>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</si>
  <si>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</si>
  <si>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</si>
  <si>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</si>
  <si>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</si>
  <si>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</si>
  <si>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</si>
  <si>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</si>
  <si>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</si>
  <si>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</si>
  <si>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</si>
  <si>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</si>
  <si>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</si>
  <si>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</si>
  <si>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</si>
  <si>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</si>
  <si>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</si>
  <si>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</si>
  <si>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</si>
  <si>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</si>
  <si>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</si>
  <si>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</si>
  <si>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</si>
  <si>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</si>
  <si>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</si>
  <si>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</si>
  <si>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</si>
  <si>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</si>
  <si>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</si>
  <si>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</si>
  <si>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</si>
  <si>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</si>
  <si>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</si>
  <si>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</si>
  <si>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</si>
  <si>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</si>
  <si>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</si>
  <si>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</si>
  <si>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</si>
  <si>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</si>
  <si>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</si>
  <si>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</si>
  <si>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</si>
  <si>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</si>
  <si>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</si>
  <si>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</si>
  <si>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</si>
  <si>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</si>
  <si>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</si>
  <si>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</si>
  <si>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</si>
  <si>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</si>
  <si>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</si>
  <si>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</si>
  <si>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</si>
  <si>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</si>
  <si>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</si>
  <si>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</si>
  <si>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</si>
  <si>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</si>
  <si>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</si>
  <si>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</si>
  <si>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</si>
  <si>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</si>
  <si>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</si>
  <si>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</si>
  <si>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</si>
  <si>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</si>
  <si>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</si>
  <si>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</si>
  <si>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</si>
  <si>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</si>
  <si>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</si>
  <si>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</si>
  <si>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</si>
  <si>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</si>
  <si>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</si>
  <si>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</si>
  <si>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</si>
  <si>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</si>
  <si>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</si>
  <si>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</si>
  <si>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</si>
  <si>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</si>
  <si>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</si>
  <si>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</si>
  <si>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</si>
  <si>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</si>
  <si>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</si>
  <si>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</si>
  <si>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</si>
  <si>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</si>
  <si>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</si>
  <si>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</si>
  <si>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</si>
  <si>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</si>
  <si>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</si>
  <si>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</si>
  <si>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</si>
  <si>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</si>
  <si>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</si>
  <si>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</si>
  <si>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</si>
  <si>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</si>
  <si>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</si>
  <si>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</si>
  <si>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</si>
  <si>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</si>
  <si>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</si>
  <si>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</si>
  <si>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</si>
  <si>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</si>
  <si>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</si>
  <si>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</si>
  <si>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</si>
  <si>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</si>
  <si>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</si>
  <si>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</si>
  <si>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</si>
  <si>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</si>
  <si>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</si>
  <si>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</si>
  <si>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</si>
  <si>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</si>
  <si>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</si>
  <si>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</si>
  <si>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</si>
  <si>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</si>
  <si>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</si>
  <si>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</si>
  <si>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</si>
  <si>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</si>
  <si>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</si>
  <si>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</si>
  <si>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</si>
  <si>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</si>
  <si>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</si>
  <si>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</si>
  <si>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</si>
  <si>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</si>
  <si>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</si>
  <si>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</si>
  <si>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</si>
  <si>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</si>
  <si>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</si>
  <si>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</si>
  <si>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</si>
  <si>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</si>
  <si>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</si>
  <si>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</si>
  <si>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</si>
  <si>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</si>
  <si>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</si>
  <si>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</si>
  <si>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</si>
  <si>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</si>
  <si>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</si>
  <si>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</si>
  <si>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</si>
  <si>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</si>
  <si>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</si>
  <si>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</si>
  <si>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</si>
  <si>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</si>
  <si>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</si>
  <si>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</si>
  <si>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</si>
  <si>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</si>
  <si>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</si>
  <si>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</si>
  <si>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</si>
  <si>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</si>
  <si>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</si>
  <si>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</si>
  <si>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</si>
  <si>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</si>
  <si>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</si>
  <si>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</si>
  <si>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</si>
  <si>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</si>
  <si>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</si>
  <si>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</si>
  <si>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</si>
  <si>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</si>
  <si>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</si>
  <si>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</si>
  <si>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</si>
  <si>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</si>
  <si>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</si>
  <si>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</si>
  <si>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</si>
  <si>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</si>
  <si>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</si>
  <si>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</si>
  <si>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</si>
  <si>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</si>
  <si>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</si>
  <si>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</si>
  <si>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</si>
  <si>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</si>
  <si>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</si>
  <si>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</si>
  <si>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</si>
  <si>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</si>
  <si>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</si>
  <si>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</si>
  <si>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</si>
  <si>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</si>
  <si>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</si>
  <si>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</si>
  <si>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</si>
  <si>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</si>
  <si>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</si>
  <si>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</si>
  <si>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</si>
  <si>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</si>
  <si>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</si>
  <si>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</si>
  <si>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</si>
  <si>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</si>
  <si>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</si>
  <si>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</si>
  <si>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</si>
  <si>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</si>
  <si>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</si>
  <si>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</si>
  <si>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</si>
  <si>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</si>
  <si>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</si>
  <si>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</si>
  <si>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</si>
  <si>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</si>
  <si>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</si>
  <si>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</si>
  <si>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</si>
  <si>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</si>
  <si>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</si>
  <si>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</si>
  <si>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</si>
  <si>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</si>
  <si>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</si>
  <si>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</si>
  <si>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</si>
  <si>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</si>
  <si>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</si>
  <si>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</si>
  <si>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</si>
  <si>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</si>
  <si>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</si>
  <si>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</si>
  <si>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</si>
  <si>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</si>
  <si>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</si>
  <si>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</si>
  <si>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</si>
  <si>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</si>
  <si>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</si>
  <si>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</si>
  <si>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</si>
  <si>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</si>
  <si>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</si>
  <si>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</si>
  <si>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</si>
  <si>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</si>
  <si>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</si>
  <si>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</si>
  <si>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</si>
  <si>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</si>
  <si>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</si>
  <si>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</si>
  <si>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</si>
  <si>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</si>
  <si>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</si>
  <si>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</si>
  <si>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</si>
  <si>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</si>
  <si>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</si>
  <si>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</si>
  <si>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</si>
  <si>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</si>
  <si>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</si>
  <si>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</si>
  <si>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</si>
  <si>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</si>
  <si>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</si>
  <si>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</si>
  <si>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</si>
  <si>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</si>
  <si>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</si>
  <si>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</si>
  <si>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</si>
  <si>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</si>
  <si>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</si>
  <si>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</si>
  <si>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</si>
  <si>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</si>
  <si>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</si>
  <si>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</si>
  <si>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</si>
  <si>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</si>
  <si>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</si>
  <si>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</si>
  <si>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</si>
  <si>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</si>
  <si>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</si>
  <si>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</si>
  <si>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</si>
  <si>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</si>
  <si>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</si>
  <si>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</si>
  <si>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</si>
  <si>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</si>
  <si>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</si>
  <si>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</si>
  <si>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</si>
  <si>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</si>
  <si>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</si>
  <si>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</si>
  <si>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</si>
  <si>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</si>
  <si>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</si>
  <si>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</si>
  <si>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</si>
  <si>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</si>
  <si>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</si>
  <si>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</si>
  <si>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</si>
  <si>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</si>
  <si>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</si>
  <si>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</si>
  <si>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</si>
  <si>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</si>
  <si>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</si>
  <si>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</si>
  <si>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</si>
  <si>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</si>
  <si>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</si>
  <si>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</si>
  <si>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</si>
  <si>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</si>
  <si>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</si>
  <si>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</si>
  <si>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</si>
  <si>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</si>
  <si>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</si>
  <si>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</si>
  <si>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</si>
  <si>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</si>
  <si>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</si>
  <si>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</si>
  <si>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</si>
  <si>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</si>
  <si>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</si>
  <si>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</si>
  <si>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</si>
  <si>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</si>
  <si>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</si>
  <si>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</si>
  <si>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</si>
  <si>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</si>
  <si>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</si>
  <si>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</si>
  <si>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</si>
  <si>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</si>
  <si>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</si>
  <si>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</si>
  <si>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</si>
  <si>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</si>
  <si>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</si>
  <si>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</si>
  <si>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</si>
  <si>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</si>
  <si>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</si>
  <si>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</si>
  <si>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</si>
  <si>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</si>
  <si>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</si>
  <si>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</si>
  <si>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</si>
  <si>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</si>
  <si>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</si>
  <si>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</si>
  <si>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</si>
  <si>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</si>
  <si>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</si>
  <si>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</si>
  <si>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</si>
  <si>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</si>
  <si>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</si>
  <si>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</si>
  <si>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</si>
  <si>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</si>
  <si>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</si>
  <si>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</si>
  <si>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</si>
  <si>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</si>
  <si>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</si>
  <si>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</si>
  <si>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</si>
  <si>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</si>
  <si>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</si>
  <si>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</si>
  <si>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</si>
  <si>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</si>
  <si>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</si>
  <si>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</si>
  <si>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</si>
  <si>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</si>
  <si>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</si>
  <si>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</si>
  <si>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</si>
  <si>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</si>
  <si>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</si>
  <si>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</si>
  <si>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</si>
  <si>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</si>
  <si>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</si>
  <si>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</si>
  <si>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</si>
  <si>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</si>
  <si>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</si>
  <si>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</si>
  <si>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</si>
  <si>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</si>
  <si>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</si>
  <si>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</si>
  <si>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</si>
  <si>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</si>
  <si>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</si>
  <si>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</si>
  <si>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</si>
  <si>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</si>
  <si>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</si>
  <si>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</si>
  <si>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</si>
  <si>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</si>
  <si>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</si>
  <si>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</si>
  <si>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</si>
  <si>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</si>
  <si>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</si>
  <si>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</si>
  <si>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</si>
  <si>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</si>
  <si>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</si>
  <si>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</si>
  <si>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</si>
  <si>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</si>
  <si>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</si>
  <si>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</si>
  <si>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</si>
  <si>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</si>
  <si>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</si>
  <si>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</si>
  <si>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</si>
  <si>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</si>
  <si>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</si>
  <si>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</si>
  <si>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</si>
  <si>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</si>
  <si>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</si>
  <si>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</si>
  <si>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</si>
  <si>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</si>
  <si>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</si>
  <si>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</si>
  <si>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</si>
  <si>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</si>
  <si>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</si>
  <si>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</si>
  <si>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</si>
  <si>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</si>
  <si>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</si>
  <si>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</si>
  <si>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</si>
  <si>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</si>
  <si>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</si>
  <si>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</si>
  <si>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</si>
  <si>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</si>
  <si>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</si>
  <si>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</si>
  <si>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</si>
  <si>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</si>
  <si>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</si>
  <si>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</si>
  <si>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</si>
  <si>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</si>
  <si>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</si>
  <si>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</si>
  <si>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</si>
  <si>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</si>
  <si>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</si>
  <si>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</si>
  <si>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</si>
  <si>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</si>
  <si>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</si>
  <si>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</si>
  <si>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</si>
  <si>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</si>
  <si>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</si>
  <si>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</si>
  <si>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</si>
  <si>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</si>
  <si>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</si>
  <si>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</si>
  <si>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</si>
  <si>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</si>
  <si>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</si>
  <si>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</si>
  <si>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</si>
  <si>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</si>
  <si>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</si>
  <si>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</si>
  <si>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</si>
  <si>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</si>
  <si>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</si>
  <si>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</si>
  <si>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</si>
  <si>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</si>
  <si>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</si>
  <si>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</si>
  <si>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</si>
  <si>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</si>
  <si>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</si>
  <si>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</si>
  <si>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</si>
  <si>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</si>
  <si>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</si>
  <si>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</si>
  <si>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</si>
  <si>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</si>
  <si>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</si>
  <si>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</si>
  <si>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</si>
  <si>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</si>
  <si>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</si>
  <si>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</si>
  <si>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</si>
  <si>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</si>
  <si>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</si>
  <si>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</si>
  <si>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</si>
  <si>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</si>
  <si>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</si>
  <si>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</si>
  <si>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</si>
  <si>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</si>
  <si>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</si>
  <si>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</si>
  <si>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</si>
  <si>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</si>
  <si>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</si>
  <si>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</si>
  <si>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</si>
  <si>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</si>
  <si>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</si>
  <si>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</si>
  <si>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</si>
  <si>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</si>
  <si>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</si>
  <si>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</si>
  <si>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</si>
  <si>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</si>
  <si>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</si>
  <si>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</si>
  <si>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</si>
  <si>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</si>
  <si>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</si>
  <si>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</si>
  <si>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</si>
  <si>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</si>
  <si>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</si>
  <si>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</si>
  <si>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</si>
  <si>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</si>
  <si>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</si>
  <si>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</si>
  <si>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</si>
  <si>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</si>
  <si>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</si>
  <si>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</si>
  <si>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</si>
  <si>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</si>
  <si>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</si>
  <si>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</si>
  <si>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</si>
  <si>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</si>
  <si>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</si>
  <si>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</si>
  <si>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</si>
  <si>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</si>
  <si>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</si>
  <si>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</si>
  <si>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</si>
  <si>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</si>
  <si>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</si>
  <si>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</si>
  <si>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</si>
  <si>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</si>
  <si>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</si>
  <si>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</si>
  <si>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</si>
  <si>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</si>
  <si>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</si>
  <si>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</si>
  <si>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</si>
  <si>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</si>
  <si>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</si>
  <si>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</si>
  <si>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</si>
  <si>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</si>
  <si>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</si>
  <si>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</si>
  <si>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</si>
  <si>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</si>
  <si>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</si>
  <si>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</si>
  <si>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</si>
  <si>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</si>
  <si>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</si>
  <si>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</si>
  <si>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</si>
  <si>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</si>
  <si>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</si>
  <si>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</si>
  <si>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</si>
  <si>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</si>
  <si>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</si>
  <si>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</si>
  <si>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</si>
  <si>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</si>
  <si>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</si>
  <si>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</si>
  <si>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</si>
  <si>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</si>
  <si>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</si>
  <si>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</si>
  <si>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</si>
  <si>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</si>
  <si>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</si>
  <si>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</si>
  <si>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</si>
  <si>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</si>
  <si>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</si>
  <si>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</si>
  <si>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</si>
  <si>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</si>
  <si>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</si>
  <si>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</si>
  <si>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</si>
  <si>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</si>
  <si>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</si>
  <si>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</si>
  <si>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</si>
  <si>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</si>
  <si>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</si>
  <si>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</si>
  <si>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</si>
  <si>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</si>
  <si>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</si>
  <si>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</si>
  <si>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</si>
  <si>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</si>
  <si>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</si>
  <si>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</si>
  <si>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</si>
  <si>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</si>
  <si>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</si>
  <si>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</si>
  <si>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</si>
  <si>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</si>
  <si>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</si>
  <si>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</si>
  <si>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</si>
  <si>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</si>
  <si>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</si>
  <si>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</si>
  <si>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</si>
  <si>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</si>
  <si>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</si>
  <si>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</si>
  <si>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</si>
  <si>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</si>
  <si>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</si>
  <si>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</si>
  <si>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</si>
  <si>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</si>
  <si>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</si>
  <si>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</si>
  <si>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</si>
  <si>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</si>
  <si>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</si>
  <si>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</si>
  <si>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</si>
  <si>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</si>
  <si>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</si>
  <si>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</si>
  <si>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</si>
  <si>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</si>
  <si>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</si>
  <si>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</si>
  <si>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</si>
  <si>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</si>
  <si>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</si>
  <si>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</si>
  <si>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</si>
  <si>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</si>
  <si>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</si>
  <si>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</si>
  <si>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</si>
  <si>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</si>
  <si>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</si>
  <si>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</si>
  <si>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</si>
  <si>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</si>
  <si>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</si>
  <si>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</si>
  <si>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</si>
  <si>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</si>
  <si>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</si>
  <si>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</si>
  <si>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</si>
  <si>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</si>
  <si>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</si>
  <si>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</si>
  <si>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</si>
  <si>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</si>
  <si>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</si>
  <si>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</si>
  <si>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</si>
  <si>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</si>
  <si>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</si>
  <si>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</si>
  <si>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</si>
  <si>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</si>
  <si>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</si>
  <si>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</si>
  <si>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</si>
  <si>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</si>
  <si>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</si>
  <si>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</si>
  <si>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</si>
  <si>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</si>
  <si>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</si>
  <si>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</si>
  <si>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</si>
  <si>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</si>
  <si>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</si>
  <si>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</si>
  <si>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</si>
  <si>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</si>
  <si>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</si>
  <si>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</si>
  <si>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</si>
  <si>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</si>
  <si>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</si>
  <si>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</si>
  <si>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</si>
  <si>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</si>
  <si>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</si>
  <si>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</si>
  <si>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</si>
  <si>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</si>
  <si>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</si>
  <si>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</si>
  <si>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</si>
  <si>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</si>
  <si>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</si>
  <si>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</si>
  <si>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</si>
  <si>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</si>
  <si>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</si>
  <si>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</si>
  <si>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</si>
  <si>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</si>
  <si>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</si>
  <si>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</si>
  <si>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</si>
  <si>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</si>
  <si>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</si>
  <si>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</si>
  <si>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</si>
  <si>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</si>
  <si>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</si>
  <si>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</si>
  <si>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</si>
  <si>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</si>
  <si>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</si>
  <si>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</si>
  <si>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</si>
  <si>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</si>
  <si>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</si>
  <si>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</si>
  <si>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</si>
  <si>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</si>
  <si>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</si>
  <si>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</si>
  <si>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</si>
  <si>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</si>
  <si>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</si>
  <si>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</si>
  <si>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</si>
  <si>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</si>
  <si>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</si>
  <si>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</si>
  <si>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</si>
  <si>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</si>
  <si>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</si>
  <si>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</si>
  <si>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</si>
  <si>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</si>
  <si>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</si>
  <si>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</si>
  <si>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</si>
  <si>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</si>
  <si>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</si>
  <si>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</si>
  <si>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</si>
  <si>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</si>
  <si>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</si>
  <si>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</si>
  <si>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</si>
  <si>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</si>
  <si>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</si>
  <si>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</si>
  <si>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</si>
  <si>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</si>
  <si>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</si>
  <si>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</si>
  <si>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</si>
  <si>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</si>
  <si>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</si>
  <si>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</si>
  <si>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</si>
  <si>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</si>
  <si>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</si>
  <si>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</si>
  <si>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</si>
  <si>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</si>
  <si>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</si>
  <si>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</si>
  <si>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</si>
  <si>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</si>
  <si>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</si>
  <si>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</si>
  <si>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</si>
  <si>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</si>
  <si>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</si>
  <si>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</si>
  <si>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</si>
  <si>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</si>
  <si>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</si>
  <si>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</si>
  <si>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</si>
  <si>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</si>
  <si>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</si>
  <si>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</si>
  <si>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</si>
  <si>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</si>
  <si>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</si>
  <si>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</si>
  <si>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</si>
  <si>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</si>
  <si>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</si>
  <si>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</si>
  <si>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</si>
  <si>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</si>
  <si>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</si>
  <si>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</si>
  <si>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</si>
  <si>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</si>
  <si>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</si>
  <si>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</si>
  <si>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</si>
  <si>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</si>
  <si>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</si>
  <si>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</si>
  <si>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</si>
  <si>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</si>
  <si>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</si>
  <si>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</si>
  <si>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</si>
  <si>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</si>
  <si>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</si>
  <si>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</si>
  <si>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</si>
  <si>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</si>
  <si>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</si>
  <si>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</si>
  <si>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</si>
  <si>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</si>
  <si>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</si>
  <si>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</si>
  <si>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</si>
  <si>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</si>
  <si>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</si>
  <si>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</si>
  <si>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</si>
  <si>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</si>
  <si>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</si>
  <si>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</si>
  <si>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</si>
  <si>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</si>
  <si>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</si>
  <si>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</si>
  <si>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</si>
  <si>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</si>
  <si>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</si>
  <si>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</si>
  <si>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</si>
  <si>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</si>
  <si>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</si>
  <si>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</si>
  <si>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</si>
  <si>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</si>
  <si>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</si>
  <si>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</si>
  <si>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</si>
  <si>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</si>
  <si>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</si>
  <si>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</si>
  <si>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</si>
  <si>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</si>
  <si>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</si>
  <si>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</si>
  <si>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</si>
  <si>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</si>
  <si>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</si>
  <si>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</si>
  <si>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</si>
  <si>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</si>
  <si>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</si>
  <si>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</si>
  <si>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</si>
  <si>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</si>
  <si>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</si>
  <si>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</si>
  <si>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</si>
  <si>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</si>
  <si>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</si>
  <si>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</si>
  <si>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</si>
  <si>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</si>
  <si>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</si>
  <si>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</si>
  <si>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</si>
  <si>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</si>
  <si>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</si>
  <si>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</si>
  <si>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</si>
  <si>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</si>
  <si>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</si>
  <si>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</si>
  <si>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</si>
  <si>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</si>
  <si>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</si>
  <si>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</si>
  <si>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</si>
  <si>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</si>
  <si>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</si>
  <si>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</si>
  <si>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</si>
  <si>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</si>
  <si>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</si>
  <si>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</si>
  <si>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</si>
  <si>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</si>
  <si>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</si>
  <si>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</si>
  <si>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</si>
  <si>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</si>
  <si>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</si>
  <si>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</si>
  <si>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</si>
  <si>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</si>
  <si>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</si>
  <si>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</si>
  <si>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</si>
  <si>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</si>
  <si>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</si>
  <si>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</si>
  <si>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</si>
  <si>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</si>
  <si>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</si>
  <si>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</si>
  <si>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</si>
  <si>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</si>
  <si>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</si>
  <si>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</si>
  <si>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</si>
  <si>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</si>
  <si>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</si>
  <si>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</si>
  <si>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</si>
  <si>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</si>
  <si>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</si>
  <si>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</si>
  <si>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</si>
  <si>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</si>
  <si>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</si>
  <si>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</si>
  <si>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</si>
  <si>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</si>
  <si>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</si>
  <si>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</si>
  <si>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</si>
  <si>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</si>
  <si>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</si>
  <si>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</si>
  <si>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</si>
  <si>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</si>
  <si>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</si>
  <si>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</si>
  <si>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</si>
  <si>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</si>
  <si>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</si>
  <si>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</si>
  <si>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</si>
  <si>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</si>
  <si>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</si>
  <si>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</si>
  <si>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</si>
  <si>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</si>
  <si>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</si>
  <si>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</si>
  <si>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</si>
  <si>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</si>
  <si>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</si>
  <si>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</si>
  <si>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</si>
  <si>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</si>
  <si>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</si>
  <si>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</si>
  <si>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</si>
  <si>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</si>
  <si>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</si>
  <si>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</si>
  <si>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</si>
  <si>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</si>
  <si>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</si>
  <si>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</si>
  <si>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</si>
  <si>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</si>
  <si>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</si>
  <si>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</si>
  <si>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</si>
  <si>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</si>
  <si>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</si>
  <si>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</si>
  <si>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</si>
  <si>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</si>
  <si>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</si>
  <si>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</si>
  <si>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</si>
  <si>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</si>
  <si>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</si>
  <si>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</si>
  <si>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</si>
  <si>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</si>
  <si>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</si>
  <si>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</si>
  <si>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</si>
  <si>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</si>
  <si>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</si>
  <si>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</si>
  <si>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</si>
  <si>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</si>
  <si>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</si>
  <si>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</si>
  <si>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</si>
  <si>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</si>
  <si>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</si>
  <si>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</si>
  <si>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</si>
  <si>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</si>
  <si>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</si>
  <si>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</si>
  <si>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</si>
  <si>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</si>
  <si>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</si>
  <si>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</si>
  <si>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</si>
  <si>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</si>
  <si>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</si>
  <si>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</si>
  <si>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</si>
  <si>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</si>
  <si>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</si>
  <si>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</si>
  <si>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</si>
  <si>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</si>
  <si>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</si>
  <si>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</si>
  <si>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</si>
  <si>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</si>
  <si>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</si>
  <si>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</si>
  <si>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</si>
  <si>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</si>
  <si>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</si>
  <si>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</si>
  <si>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</si>
  <si>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</si>
  <si>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</si>
  <si>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</si>
  <si>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</si>
  <si>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</si>
  <si>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</si>
  <si>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</si>
  <si>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</si>
  <si>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</si>
  <si>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</si>
  <si>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</si>
  <si>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</si>
  <si>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</si>
  <si>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</si>
  <si>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</si>
  <si>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</si>
  <si>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</si>
  <si>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</si>
  <si>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</si>
  <si>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</si>
  <si>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</si>
  <si>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</si>
  <si>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</si>
  <si>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</si>
  <si>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</si>
  <si>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</si>
  <si>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</si>
  <si>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</si>
  <si>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</si>
  <si>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</si>
  <si>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</si>
  <si>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</si>
  <si>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</si>
  <si>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</si>
  <si>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</si>
  <si>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</si>
  <si>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</si>
  <si>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</si>
  <si>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</si>
  <si>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</si>
  <si>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</si>
  <si>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</si>
  <si>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</si>
  <si>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</si>
  <si>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</si>
  <si>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</si>
  <si>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</si>
  <si>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</si>
  <si>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</si>
  <si>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</si>
  <si>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</si>
  <si>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</si>
  <si>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</si>
  <si>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</si>
  <si>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</si>
  <si>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</si>
  <si>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</si>
  <si>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</si>
  <si>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</si>
  <si>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</si>
  <si>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</si>
  <si>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</si>
  <si>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</si>
  <si>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</si>
  <si>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</si>
  <si>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</si>
  <si>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</si>
  <si>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</si>
  <si>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</si>
  <si>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</si>
  <si>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</si>
  <si>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</si>
  <si>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</si>
  <si>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</si>
  <si>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</si>
  <si>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</si>
  <si>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</si>
  <si>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</si>
  <si>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</si>
  <si>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</si>
  <si>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</si>
  <si>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</si>
  <si>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</si>
  <si>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</si>
  <si>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</si>
  <si>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</si>
  <si>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</si>
  <si>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</si>
  <si>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</si>
  <si>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</si>
  <si>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</si>
  <si>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</si>
  <si>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</si>
  <si>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</si>
  <si>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</si>
  <si>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</si>
  <si>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</si>
  <si>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</si>
  <si>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</si>
  <si>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</si>
  <si>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</si>
  <si>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</si>
  <si>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</si>
  <si>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</si>
  <si>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</si>
  <si>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</si>
  <si>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</si>
  <si>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</si>
  <si>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</si>
  <si>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</si>
  <si>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</si>
  <si>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</si>
  <si>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</si>
  <si>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</si>
  <si>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</si>
  <si>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</si>
  <si>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</si>
  <si>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</si>
  <si>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</si>
  <si>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</si>
  <si>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</si>
  <si>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</si>
  <si>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</si>
  <si>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</si>
  <si>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</si>
  <si>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</si>
  <si>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</si>
  <si>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</si>
  <si>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</si>
  <si>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</si>
  <si>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</si>
  <si>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</si>
  <si>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</si>
  <si>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</si>
  <si>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</si>
  <si>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</si>
  <si>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</si>
  <si>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</si>
  <si>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</si>
  <si>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</si>
  <si>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</si>
  <si>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</si>
  <si>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</si>
  <si>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</si>
  <si>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</si>
  <si>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</si>
  <si>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</si>
  <si>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</si>
  <si>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</si>
  <si>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</si>
  <si>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</si>
  <si>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</si>
  <si>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</si>
  <si>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</si>
  <si>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</si>
  <si>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</si>
  <si>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</si>
  <si>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</si>
  <si>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</si>
  <si>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</si>
  <si>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</si>
  <si>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</si>
  <si>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</si>
  <si>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</si>
  <si>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</si>
  <si>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</si>
  <si>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</si>
  <si>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</si>
  <si>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</si>
  <si>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</si>
  <si>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</si>
  <si>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</si>
  <si>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</si>
  <si>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</si>
  <si>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</si>
  <si>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</si>
  <si>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</si>
  <si>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</si>
  <si>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</si>
  <si>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</si>
  <si>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</si>
  <si>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</si>
  <si>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</si>
  <si>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</si>
  <si>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</si>
  <si>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</si>
  <si>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</si>
  <si>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</si>
  <si>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</si>
  <si>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</si>
  <si>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</si>
  <si>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</si>
  <si>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</si>
  <si>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</si>
  <si>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</si>
  <si>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</si>
  <si>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</si>
  <si>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</si>
  <si>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</si>
  <si>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</si>
  <si>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</si>
  <si>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</si>
  <si>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</si>
  <si>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</si>
  <si>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</si>
  <si>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</si>
  <si>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</si>
  <si>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</si>
  <si>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</si>
  <si>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</si>
  <si>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</si>
  <si>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</si>
  <si>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</si>
  <si>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</si>
  <si>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</si>
  <si>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</si>
  <si>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</si>
  <si>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</si>
  <si>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</si>
  <si>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</si>
  <si>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</si>
  <si>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</si>
  <si>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</si>
  <si>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</si>
  <si>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</si>
  <si>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</si>
  <si>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</si>
  <si>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</si>
  <si>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</si>
  <si>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</si>
  <si>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</si>
  <si>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</si>
  <si>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</si>
  <si>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</si>
  <si>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</si>
  <si>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</si>
  <si>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</si>
  <si>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</si>
  <si>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</si>
  <si>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</si>
  <si>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</si>
  <si>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</si>
  <si>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</si>
  <si>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</si>
  <si>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</si>
  <si>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</si>
  <si>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</si>
  <si>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</si>
  <si>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</si>
  <si>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</si>
  <si>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</si>
  <si>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</si>
  <si>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</si>
  <si>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</si>
  <si>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</si>
  <si>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</si>
  <si>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</si>
  <si>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</si>
  <si>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</si>
  <si>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</si>
  <si>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</si>
  <si>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</si>
  <si>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</si>
  <si>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</si>
  <si>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</si>
  <si>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</si>
  <si>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</si>
  <si>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</si>
  <si>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</si>
  <si>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</si>
  <si>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</si>
  <si>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</si>
  <si>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</si>
  <si>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</si>
  <si>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</si>
  <si>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</si>
  <si>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</si>
  <si>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</si>
  <si>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</si>
  <si>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</si>
  <si>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</si>
  <si>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</si>
  <si>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</si>
  <si>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</si>
  <si>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</si>
  <si>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</si>
  <si>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</si>
  <si>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</si>
  <si>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</si>
  <si>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</si>
  <si>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</si>
  <si>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</si>
  <si>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</si>
  <si>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</si>
  <si>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</si>
  <si>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</si>
  <si>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</si>
  <si>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</si>
  <si>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</si>
  <si>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</si>
  <si>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</si>
  <si>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</si>
  <si>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</si>
  <si>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</si>
  <si>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</si>
  <si>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</si>
  <si>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</si>
  <si>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</si>
  <si>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</si>
  <si>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</si>
  <si>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</si>
  <si>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</si>
  <si>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</si>
  <si>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</si>
  <si>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</si>
  <si>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</si>
  <si>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</si>
  <si>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</si>
  <si>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</si>
  <si>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</si>
  <si>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</si>
  <si>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</si>
  <si>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</si>
  <si>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</si>
  <si>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</si>
  <si>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</si>
  <si>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</si>
  <si>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</si>
  <si>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</si>
  <si>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</si>
  <si>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</si>
  <si>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</si>
  <si>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</si>
  <si>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</si>
  <si>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</si>
  <si>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</si>
  <si>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</si>
  <si>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</si>
  <si>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</si>
  <si>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</si>
  <si>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</si>
  <si>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</si>
  <si>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</si>
  <si>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</si>
  <si>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</si>
  <si>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</si>
  <si>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</si>
  <si>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</si>
  <si>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</si>
  <si>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</si>
  <si>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</si>
  <si>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</si>
  <si>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</si>
  <si>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</si>
  <si>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</si>
  <si>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</si>
  <si>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</si>
  <si>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</si>
  <si>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</si>
  <si>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</si>
  <si>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</si>
  <si>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</si>
  <si>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</si>
  <si>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</si>
  <si>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</si>
  <si>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</si>
  <si>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</si>
  <si>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</si>
  <si>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</si>
  <si>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</si>
  <si>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</si>
  <si>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</si>
  <si>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</si>
  <si>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</si>
  <si>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</si>
  <si>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</si>
  <si>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</si>
  <si>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</si>
  <si>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</si>
  <si>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</si>
  <si>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</si>
  <si>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</si>
  <si>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</si>
  <si>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</si>
  <si>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</si>
  <si>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</si>
  <si>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</si>
  <si>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</si>
  <si>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</si>
  <si>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</si>
  <si>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</si>
  <si>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</si>
  <si>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</si>
  <si>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</si>
  <si>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</si>
  <si>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</si>
  <si>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</si>
  <si>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</si>
  <si>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</si>
  <si>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</si>
  <si>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</si>
  <si>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</si>
  <si>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</si>
  <si>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</si>
  <si>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</si>
  <si>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</si>
  <si>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</si>
  <si>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</si>
  <si>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</si>
  <si>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</si>
  <si>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</si>
  <si>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</si>
  <si>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</si>
  <si>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</si>
  <si>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</si>
  <si>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</si>
  <si>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</si>
  <si>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</si>
  <si>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</si>
  <si>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</si>
  <si>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</si>
  <si>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</si>
  <si>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</si>
  <si>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</si>
  <si>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</si>
  <si>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</si>
  <si>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</si>
  <si>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</si>
  <si>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</si>
  <si>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</si>
  <si>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</si>
  <si>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</si>
  <si>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</si>
  <si>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</si>
  <si>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</si>
  <si>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</si>
  <si>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</si>
  <si>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</si>
  <si>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</si>
  <si>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</si>
  <si>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</si>
  <si>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</si>
  <si>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</si>
  <si>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</si>
  <si>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</si>
  <si>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</si>
  <si>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</si>
  <si>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</si>
  <si>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</si>
  <si>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</si>
  <si>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</si>
  <si>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</si>
  <si>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</si>
  <si>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</si>
  <si>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</si>
  <si>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</si>
  <si>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</si>
  <si>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</si>
  <si>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</si>
  <si>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</si>
  <si>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</si>
  <si>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</si>
  <si>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</si>
  <si>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</si>
  <si>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</si>
  <si>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</si>
  <si>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</si>
  <si>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</si>
  <si>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</si>
  <si>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</si>
  <si>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</si>
  <si>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</si>
  <si>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</si>
  <si>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</si>
  <si>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</si>
  <si>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</si>
  <si>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</si>
  <si>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</si>
  <si>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</si>
  <si>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</si>
  <si>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</si>
  <si>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</si>
  <si>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</si>
  <si>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</si>
  <si>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</si>
  <si>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</si>
  <si>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</si>
  <si>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</si>
  <si>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</si>
  <si>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</si>
  <si>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</si>
  <si>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</si>
  <si>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</si>
  <si>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</si>
  <si>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</si>
  <si>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</si>
  <si>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</si>
  <si>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</si>
  <si>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</si>
  <si>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</si>
  <si>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</si>
  <si>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</si>
  <si>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</si>
  <si>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</si>
  <si>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</si>
  <si>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</si>
  <si>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</si>
  <si>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</si>
  <si>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</si>
  <si>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</si>
  <si>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</si>
  <si>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</si>
  <si>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</si>
  <si>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</si>
  <si>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</si>
  <si>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</si>
  <si>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</si>
  <si>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</si>
  <si>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</si>
  <si>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</si>
  <si>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</si>
  <si>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</si>
  <si>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</si>
  <si>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</si>
  <si>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</si>
  <si>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</si>
  <si>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</si>
  <si>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</si>
  <si>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</si>
  <si>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</si>
  <si>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</si>
  <si>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</si>
  <si>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</si>
  <si>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</si>
  <si>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</si>
  <si>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</si>
  <si>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</si>
  <si>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</si>
  <si>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</si>
  <si>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</si>
  <si>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</si>
  <si>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</si>
  <si>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</si>
  <si>
    <t>简装</t>
    <phoneticPr fontId="26" type="noConversion"/>
  </si>
  <si>
    <t>毛坯</t>
    <phoneticPr fontId="26" type="noConversion"/>
  </si>
  <si>
    <t>吴薇</t>
  </si>
  <si>
    <t>自然人</t>
  </si>
  <si>
    <t>典型户型修正</t>
  </si>
  <si>
    <t>仅计算典型户型</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</si>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</sst>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（注册号:0）、吴薇（注册号:1419970001)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估价对象为北京市房地产，为XX所有。根据《》[]，估价对象建筑面积为770.88平方米。根据《》[]，估价对象（分摊）出让国有建设用地使用权面积为平方米。估价对象用途为。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2022年10月24日</v>
      </c>
    </row>
    <row r="10" spans="1:2">
      <c r="A10" s="1138" t="s">
        <v>865</v>
      </c>
      <c r="B10" s="1125" t="str">
        <f>'预评函-1'!A13</f>
        <v>本次估价的“房地产价值”是指在正常市场情况下，在价值时点2022年10月24日，估价对象规划用途为，假定未设立法定优先受偿款下的房地产市场价值。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本次评估采用的主估价方法为基准地价系数修正法和基准地价系数修正法。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770.88</v>
      </c>
    </row>
    <row r="19" spans="1:2">
      <c r="A19" s="1138" t="s">
        <v>874</v>
      </c>
      <c r="B19" s="1125">
        <f ca="1">'预评函-2（1）'!D7</f>
        <v>2940</v>
      </c>
    </row>
    <row r="20" spans="1:2">
      <c r="A20" s="1138" t="s">
        <v>912</v>
      </c>
      <c r="B20" s="1125" t="str">
        <f>'预评函-2（1）'!C7</f>
        <v>总价（万元）</v>
      </c>
    </row>
    <row r="21" spans="1:2">
      <c r="A21" s="1138" t="s">
        <v>875</v>
      </c>
      <c r="B21" s="1125">
        <f ca="1">'预评函-2（1）'!D9</f>
        <v>38138</v>
      </c>
    </row>
    <row r="22" spans="1:2">
      <c r="A22" s="1138" t="s">
        <v>876</v>
      </c>
      <c r="B22" s="1125" t="str">
        <f ca="1">'预评函-2（1）'!D8</f>
        <v>贰仟玖佰肆拾万元整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2940</v>
      </c>
    </row>
    <row r="30" spans="1:2">
      <c r="A30" s="1138" t="s">
        <v>882</v>
      </c>
      <c r="B30" s="1125" t="str">
        <f ca="1">'预评函-2（1）'!D16</f>
        <v>贰仟玖佰肆拾万元整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5.75" thickBot="1">
      <c r="A42" s="1139" t="s">
        <v>894</v>
      </c>
      <c r="B42" s="1127" t="str">
        <f>'预评函-2（2）'!F5</f>
        <v>零元整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t="str">
        <f>'预评函-3'!A5</f>
        <v>吴薇</v>
      </c>
    </row>
    <row r="55" spans="1:2" s="1135" customFormat="1" ht="15.75" thickBot="1">
      <c r="A55" s="1139" t="s">
        <v>906</v>
      </c>
      <c r="B55" s="1127">
        <f ca="1">'预评函-3'!B5</f>
        <v>1419970001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38138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4"/>
  </cols>
  <sheetData>
    <row r="1" spans="1:17" ht="13.5" thickBot="1">
      <c r="A1" s="2504" t="s">
        <v>1288</v>
      </c>
      <c r="B1" s="2505" t="str">
        <f>IF(B6="北京市","北京市",C6)&amp;IF(E12="房屋所有权证",B29,E29)&amp;D5&amp;"预评估"</f>
        <v>北京市房地产抵押价值预评估</v>
      </c>
      <c r="C1" s="780"/>
      <c r="D1" s="780"/>
      <c r="E1" s="780"/>
      <c r="F1" s="1353" t="s">
        <v>1289</v>
      </c>
      <c r="G1" s="1119"/>
      <c r="I1" s="2833" t="str">
        <f>IF(B6="北京市","北京市",C6)&amp;IF(E12="房屋所有权证",B29,E29)&amp;"房地产"</f>
        <v>北京市房地产</v>
      </c>
      <c r="J1" s="757"/>
      <c r="K1" s="2835"/>
      <c r="L1" s="2835"/>
      <c r="M1" s="2835"/>
      <c r="N1" s="757"/>
      <c r="O1" s="757"/>
      <c r="P1" s="757"/>
      <c r="Q1" s="757"/>
    </row>
    <row r="2" spans="1:17" ht="13.5" thickTop="1">
      <c r="A2" s="1354" t="s">
        <v>1290</v>
      </c>
      <c r="B2" s="2506"/>
      <c r="C2" s="2805" t="s">
        <v>1291</v>
      </c>
      <c r="D2" s="2506">
        <v>44858</v>
      </c>
      <c r="E2" s="781"/>
      <c r="F2" s="781"/>
      <c r="G2" s="1120"/>
      <c r="H2" s="2817"/>
    </row>
    <row r="3" spans="1:17" ht="13.5" thickBot="1">
      <c r="A3" s="2507" t="s">
        <v>1292</v>
      </c>
      <c r="B3" s="2508"/>
      <c r="C3" s="2509">
        <f>SUMIF(注册房地产估价师,B3,估价师及机构信息!B3:B16)</f>
        <v>0</v>
      </c>
      <c r="D3" s="2508" t="s">
        <v>3091</v>
      </c>
      <c r="E3" s="2510">
        <f ca="1">SUMIF(注册房地产估价师,D3,估价师及机构信息!B3:B16)</f>
        <v>1419970001</v>
      </c>
      <c r="F3" s="782"/>
      <c r="G3" s="1121"/>
      <c r="H3" s="2817"/>
    </row>
    <row r="4" spans="1:17" ht="13.5" customHeight="1" thickTop="1">
      <c r="A4" s="1354" t="s">
        <v>1293</v>
      </c>
      <c r="B4" s="1355" t="s">
        <v>2479</v>
      </c>
      <c r="C4" s="2806" t="s">
        <v>1294</v>
      </c>
      <c r="D4" s="1356" t="s">
        <v>3031</v>
      </c>
      <c r="E4" s="781"/>
      <c r="F4" s="781"/>
      <c r="G4" s="1120"/>
    </row>
    <row r="5" spans="1:17">
      <c r="A5" s="1357" t="s">
        <v>1295</v>
      </c>
      <c r="B5" s="1358" t="s">
        <v>2480</v>
      </c>
      <c r="C5" s="2807" t="s">
        <v>1296</v>
      </c>
      <c r="D5" s="1360" t="s">
        <v>3032</v>
      </c>
      <c r="E5" s="2808" t="s">
        <v>1297</v>
      </c>
      <c r="F5" s="1360" t="s">
        <v>3032</v>
      </c>
      <c r="G5" s="1361"/>
      <c r="I5" s="2833" t="str">
        <f>IF(C16="否","截至估价时点，估价对象抵押权未见登记。","截至价值时点，估价对象已设定抵押。")</f>
        <v>截至价值时点，估价对象已设定抵押。</v>
      </c>
      <c r="J5" s="757"/>
      <c r="K5" s="2835"/>
      <c r="L5" s="2835"/>
      <c r="M5" s="2835"/>
      <c r="N5" s="757"/>
      <c r="O5" s="757"/>
      <c r="P5" s="757"/>
      <c r="Q5" s="757"/>
    </row>
    <row r="6" spans="1:17">
      <c r="A6" s="2809" t="s">
        <v>1298</v>
      </c>
      <c r="B6" s="2511" t="s">
        <v>3033</v>
      </c>
      <c r="C6" s="2512" t="s">
        <v>2481</v>
      </c>
      <c r="D6" s="2513" t="s">
        <v>1299</v>
      </c>
      <c r="E6" s="768"/>
      <c r="F6" s="768"/>
      <c r="G6" s="787"/>
      <c r="I6" s="757" t="str">
        <f>IF(COUNTIF(B5,"*上海银行*"),"上海银行","")</f>
        <v/>
      </c>
      <c r="J6" s="757"/>
      <c r="K6" s="2835"/>
      <c r="L6" s="2835"/>
      <c r="M6" s="2835"/>
      <c r="N6" s="757"/>
      <c r="O6" s="757"/>
      <c r="P6" s="757"/>
      <c r="Q6" s="757"/>
    </row>
    <row r="7" spans="1:17" ht="13.5" thickBot="1">
      <c r="A7" s="2810" t="s">
        <v>1300</v>
      </c>
      <c r="B7" s="2514" t="s">
        <v>3092</v>
      </c>
      <c r="C7" s="1452" t="str">
        <f>IF(B7="自然人","姓名","名称")</f>
        <v>姓名</v>
      </c>
      <c r="D7" s="1365" t="s">
        <v>2480</v>
      </c>
      <c r="E7" s="782"/>
      <c r="F7" s="782"/>
      <c r="G7" s="1121"/>
    </row>
    <row r="8" spans="1:17" ht="13.5" thickTop="1">
      <c r="A8" s="3381" t="s">
        <v>1301</v>
      </c>
      <c r="B8" s="1366" t="s">
        <v>1302</v>
      </c>
      <c r="C8" s="3394"/>
      <c r="D8" s="3395"/>
      <c r="E8" s="2515" t="s">
        <v>1303</v>
      </c>
      <c r="F8" s="2516" t="s">
        <v>1304</v>
      </c>
      <c r="G8" s="2517" t="str">
        <f>C6</f>
        <v>XX</v>
      </c>
    </row>
    <row r="9" spans="1:17" ht="25.5">
      <c r="A9" s="3381"/>
      <c r="B9" s="259" t="s">
        <v>1305</v>
      </c>
      <c r="C9" s="3321" t="s">
        <v>3035</v>
      </c>
      <c r="D9" s="1367" t="s">
        <v>3034</v>
      </c>
      <c r="E9" s="2811" t="s">
        <v>1306</v>
      </c>
      <c r="F9" s="2518"/>
      <c r="G9" s="2519"/>
    </row>
    <row r="10" spans="1:17" ht="13.5" thickBot="1">
      <c r="A10" s="3381"/>
      <c r="B10" s="259" t="s">
        <v>1307</v>
      </c>
      <c r="C10" s="3396"/>
      <c r="D10" s="3397"/>
      <c r="E10" s="2812" t="s">
        <v>1308</v>
      </c>
      <c r="F10" s="2520"/>
      <c r="G10" s="2521"/>
    </row>
    <row r="11" spans="1:17" ht="13.5" thickBot="1">
      <c r="A11" s="3381"/>
      <c r="B11" s="1369" t="s">
        <v>1309</v>
      </c>
      <c r="C11" s="3398"/>
      <c r="D11" s="3399"/>
      <c r="E11" s="768"/>
      <c r="F11" s="768"/>
      <c r="G11" s="787"/>
    </row>
    <row r="12" spans="1:17" ht="13.5" thickBot="1">
      <c r="A12" s="3385" t="s">
        <v>2587</v>
      </c>
      <c r="B12" s="2813" t="s">
        <v>1310</v>
      </c>
      <c r="C12" s="765">
        <f>262.98+507.9</f>
        <v>770.88</v>
      </c>
      <c r="D12" s="1370" t="s">
        <v>1311</v>
      </c>
      <c r="E12" s="1371"/>
      <c r="F12" s="1372"/>
      <c r="G12" s="787"/>
      <c r="H12" s="2818">
        <f>C12*23000/10000</f>
        <v>1773.0239999999999</v>
      </c>
    </row>
    <row r="13" spans="1:17" ht="21" customHeight="1" thickBot="1">
      <c r="A13" s="3386"/>
      <c r="B13" s="2814" t="s">
        <v>1312</v>
      </c>
      <c r="C13" s="766"/>
      <c r="D13" s="1373" t="s">
        <v>1313</v>
      </c>
      <c r="E13" s="1374"/>
      <c r="F13" s="768"/>
      <c r="G13" s="787"/>
      <c r="I13" s="3404"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7"/>
      <c r="O13" s="757"/>
      <c r="P13" s="757"/>
      <c r="Q13" s="757"/>
    </row>
    <row r="14" spans="1:17" ht="13.5" thickBot="1">
      <c r="A14" s="2522"/>
      <c r="B14" s="2828" t="s">
        <v>2588</v>
      </c>
      <c r="C14" s="2523"/>
      <c r="D14" s="768"/>
      <c r="E14" s="768"/>
      <c r="F14" s="768"/>
      <c r="G14" s="787"/>
      <c r="I14" s="3404"/>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7"/>
      <c r="O14" s="757"/>
      <c r="P14" s="757"/>
      <c r="Q14" s="757"/>
    </row>
    <row r="15" spans="1:17" ht="13.5" thickBot="1">
      <c r="A15" s="2524"/>
      <c r="B15" s="2815" t="s">
        <v>1315</v>
      </c>
      <c r="C15" s="783"/>
      <c r="D15" s="782"/>
      <c r="E15" s="782"/>
      <c r="F15" s="782"/>
      <c r="G15" s="1121"/>
      <c r="I15" s="3404"/>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7"/>
      <c r="O15" s="757"/>
      <c r="P15" s="757"/>
      <c r="Q15" s="757"/>
    </row>
    <row r="16" spans="1:17" ht="25.5" thickTop="1" thickBot="1">
      <c r="A16" s="2522" t="s">
        <v>1316</v>
      </c>
      <c r="B16" s="1375" t="s">
        <v>1317</v>
      </c>
      <c r="C16" s="2525"/>
      <c r="D16" s="1368" t="s">
        <v>1318</v>
      </c>
      <c r="E16" s="2526"/>
      <c r="F16" s="1376" t="str">
        <f>IF(AND(C16="是",E16="否"),"是否提供他项权证或相关说明","")</f>
        <v/>
      </c>
      <c r="G16" s="2526"/>
      <c r="J16" s="2817"/>
    </row>
    <row r="17" spans="1:66" ht="13.5" customHeight="1">
      <c r="A17" s="1382" t="s">
        <v>1319</v>
      </c>
      <c r="B17" s="3400" t="s">
        <v>1320</v>
      </c>
      <c r="C17" s="3401"/>
      <c r="D17" s="3402" t="s">
        <v>1321</v>
      </c>
      <c r="E17" s="3403"/>
      <c r="F17" s="1377" t="s">
        <v>1322</v>
      </c>
      <c r="G17" s="1378"/>
      <c r="J17" s="2817"/>
    </row>
    <row r="18" spans="1:66" ht="24">
      <c r="A18" s="1382"/>
      <c r="B18" s="2527"/>
      <c r="C18" s="1361"/>
      <c r="D18" s="1379" t="s">
        <v>1323</v>
      </c>
      <c r="E18" s="1380"/>
      <c r="F18" s="1381"/>
      <c r="G18" s="1244"/>
      <c r="H18" s="2817"/>
      <c r="J18" s="2817"/>
    </row>
    <row r="19" spans="1:66" ht="21.75" customHeight="1" thickBot="1">
      <c r="A19" s="1382"/>
      <c r="B19" s="2528"/>
      <c r="C19" s="1374"/>
      <c r="D19" s="1382"/>
      <c r="E19" s="768"/>
      <c r="F19" s="768"/>
      <c r="G19" s="1244"/>
    </row>
    <row r="20" spans="1:66">
      <c r="A20" s="1378" t="s">
        <v>1324</v>
      </c>
      <c r="B20" s="2529" t="s">
        <v>1325</v>
      </c>
      <c r="C20" s="2530"/>
      <c r="D20" s="2531" t="s">
        <v>1325</v>
      </c>
      <c r="E20" s="2530"/>
      <c r="F20" s="768"/>
      <c r="G20" s="1244"/>
    </row>
    <row r="21" spans="1:66">
      <c r="A21" s="1244"/>
      <c r="B21" s="2532" t="s">
        <v>1326</v>
      </c>
      <c r="C21" s="2800"/>
      <c r="D21" s="1382" t="s">
        <v>1326</v>
      </c>
      <c r="E21" s="2533"/>
      <c r="F21" s="768"/>
      <c r="G21" s="1244"/>
    </row>
    <row r="22" spans="1:66">
      <c r="A22" s="1244"/>
      <c r="B22" s="768" t="s">
        <v>1327</v>
      </c>
      <c r="C22" s="2534"/>
      <c r="D22" s="768" t="s">
        <v>1327</v>
      </c>
      <c r="E22" s="2533"/>
      <c r="F22" s="768"/>
      <c r="G22" s="1244"/>
    </row>
    <row r="23" spans="1:66" s="2799" customFormat="1" ht="16.5" thickBot="1">
      <c r="A23" s="1245"/>
      <c r="B23" s="786" t="s">
        <v>1328</v>
      </c>
      <c r="C23" s="766"/>
      <c r="D23" s="786" t="s">
        <v>1329</v>
      </c>
      <c r="E23" s="2535"/>
      <c r="F23" s="786"/>
      <c r="G23" s="1245"/>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13" t="s">
        <v>2586</v>
      </c>
      <c r="B24" s="3413"/>
      <c r="C24" s="3413"/>
      <c r="D24" s="3413"/>
      <c r="E24" s="3413"/>
      <c r="F24" s="3413"/>
      <c r="G24" s="3413"/>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5" t="s">
        <v>1330</v>
      </c>
      <c r="B25" s="768"/>
      <c r="C25" s="768"/>
      <c r="D25" s="768"/>
      <c r="E25" s="768"/>
      <c r="F25" s="768"/>
      <c r="G25" s="1245"/>
      <c r="K25" s="2818"/>
    </row>
    <row r="26" spans="1:66" s="793" customFormat="1" ht="13.5" thickBot="1">
      <c r="A26" s="2536"/>
      <c r="B26" s="764" t="s">
        <v>1331</v>
      </c>
      <c r="C26" s="2536"/>
      <c r="D26" s="764"/>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3" customFormat="1" ht="13.5" thickBot="1">
      <c r="A27" s="2536"/>
      <c r="B27" s="2539"/>
      <c r="C27" s="2536"/>
      <c r="D27" s="764"/>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0" t="s">
        <v>1334</v>
      </c>
      <c r="B28" s="758"/>
      <c r="C28" s="3388" t="s">
        <v>1334</v>
      </c>
      <c r="D28" s="3389"/>
      <c r="E28" s="758"/>
      <c r="F28" s="760" t="s">
        <v>1334</v>
      </c>
      <c r="G28" s="758"/>
      <c r="K28" s="2818"/>
    </row>
    <row r="29" spans="1:66">
      <c r="A29" s="761" t="s">
        <v>1335</v>
      </c>
      <c r="B29" s="755"/>
      <c r="C29" s="3390" t="s">
        <v>1336</v>
      </c>
      <c r="D29" s="3391"/>
      <c r="E29" s="755"/>
      <c r="F29" s="761" t="s">
        <v>1336</v>
      </c>
      <c r="G29" s="755"/>
      <c r="K29" s="2818"/>
    </row>
    <row r="30" spans="1:66">
      <c r="A30" s="761" t="s">
        <v>1337</v>
      </c>
      <c r="B30" s="755"/>
      <c r="C30" s="3390" t="s">
        <v>1337</v>
      </c>
      <c r="D30" s="3391"/>
      <c r="E30" s="755"/>
      <c r="F30" s="761" t="s">
        <v>1338</v>
      </c>
      <c r="G30" s="755"/>
      <c r="K30" s="2818"/>
    </row>
    <row r="31" spans="1:66">
      <c r="A31" s="761" t="s">
        <v>1339</v>
      </c>
      <c r="B31" s="755"/>
      <c r="C31" s="3410" t="s">
        <v>1340</v>
      </c>
      <c r="D31" s="768"/>
      <c r="E31" s="2541" t="str">
        <f>E32&amp;" "&amp;E33&amp;" "&amp;E34&amp;" "&amp;E35</f>
        <v xml:space="preserve">   </v>
      </c>
      <c r="F31" s="761" t="s">
        <v>1341</v>
      </c>
      <c r="G31" s="755"/>
    </row>
    <row r="32" spans="1:66">
      <c r="A32" s="761" t="s">
        <v>1342</v>
      </c>
      <c r="B32" s="755"/>
      <c r="C32" s="3411"/>
      <c r="D32" s="259" t="s">
        <v>1343</v>
      </c>
      <c r="E32" s="755"/>
      <c r="F32" s="761" t="s">
        <v>1344</v>
      </c>
      <c r="G32" s="755"/>
    </row>
    <row r="33" spans="1:7" ht="24.75" thickBot="1">
      <c r="A33" s="762" t="s">
        <v>1345</v>
      </c>
      <c r="B33" s="759"/>
      <c r="C33" s="3411"/>
      <c r="D33" s="259" t="s">
        <v>1346</v>
      </c>
      <c r="E33" s="755"/>
      <c r="F33" s="761" t="s">
        <v>1347</v>
      </c>
      <c r="G33" s="755"/>
    </row>
    <row r="34" spans="1:7">
      <c r="A34" s="760" t="s">
        <v>1348</v>
      </c>
      <c r="B34" s="758"/>
      <c r="C34" s="3411"/>
      <c r="D34" s="259" t="s">
        <v>1349</v>
      </c>
      <c r="E34" s="755"/>
      <c r="F34" s="761" t="s">
        <v>1350</v>
      </c>
      <c r="G34" s="755"/>
    </row>
    <row r="35" spans="1:7" ht="13.5" thickBot="1">
      <c r="A35" s="761" t="s">
        <v>1351</v>
      </c>
      <c r="B35" s="755"/>
      <c r="C35" s="3412"/>
      <c r="D35" s="259" t="s">
        <v>1352</v>
      </c>
      <c r="E35" s="755"/>
      <c r="F35" s="762" t="s">
        <v>1353</v>
      </c>
      <c r="G35" s="2542"/>
    </row>
    <row r="36" spans="1:7">
      <c r="A36" s="761" t="s">
        <v>1310</v>
      </c>
      <c r="B36" s="755"/>
      <c r="C36" s="3390" t="s">
        <v>1354</v>
      </c>
      <c r="D36" s="3391"/>
      <c r="E36" s="755"/>
      <c r="F36" s="2543" t="s">
        <v>1355</v>
      </c>
      <c r="G36" s="758"/>
    </row>
    <row r="37" spans="1:7" ht="13.5" thickBot="1">
      <c r="A37" s="761" t="s">
        <v>1356</v>
      </c>
      <c r="B37" s="755"/>
      <c r="C37" s="3392" t="s">
        <v>1357</v>
      </c>
      <c r="D37" s="3393"/>
      <c r="E37" s="759"/>
      <c r="F37" s="1390" t="s">
        <v>1358</v>
      </c>
      <c r="G37" s="755"/>
    </row>
    <row r="38" spans="1:7" ht="13.5" thickBot="1">
      <c r="A38" s="761" t="s">
        <v>1359</v>
      </c>
      <c r="B38" s="755"/>
      <c r="C38" s="3382" t="s">
        <v>1360</v>
      </c>
      <c r="D38" s="1370" t="s">
        <v>1344</v>
      </c>
      <c r="E38" s="758"/>
      <c r="F38" s="762" t="s">
        <v>1361</v>
      </c>
      <c r="G38" s="759"/>
    </row>
    <row r="39" spans="1:7">
      <c r="A39" s="761" t="s">
        <v>1362</v>
      </c>
      <c r="B39" s="755"/>
      <c r="C39" s="3383"/>
      <c r="D39" s="259" t="s">
        <v>1351</v>
      </c>
      <c r="E39" s="755"/>
      <c r="F39" s="760" t="s">
        <v>1363</v>
      </c>
      <c r="G39" s="758"/>
    </row>
    <row r="40" spans="1:7">
      <c r="A40" s="761" t="s">
        <v>1364</v>
      </c>
      <c r="B40" s="755"/>
      <c r="C40" s="3383" t="s">
        <v>1365</v>
      </c>
      <c r="D40" s="259" t="s">
        <v>1310</v>
      </c>
      <c r="E40" s="755"/>
      <c r="F40" s="761" t="s">
        <v>1366</v>
      </c>
      <c r="G40" s="755"/>
    </row>
    <row r="41" spans="1:7" ht="24.75" customHeight="1" thickBot="1">
      <c r="A41" s="762" t="s">
        <v>1367</v>
      </c>
      <c r="B41" s="759"/>
      <c r="C41" s="3384"/>
      <c r="D41" s="1373" t="s">
        <v>1312</v>
      </c>
      <c r="E41" s="759"/>
      <c r="F41" s="762" t="s">
        <v>1368</v>
      </c>
      <c r="G41" s="759"/>
    </row>
    <row r="42" spans="1:7">
      <c r="A42" s="763" t="s">
        <v>1369</v>
      </c>
      <c r="B42" s="2544"/>
      <c r="C42" s="3405" t="s">
        <v>1369</v>
      </c>
      <c r="D42" s="3406"/>
      <c r="E42" s="2544"/>
      <c r="F42" s="760" t="s">
        <v>1370</v>
      </c>
      <c r="G42" s="2544"/>
    </row>
    <row r="43" spans="1:7">
      <c r="A43" s="778" t="s">
        <v>1371</v>
      </c>
      <c r="B43" s="2545"/>
      <c r="C43" s="1382"/>
      <c r="D43" s="2532"/>
      <c r="E43" s="2545"/>
      <c r="F43" s="778"/>
      <c r="G43" s="2545"/>
    </row>
    <row r="44" spans="1:7">
      <c r="A44" s="778" t="s">
        <v>1325</v>
      </c>
      <c r="B44" s="779"/>
      <c r="C44" s="1382"/>
      <c r="D44" s="1448" t="s">
        <v>1325</v>
      </c>
      <c r="E44" s="779"/>
      <c r="F44" s="778" t="s">
        <v>1325</v>
      </c>
      <c r="G44" s="779"/>
    </row>
    <row r="45" spans="1:7">
      <c r="A45" s="778" t="s">
        <v>1326</v>
      </c>
      <c r="B45" s="779"/>
      <c r="C45" s="1382"/>
      <c r="D45" s="2532" t="s">
        <v>1326</v>
      </c>
      <c r="E45" s="779"/>
      <c r="F45" s="778" t="s">
        <v>1326</v>
      </c>
      <c r="G45" s="779"/>
    </row>
    <row r="46" spans="1:7">
      <c r="A46" s="778" t="s">
        <v>1327</v>
      </c>
      <c r="B46" s="779"/>
      <c r="C46" s="1382"/>
      <c r="D46" s="2532" t="s">
        <v>1327</v>
      </c>
      <c r="E46" s="779"/>
      <c r="F46" s="778" t="s">
        <v>1327</v>
      </c>
      <c r="G46" s="779"/>
    </row>
    <row r="47" spans="1:7">
      <c r="A47" s="778" t="s">
        <v>1328</v>
      </c>
      <c r="B47" s="779"/>
      <c r="C47" s="1382"/>
      <c r="D47" s="2532" t="s">
        <v>1328</v>
      </c>
      <c r="E47" s="779"/>
      <c r="F47" s="778" t="s">
        <v>1328</v>
      </c>
      <c r="G47" s="779"/>
    </row>
    <row r="48" spans="1:7">
      <c r="A48" s="778"/>
      <c r="B48" s="779"/>
      <c r="C48" s="1382"/>
      <c r="D48" s="2532"/>
      <c r="E48" s="779"/>
      <c r="F48" s="778"/>
      <c r="G48" s="779"/>
    </row>
    <row r="49" spans="1:66" ht="13.5" thickBot="1">
      <c r="A49" s="762" t="s">
        <v>1372</v>
      </c>
      <c r="B49" s="759"/>
      <c r="C49" s="3407" t="s">
        <v>1372</v>
      </c>
      <c r="D49" s="3408"/>
      <c r="E49" s="777"/>
      <c r="F49" s="762" t="s">
        <v>1373</v>
      </c>
      <c r="G49" s="759"/>
    </row>
    <row r="50" spans="1:66">
      <c r="A50" s="761" t="s">
        <v>1374</v>
      </c>
      <c r="B50" s="776"/>
      <c r="C50" s="3382" t="s">
        <v>1375</v>
      </c>
      <c r="D50" s="3409"/>
      <c r="E50" s="2546"/>
      <c r="F50" s="794"/>
      <c r="G50" s="795"/>
    </row>
    <row r="51" spans="1:66" ht="13.5" thickBot="1">
      <c r="A51" s="761" t="s">
        <v>1376</v>
      </c>
      <c r="B51" s="776"/>
      <c r="C51" s="3384" t="s">
        <v>1377</v>
      </c>
      <c r="D51" s="3387"/>
      <c r="E51" s="759"/>
      <c r="F51" s="768"/>
      <c r="G51" s="787"/>
    </row>
    <row r="52" spans="1:66">
      <c r="A52" s="761" t="s">
        <v>1355</v>
      </c>
      <c r="B52" s="755"/>
      <c r="C52" s="768"/>
      <c r="D52" s="768"/>
      <c r="E52" s="768"/>
      <c r="F52" s="768"/>
      <c r="G52" s="787"/>
    </row>
    <row r="53" spans="1:66" ht="24.75" thickBot="1">
      <c r="A53" s="762" t="s">
        <v>1378</v>
      </c>
      <c r="B53" s="2542"/>
      <c r="C53" s="786"/>
      <c r="D53" s="786"/>
      <c r="E53" s="786"/>
      <c r="F53" s="786"/>
      <c r="G53" s="788"/>
    </row>
    <row r="57" spans="1:66" s="767"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7"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7"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7"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7"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7"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7"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4"/>
      <c r="D1" s="2547"/>
      <c r="E1" s="2547"/>
    </row>
    <row r="2" spans="1:41" s="2551" customFormat="1" ht="15.75" thickBot="1">
      <c r="A2" s="2837" t="s">
        <v>1380</v>
      </c>
      <c r="B2" s="2838">
        <f>项目基本情况!D2</f>
        <v>44858</v>
      </c>
      <c r="C2" s="1612"/>
      <c r="D2" s="3416" t="s">
        <v>1381</v>
      </c>
      <c r="E2" s="2549"/>
      <c r="F2" s="2550"/>
      <c r="G2" s="2883"/>
      <c r="H2" s="2883"/>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1" customFormat="1" ht="15" customHeight="1" thickBot="1">
      <c r="A3" s="2554" t="s">
        <v>1382</v>
      </c>
      <c r="B3" s="2552" t="s">
        <v>3095</v>
      </c>
      <c r="C3" s="1612"/>
      <c r="D3" s="3417"/>
      <c r="E3" s="2553" t="s">
        <v>3085</v>
      </c>
      <c r="F3" s="2550"/>
      <c r="G3" s="2883"/>
      <c r="H3" s="2883"/>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1" customFormat="1" ht="15" thickBot="1">
      <c r="A4" s="2557" t="s">
        <v>1383</v>
      </c>
      <c r="B4" s="2552" t="s">
        <v>3036</v>
      </c>
      <c r="C4" s="1612"/>
      <c r="D4" s="3417"/>
      <c r="E4" s="2553"/>
      <c r="F4" s="2550"/>
      <c r="G4" s="2883"/>
      <c r="H4" s="2883"/>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1" customFormat="1" ht="15.75" thickBot="1">
      <c r="A5" s="2554" t="s">
        <v>1384</v>
      </c>
      <c r="B5" s="2555">
        <f>项目基本情况!C12</f>
        <v>770.88</v>
      </c>
      <c r="C5" s="1612"/>
      <c r="D5" s="2839" t="s">
        <v>1385</v>
      </c>
      <c r="E5" s="2556">
        <v>507.9</v>
      </c>
      <c r="F5" s="2550"/>
      <c r="G5" s="2883"/>
      <c r="H5" s="2883"/>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1" customFormat="1" ht="15.75" thickBot="1">
      <c r="A6" s="2557" t="s">
        <v>1386</v>
      </c>
      <c r="B6" s="2558">
        <f>项目基本情况!C13</f>
        <v>0</v>
      </c>
      <c r="C6" s="1612"/>
      <c r="D6" s="2839" t="s">
        <v>1387</v>
      </c>
      <c r="E6" s="2556"/>
      <c r="F6" s="2550"/>
      <c r="G6" s="2883"/>
      <c r="H6" s="2883"/>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5"/>
      <c r="D7" s="2886"/>
      <c r="E7" s="2886"/>
      <c r="F7" s="2883"/>
      <c r="G7" s="2883"/>
      <c r="H7" s="2883"/>
    </row>
    <row r="8" spans="1:41" s="1612" customFormat="1" ht="15" hidden="1">
      <c r="A8" s="2885"/>
      <c r="D8" s="2886"/>
      <c r="E8" s="2886"/>
      <c r="F8" s="2883"/>
      <c r="G8" s="2883"/>
      <c r="H8" s="2883"/>
    </row>
    <row r="9" spans="1:41" s="1612" customFormat="1" ht="15" hidden="1" thickBot="1">
      <c r="C9" s="3004"/>
      <c r="D9" s="2883"/>
      <c r="E9" s="2883"/>
      <c r="F9" s="2883"/>
      <c r="G9" s="2883"/>
      <c r="H9" s="2883"/>
    </row>
    <row r="10" spans="1:41" s="2551" customFormat="1" ht="15" thickBot="1">
      <c r="A10" s="2840" t="s">
        <v>1388</v>
      </c>
      <c r="B10" s="2560" t="s">
        <v>3037</v>
      </c>
      <c r="C10" s="1612"/>
      <c r="D10" s="2837" t="s">
        <v>1389</v>
      </c>
      <c r="E10" s="2841" t="s">
        <v>1390</v>
      </c>
      <c r="F10" s="3005" t="s">
        <v>2596</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4" customFormat="1" ht="14.25">
      <c r="A11" s="2842" t="s">
        <v>1391</v>
      </c>
      <c r="B11" s="2562">
        <v>50</v>
      </c>
      <c r="C11" s="1612"/>
      <c r="D11" s="2843" t="s">
        <v>1392</v>
      </c>
      <c r="E11" s="2563"/>
      <c r="F11" s="1239" t="s">
        <v>1393</v>
      </c>
      <c r="G11" s="1612"/>
      <c r="H11" s="1612"/>
      <c r="I11" s="1612"/>
      <c r="J11" s="1612"/>
      <c r="K11" s="1612"/>
      <c r="L11" s="2625"/>
      <c r="M11" s="2625"/>
      <c r="N11" s="2625"/>
      <c r="O11" s="2625"/>
      <c r="P11" s="2625"/>
      <c r="Q11" s="2625"/>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1" customFormat="1" ht="15">
      <c r="A12" s="2844" t="s">
        <v>1394</v>
      </c>
      <c r="B12" s="2565"/>
      <c r="C12" s="1612"/>
      <c r="D12" s="2844" t="s">
        <v>1395</v>
      </c>
      <c r="E12" s="2566">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1" customFormat="1" ht="15" thickBot="1">
      <c r="A13" s="2845" t="s">
        <v>1396</v>
      </c>
      <c r="B13" s="2846">
        <f>IF(B12="",B11-(YEAR($B$2)-B27+B24),ROUNDDOWN(MIN((B12-$B$2)/365,B11),2))</f>
        <v>40</v>
      </c>
      <c r="C13" s="2881"/>
      <c r="D13" s="2847" t="s">
        <v>1397</v>
      </c>
      <c r="E13" s="2567">
        <f>ROUND(E12*B5,0)</f>
        <v>154176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1" customFormat="1" ht="14.25">
      <c r="A14" s="2844" t="s">
        <v>1399</v>
      </c>
      <c r="B14" s="2848">
        <f>IF(ISERROR(ROUND(POWER(1+B15,B11-B13)*(POWER(1+B15,B13)-1)/(POWER(1+B15,B11)-1),3)),0,ROUND(POWER(1+B15,B11-B13)*(POWER(1+B15,B13)-1)/(POWER(1+B15,B11)-1),3))</f>
        <v>0.94</v>
      </c>
      <c r="C14" s="1612"/>
      <c r="D14" s="2849" t="s">
        <v>1400</v>
      </c>
      <c r="E14" s="2568">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1" customFormat="1" ht="14.25">
      <c r="A15" s="2844" t="s">
        <v>1401</v>
      </c>
      <c r="B15" s="2569">
        <v>0.05</v>
      </c>
      <c r="C15" s="2477" t="s">
        <v>2597</v>
      </c>
      <c r="D15" s="2844" t="s">
        <v>1402</v>
      </c>
      <c r="E15" s="2850">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1" customFormat="1" ht="15" thickBot="1">
      <c r="A16" s="2844" t="s">
        <v>1403</v>
      </c>
      <c r="B16" s="2569">
        <v>5.5E-2</v>
      </c>
      <c r="C16" s="2477" t="s">
        <v>2598</v>
      </c>
      <c r="D16" s="2851" t="s">
        <v>1404</v>
      </c>
      <c r="E16" s="2570"/>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1" customFormat="1" ht="15" thickBot="1">
      <c r="A17" s="2851" t="s">
        <v>2595</v>
      </c>
      <c r="B17" s="3003">
        <v>7.4999999999999997E-2</v>
      </c>
      <c r="C17" s="2477" t="s">
        <v>2599</v>
      </c>
      <c r="D17" s="2840" t="s">
        <v>1406</v>
      </c>
      <c r="E17" s="2571">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1" customFormat="1" ht="15" thickBot="1">
      <c r="A18" s="2852" t="s">
        <v>1405</v>
      </c>
      <c r="B18" s="3011">
        <v>7.0000000000000007E-2</v>
      </c>
      <c r="C18" s="1612"/>
      <c r="D18" s="2853" t="str">
        <f>IF(B26=0,"建安总额","在建建安")</f>
        <v>建安总额</v>
      </c>
      <c r="E18" s="2854">
        <f>ROUND(B5*E17*IF(B26=0,1,E20),0)</f>
        <v>3083520</v>
      </c>
      <c r="F18" s="2572">
        <f>ROUND(E5*E17*IF(B26=0,1,E20),0)</f>
        <v>2031600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1" customFormat="1" ht="15" thickBot="1">
      <c r="A19" s="1238"/>
      <c r="B19" s="1238"/>
      <c r="C19" s="1612"/>
      <c r="D19" s="2853" t="str">
        <f>IF(B26=0,"——","续建建安")</f>
        <v>——</v>
      </c>
      <c r="E19" s="2854" t="str">
        <f>IF(B26=0,"——",ROUND(B5*E17*(1-E20),0))</f>
        <v>——</v>
      </c>
      <c r="F19" s="2572"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1" customFormat="1" ht="15" thickBot="1">
      <c r="A20" s="2855" t="s">
        <v>1407</v>
      </c>
      <c r="B20" s="1238"/>
      <c r="C20" s="1612"/>
      <c r="D20" s="2857" t="str">
        <f>IF(B26=0,"成新率","工程进度")</f>
        <v>成新率</v>
      </c>
      <c r="E20" s="2574">
        <f>ROUND(1-(2022-B27)/60,2)</f>
        <v>0.87</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1" customFormat="1" ht="14.25">
      <c r="A21" s="2856" t="s">
        <v>1408</v>
      </c>
      <c r="B21" s="2573"/>
      <c r="C21" s="1612"/>
      <c r="D21" s="2844" t="s">
        <v>1410</v>
      </c>
      <c r="E21" s="2576">
        <v>0.03</v>
      </c>
      <c r="F21" s="2587" t="s">
        <v>2605</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1" customFormat="1" ht="14.25">
      <c r="A22" s="2858" t="s">
        <v>1409</v>
      </c>
      <c r="B22" s="2575">
        <v>2</v>
      </c>
      <c r="C22" s="1612"/>
      <c r="D22" s="2844" t="s">
        <v>1412</v>
      </c>
      <c r="E22" s="2579">
        <v>0</v>
      </c>
      <c r="F22" s="2587" t="s">
        <v>2603</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1" customFormat="1" ht="14.25">
      <c r="A23" s="2859" t="s">
        <v>1411</v>
      </c>
      <c r="B23" s="2578">
        <v>2</v>
      </c>
      <c r="C23" s="1612"/>
      <c r="D23" s="2844" t="s">
        <v>1414</v>
      </c>
      <c r="E23" s="2566">
        <v>200</v>
      </c>
      <c r="F23" s="2587"/>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1" customFormat="1" ht="15" thickBot="1">
      <c r="A24" s="2860" t="s">
        <v>1413</v>
      </c>
      <c r="B24" s="2861">
        <f>B21+B22</f>
        <v>2</v>
      </c>
      <c r="C24" s="1612"/>
      <c r="D24" s="2851" t="s">
        <v>1416</v>
      </c>
      <c r="E24" s="2580">
        <v>1.4999999999999999E-2</v>
      </c>
      <c r="F24" s="2587" t="s">
        <v>2606</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2" t="s">
        <v>1415</v>
      </c>
      <c r="B25" s="2863">
        <f>B21+B23</f>
        <v>2</v>
      </c>
      <c r="C25" s="1612"/>
      <c r="D25" s="2843" t="s">
        <v>1418</v>
      </c>
      <c r="E25" s="2576">
        <v>0.02</v>
      </c>
      <c r="F25" s="2587" t="s">
        <v>2604</v>
      </c>
      <c r="I25" s="2882"/>
    </row>
    <row r="26" spans="1:41" ht="15" thickBot="1">
      <c r="A26" s="2860" t="s">
        <v>1417</v>
      </c>
      <c r="B26" s="2864">
        <f>B22-B23</f>
        <v>0</v>
      </c>
      <c r="D26" s="2844" t="s">
        <v>1420</v>
      </c>
      <c r="E26" s="2579">
        <v>0.02</v>
      </c>
      <c r="F26" s="2587" t="s">
        <v>2604</v>
      </c>
      <c r="G26" s="2883"/>
      <c r="H26" s="2883"/>
      <c r="I26" s="1612"/>
      <c r="J26" s="1612"/>
      <c r="K26" s="1612"/>
      <c r="L26" s="1612"/>
      <c r="M26" s="1612"/>
      <c r="N26" s="1612"/>
    </row>
    <row r="27" spans="1:41" ht="15.75" thickBot="1">
      <c r="A27" s="2865" t="s">
        <v>1419</v>
      </c>
      <c r="B27" s="2581">
        <v>2014</v>
      </c>
      <c r="C27" s="1612"/>
      <c r="D27" s="3070" t="s">
        <v>3039</v>
      </c>
      <c r="E27" s="2866">
        <f ca="1">IF(D27="利息：取LPR",存贷款利率!G1,存贷款利率!G1+F27)</f>
        <v>4.1499999999999995E-2</v>
      </c>
      <c r="F27" s="3071">
        <v>5.0000000000000001E-3</v>
      </c>
      <c r="G27" s="2883"/>
      <c r="H27" s="2883"/>
      <c r="K27" s="1612"/>
      <c r="N27" s="1612"/>
    </row>
    <row r="28" spans="1:41" ht="15" thickBot="1">
      <c r="A28" s="904"/>
      <c r="B28" s="904"/>
      <c r="D28" s="2847" t="s">
        <v>1422</v>
      </c>
      <c r="E28" s="2583">
        <v>0.15</v>
      </c>
      <c r="G28" s="2883"/>
      <c r="H28" s="2883"/>
      <c r="K28" s="1612"/>
      <c r="N28" s="1612"/>
    </row>
    <row r="29" spans="1:41" ht="14.25">
      <c r="A29" s="2867" t="s">
        <v>1421</v>
      </c>
      <c r="B29" s="2582" t="s">
        <v>3038</v>
      </c>
      <c r="D29" s="2849" t="s">
        <v>1423</v>
      </c>
      <c r="E29" s="2868">
        <f>E30+E31</f>
        <v>5.6000000000000001E-2</v>
      </c>
      <c r="F29" s="1237"/>
      <c r="G29" s="2883"/>
      <c r="H29" s="2883"/>
      <c r="K29" s="1612"/>
      <c r="N29" s="1612"/>
    </row>
    <row r="30" spans="1:41" ht="14.25">
      <c r="A30" s="2844" t="str">
        <f>IF(B29="租赁期内按合同租金","合同租金","市场租金")</f>
        <v>市场租金</v>
      </c>
      <c r="B30" s="2584">
        <v>5</v>
      </c>
      <c r="D30" s="2851" t="s">
        <v>1425</v>
      </c>
      <c r="E30" s="2585">
        <v>0.05</v>
      </c>
      <c r="F30" s="2870">
        <f>IF(B2&lt;DATE(2016,5,1),0,E30)</f>
        <v>0.05</v>
      </c>
      <c r="G30" s="2883"/>
      <c r="H30" s="2883"/>
      <c r="K30" s="1612"/>
      <c r="N30" s="1612"/>
    </row>
    <row r="31" spans="1:41" ht="14.25">
      <c r="A31" s="2844" t="s">
        <v>1424</v>
      </c>
      <c r="B31" s="2869">
        <f ca="1">存贷款利率!I1</f>
        <v>1.4999999999999999E-2</v>
      </c>
      <c r="D31" s="2851" t="s">
        <v>1427</v>
      </c>
      <c r="E31" s="2871">
        <f>E30*(E32+E33+E34)+E35</f>
        <v>6.000000000000001E-3</v>
      </c>
      <c r="F31" s="1237"/>
      <c r="G31" s="2883"/>
      <c r="H31" s="2883"/>
      <c r="K31" s="1612"/>
      <c r="N31" s="1612"/>
    </row>
    <row r="32" spans="1:41" ht="14.25">
      <c r="A32" s="2844" t="s">
        <v>1426</v>
      </c>
      <c r="B32" s="2569">
        <v>2.5000000000000001E-2</v>
      </c>
      <c r="D32" s="2851" t="s">
        <v>1429</v>
      </c>
      <c r="E32" s="2586">
        <v>7.0000000000000007E-2</v>
      </c>
      <c r="F32" s="2587" t="s">
        <v>2491</v>
      </c>
      <c r="G32" s="2883"/>
      <c r="H32" s="2883"/>
      <c r="K32" s="1612"/>
      <c r="L32" s="1612"/>
      <c r="M32" s="1612"/>
      <c r="N32" s="1612"/>
    </row>
    <row r="33" spans="1:14" ht="14.25">
      <c r="A33" s="2844" t="s">
        <v>1428</v>
      </c>
      <c r="B33" s="2569">
        <v>0.1</v>
      </c>
      <c r="D33" s="2851" t="s">
        <v>1431</v>
      </c>
      <c r="E33" s="2585">
        <v>0.03</v>
      </c>
      <c r="F33" s="1236" t="s">
        <v>1432</v>
      </c>
      <c r="G33" s="2883"/>
      <c r="H33" s="2883"/>
      <c r="K33" s="1612"/>
      <c r="L33" s="1612"/>
      <c r="M33" s="1612"/>
      <c r="N33" s="1612"/>
    </row>
    <row r="34" spans="1:14" s="2589" customFormat="1" ht="14.25">
      <c r="A34" s="2844" t="s">
        <v>1430</v>
      </c>
      <c r="B34" s="2872">
        <f>收益法!J54</f>
        <v>40</v>
      </c>
      <c r="D34" s="2851" t="s">
        <v>1433</v>
      </c>
      <c r="E34" s="2585">
        <v>0.02</v>
      </c>
      <c r="F34" s="1236" t="s">
        <v>1434</v>
      </c>
      <c r="G34" s="2883"/>
      <c r="H34" s="2883"/>
      <c r="I34" s="1612"/>
      <c r="J34" s="1612"/>
      <c r="K34" s="1612"/>
      <c r="L34" s="1612"/>
      <c r="M34" s="1612"/>
      <c r="N34" s="1612"/>
    </row>
    <row r="35" spans="1:14" s="2589" customFormat="1" ht="15" thickBot="1">
      <c r="A35" s="2851" t="str">
        <f>IF(B29="租赁期内按合同租金","剩余租赁期","——")</f>
        <v>——</v>
      </c>
      <c r="B35" s="2588"/>
      <c r="D35" s="2847" t="s">
        <v>1436</v>
      </c>
      <c r="E35" s="2591"/>
      <c r="F35" s="1239" t="s">
        <v>1437</v>
      </c>
      <c r="G35" s="2883"/>
      <c r="H35" s="2883"/>
      <c r="I35" s="1612"/>
      <c r="J35" s="1612"/>
      <c r="K35" s="1612"/>
      <c r="L35" s="1612"/>
      <c r="M35" s="1612"/>
      <c r="N35" s="1612"/>
    </row>
    <row r="36" spans="1:14" s="2589" customFormat="1" ht="15">
      <c r="A36" s="2873" t="s">
        <v>1435</v>
      </c>
      <c r="B36" s="2874"/>
      <c r="D36" s="2875" t="s">
        <v>1438</v>
      </c>
      <c r="E36" s="2593">
        <v>0.03</v>
      </c>
      <c r="F36" s="1238" t="s">
        <v>1439</v>
      </c>
      <c r="G36" s="2883"/>
      <c r="H36" s="2883"/>
      <c r="I36" s="1612"/>
      <c r="J36" s="1612"/>
      <c r="K36" s="1612"/>
      <c r="L36" s="1612"/>
      <c r="M36" s="1612"/>
      <c r="N36" s="1612"/>
    </row>
    <row r="37" spans="1:14" s="2589" customFormat="1" ht="15" thickBot="1">
      <c r="A37" s="2849" t="str">
        <f>IF(B29="租赁期内按合同租金","租金","——")</f>
        <v>——</v>
      </c>
      <c r="B37" s="2592"/>
      <c r="D37" s="2851" t="s">
        <v>1440</v>
      </c>
      <c r="E37" s="2585">
        <v>5.0000000000000001E-4</v>
      </c>
      <c r="F37" s="1238" t="s">
        <v>1441</v>
      </c>
      <c r="G37" s="2883"/>
      <c r="H37" s="2883"/>
      <c r="I37" s="1612"/>
      <c r="J37" s="1612"/>
      <c r="K37" s="1612"/>
      <c r="L37" s="1612"/>
      <c r="M37" s="1612"/>
      <c r="N37" s="1612"/>
    </row>
    <row r="38" spans="1:14" s="2589" customFormat="1" ht="14.25">
      <c r="A38" s="2844" t="str">
        <f>IF(B29="租赁期内按合同租金","年租金增长率","——")</f>
        <v>——</v>
      </c>
      <c r="B38" s="2569"/>
      <c r="D38" s="2876" t="s">
        <v>1442</v>
      </c>
      <c r="E38" s="2877">
        <v>1.2E-2</v>
      </c>
      <c r="F38" s="1238"/>
      <c r="G38" s="2882"/>
      <c r="H38" s="2882"/>
      <c r="I38" s="2883"/>
      <c r="J38" s="1612"/>
      <c r="K38" s="1612"/>
      <c r="L38" s="1612"/>
      <c r="M38" s="1612"/>
      <c r="N38" s="1612"/>
    </row>
    <row r="39" spans="1:14" s="2589" customFormat="1" ht="15" thickBot="1">
      <c r="A39" s="2844" t="str">
        <f>IF(B29="租赁期内按合同租金","空置率","——")</f>
        <v>——</v>
      </c>
      <c r="B39" s="2569"/>
      <c r="D39" s="2847" t="s">
        <v>1443</v>
      </c>
      <c r="E39" s="2878">
        <v>0.12</v>
      </c>
      <c r="F39" s="1238"/>
      <c r="G39" s="2883"/>
      <c r="H39" s="2883"/>
      <c r="I39" s="1612"/>
      <c r="J39" s="1612"/>
      <c r="K39" s="1612"/>
      <c r="L39" s="1612"/>
      <c r="M39" s="1612"/>
      <c r="N39" s="1612"/>
    </row>
    <row r="40" spans="1:14" ht="14.25">
      <c r="A40" s="2844" t="str">
        <f>IF(B29="租赁期内按合同租金","成新率","——")</f>
        <v>——</v>
      </c>
      <c r="B40" s="2569"/>
      <c r="D40" s="2876" t="s">
        <v>1444</v>
      </c>
      <c r="E40" s="2880">
        <f>SUMIF(D42:D51,E41,E42:E51)</f>
        <v>0</v>
      </c>
      <c r="F40" s="1238"/>
      <c r="G40" s="2883"/>
      <c r="H40" s="2883"/>
      <c r="I40" s="1612"/>
      <c r="J40" s="1612"/>
      <c r="K40" s="1612"/>
      <c r="L40" s="1612"/>
      <c r="M40" s="1612"/>
      <c r="N40" s="1612"/>
    </row>
    <row r="41" spans="1:14" ht="15" thickBot="1">
      <c r="A41" s="2851" t="str">
        <f>IF(B29="租赁期内按合同租金","租赁期外收益期","——")</f>
        <v>——</v>
      </c>
      <c r="B41" s="2879" t="str">
        <f>IF(B29="租赁期内按合同租金",B34-B35,"——")</f>
        <v>——</v>
      </c>
      <c r="D41" s="2844" t="s">
        <v>1446</v>
      </c>
      <c r="E41" s="2595"/>
      <c r="F41" s="1238" t="s">
        <v>1447</v>
      </c>
      <c r="G41" s="1698" t="s">
        <v>1448</v>
      </c>
      <c r="H41" s="2883"/>
      <c r="I41" s="1612"/>
      <c r="J41" s="1612"/>
      <c r="K41" s="1612"/>
      <c r="L41" s="1612"/>
      <c r="M41" s="1612"/>
      <c r="N41" s="1612"/>
    </row>
    <row r="42" spans="1:14" ht="14.25">
      <c r="A42" s="2843" t="s">
        <v>1445</v>
      </c>
      <c r="B42" s="2594"/>
      <c r="D42" s="2597" t="s">
        <v>1450</v>
      </c>
      <c r="E42" s="2584"/>
      <c r="F42" s="1238">
        <v>30</v>
      </c>
      <c r="G42" s="2883"/>
      <c r="H42" s="2883"/>
      <c r="I42" s="1612"/>
      <c r="J42" s="1612"/>
      <c r="K42" s="1612"/>
      <c r="L42" s="1612"/>
      <c r="M42" s="1612"/>
      <c r="N42" s="1612"/>
    </row>
    <row r="43" spans="1:14" ht="14.25">
      <c r="A43" s="2844" t="s">
        <v>1449</v>
      </c>
      <c r="B43" s="2596">
        <v>365</v>
      </c>
      <c r="D43" s="2597" t="s">
        <v>1452</v>
      </c>
      <c r="E43" s="2584"/>
      <c r="F43" s="1238">
        <v>24</v>
      </c>
      <c r="G43" s="2883"/>
      <c r="H43" s="2883"/>
      <c r="I43" s="1612"/>
      <c r="J43" s="1612"/>
      <c r="K43" s="1612"/>
      <c r="L43" s="1612"/>
      <c r="M43" s="1612"/>
      <c r="N43" s="1612"/>
    </row>
    <row r="44" spans="1:14" ht="14.25">
      <c r="A44" s="2844" t="s">
        <v>1451</v>
      </c>
      <c r="B44" s="2584"/>
      <c r="D44" s="2597" t="s">
        <v>1454</v>
      </c>
      <c r="E44" s="2584"/>
      <c r="F44" s="1238">
        <v>18</v>
      </c>
      <c r="G44" s="2589"/>
      <c r="H44" s="2589"/>
      <c r="I44" s="2883"/>
      <c r="J44" s="1612"/>
      <c r="K44" s="1612"/>
      <c r="L44" s="1612"/>
      <c r="M44" s="1612"/>
      <c r="N44" s="1612"/>
    </row>
    <row r="45" spans="1:14" ht="14.25">
      <c r="A45" s="2844" t="s">
        <v>1453</v>
      </c>
      <c r="B45" s="2598">
        <v>1.4999999999999999E-2</v>
      </c>
      <c r="C45" s="2477" t="s">
        <v>2602</v>
      </c>
      <c r="D45" s="2597" t="s">
        <v>1456</v>
      </c>
      <c r="E45" s="2584"/>
      <c r="F45" s="1238">
        <v>12</v>
      </c>
      <c r="G45" s="2589"/>
      <c r="H45" s="2589"/>
      <c r="M45" s="1612"/>
      <c r="N45" s="1612"/>
    </row>
    <row r="46" spans="1:14" ht="14.25">
      <c r="A46" s="2844" t="s">
        <v>1455</v>
      </c>
      <c r="B46" s="2599">
        <v>1.5E-3</v>
      </c>
      <c r="C46" s="2477" t="s">
        <v>2600</v>
      </c>
      <c r="D46" s="2597" t="s">
        <v>1218</v>
      </c>
      <c r="E46" s="2584"/>
      <c r="F46" s="1238">
        <v>3</v>
      </c>
      <c r="G46" s="2589"/>
      <c r="H46" s="2589"/>
      <c r="M46" s="1612"/>
      <c r="N46" s="1612"/>
    </row>
    <row r="47" spans="1:14" ht="15" thickBot="1">
      <c r="A47" s="2847" t="s">
        <v>1457</v>
      </c>
      <c r="B47" s="2600">
        <v>0.01</v>
      </c>
      <c r="C47" s="2477" t="s">
        <v>2601</v>
      </c>
      <c r="D47" s="2597" t="s">
        <v>1458</v>
      </c>
      <c r="E47" s="2584"/>
      <c r="F47" s="1238">
        <v>1.5</v>
      </c>
      <c r="G47" s="2589"/>
      <c r="H47" s="2589"/>
      <c r="M47" s="1612"/>
      <c r="N47" s="1612"/>
    </row>
    <row r="48" spans="1:14" ht="14.25">
      <c r="A48" s="2589"/>
      <c r="B48" s="2589"/>
      <c r="D48" s="2597" t="s">
        <v>1459</v>
      </c>
      <c r="E48" s="2584"/>
      <c r="F48" s="1238"/>
      <c r="G48" s="2589"/>
      <c r="H48" s="2589"/>
      <c r="M48" s="1612"/>
      <c r="N48" s="1612"/>
    </row>
    <row r="49" spans="1:41" ht="14.25">
      <c r="A49" s="2589"/>
      <c r="B49" s="2589"/>
      <c r="D49" s="2597" t="s">
        <v>1460</v>
      </c>
      <c r="E49" s="2584"/>
      <c r="F49" s="1238"/>
      <c r="G49" s="2589"/>
      <c r="H49" s="2589"/>
      <c r="M49" s="1612"/>
      <c r="N49" s="1612"/>
    </row>
    <row r="50" spans="1:41" ht="14.25">
      <c r="A50" s="2589"/>
      <c r="B50" s="2589"/>
      <c r="D50" s="2597" t="s">
        <v>1461</v>
      </c>
      <c r="E50" s="2584"/>
      <c r="F50" s="1238"/>
      <c r="G50" s="2589"/>
      <c r="H50" s="2589"/>
      <c r="M50" s="1612"/>
      <c r="N50" s="1612"/>
    </row>
    <row r="51" spans="1:41" s="904" customFormat="1" ht="15" thickBot="1">
      <c r="A51" s="2589"/>
      <c r="B51" s="2589"/>
      <c r="C51" s="2589"/>
      <c r="D51" s="2601" t="s">
        <v>1462</v>
      </c>
      <c r="E51" s="2602"/>
      <c r="F51" s="1238"/>
      <c r="G51" s="2589"/>
      <c r="H51" s="2589"/>
      <c r="I51" s="2589"/>
      <c r="J51" s="2589"/>
      <c r="K51" s="2589"/>
      <c r="L51" s="2589"/>
      <c r="M51" s="1612"/>
      <c r="N51" s="1612"/>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2"/>
      <c r="J52" s="1612"/>
      <c r="K52" s="1612"/>
      <c r="L52" s="1612"/>
      <c r="M52" s="1612"/>
      <c r="N52" s="1612"/>
    </row>
    <row r="53" spans="1:41" s="2589" customFormat="1" ht="14.25">
      <c r="D53" s="2883"/>
      <c r="E53" s="2883"/>
      <c r="F53" s="2883"/>
      <c r="G53" s="2883"/>
      <c r="H53" s="2883"/>
      <c r="I53" s="1612"/>
      <c r="J53" s="1612"/>
      <c r="K53" s="1612"/>
      <c r="L53" s="1612"/>
      <c r="M53" s="1612"/>
      <c r="N53" s="1612"/>
    </row>
    <row r="54" spans="1:41" s="2589" customFormat="1" ht="14.25">
      <c r="D54" s="2883"/>
      <c r="E54" s="2883"/>
      <c r="F54" s="2883"/>
      <c r="G54" s="2883"/>
      <c r="H54" s="2883"/>
      <c r="I54" s="1612"/>
      <c r="J54" s="1612"/>
      <c r="K54" s="1612"/>
      <c r="L54" s="1612"/>
      <c r="M54" s="1612"/>
      <c r="N54" s="1612"/>
    </row>
    <row r="55" spans="1:41" s="2589" customFormat="1" ht="14.25">
      <c r="D55" s="2883"/>
      <c r="E55" s="2883"/>
      <c r="F55" s="2883"/>
      <c r="G55" s="2883"/>
      <c r="H55" s="2883"/>
      <c r="I55" s="1612"/>
      <c r="J55" s="1612"/>
      <c r="K55" s="1612"/>
      <c r="L55" s="1612"/>
      <c r="M55" s="1612"/>
      <c r="N55" s="1612"/>
    </row>
    <row r="56" spans="1:41" s="2589" customFormat="1" ht="14.25">
      <c r="D56" s="2883"/>
      <c r="E56" s="2883"/>
      <c r="F56" s="2883"/>
      <c r="G56" s="2883"/>
      <c r="H56" s="2883"/>
      <c r="I56" s="1612"/>
      <c r="J56" s="1612"/>
      <c r="K56" s="1612"/>
      <c r="L56" s="1612"/>
      <c r="M56" s="1612"/>
      <c r="N56" s="1612"/>
    </row>
    <row r="57" spans="1:41" s="2589" customFormat="1" ht="14.25">
      <c r="D57" s="2883"/>
      <c r="E57" s="2883"/>
      <c r="F57" s="2883"/>
      <c r="G57" s="2883"/>
      <c r="H57" s="2883"/>
      <c r="I57" s="1612"/>
      <c r="J57" s="1612"/>
      <c r="K57" s="1612"/>
      <c r="L57" s="1612"/>
      <c r="M57" s="1612"/>
      <c r="N57" s="1612"/>
    </row>
    <row r="58" spans="1:41" s="2589" customFormat="1" ht="14.25">
      <c r="D58" s="2883"/>
      <c r="E58" s="2883"/>
      <c r="F58" s="2883"/>
      <c r="G58" s="2883"/>
      <c r="H58" s="2883"/>
      <c r="I58" s="1612"/>
      <c r="J58" s="1612"/>
      <c r="K58" s="1612"/>
      <c r="L58" s="1612"/>
      <c r="M58" s="1612"/>
      <c r="N58" s="1612"/>
    </row>
    <row r="59" spans="1:41" s="2589" customFormat="1" ht="14.25">
      <c r="D59" s="2883"/>
      <c r="E59" s="2883"/>
      <c r="F59" s="2883"/>
      <c r="G59" s="2883"/>
      <c r="H59" s="2883"/>
      <c r="I59" s="1612"/>
      <c r="J59" s="1612"/>
      <c r="K59" s="1612"/>
      <c r="L59" s="1612"/>
      <c r="M59" s="2884"/>
      <c r="N59" s="1612"/>
    </row>
    <row r="60" spans="1:41" s="2589" customFormat="1" ht="14.25">
      <c r="D60" s="2883"/>
      <c r="E60" s="2883"/>
      <c r="F60" s="2883"/>
      <c r="G60" s="2883"/>
      <c r="H60" s="2883"/>
      <c r="I60" s="1612"/>
      <c r="J60" s="1612"/>
      <c r="K60" s="1612"/>
      <c r="L60" s="1612"/>
      <c r="M60" s="1612"/>
      <c r="N60" s="1612"/>
    </row>
    <row r="61" spans="1:41" s="2589" customFormat="1" ht="14.25">
      <c r="D61" s="2883"/>
      <c r="E61" s="2883"/>
      <c r="F61" s="2883"/>
      <c r="G61" s="2883"/>
      <c r="H61" s="2883"/>
      <c r="I61" s="1612"/>
      <c r="J61" s="1612"/>
      <c r="K61" s="1612"/>
      <c r="L61" s="1612"/>
      <c r="M61" s="1612"/>
      <c r="N61" s="1612"/>
    </row>
    <row r="62" spans="1:41" s="2589" customFormat="1" ht="14.25">
      <c r="D62" s="2883"/>
      <c r="E62" s="2883"/>
      <c r="F62" s="2883"/>
      <c r="G62" s="2883"/>
      <c r="H62" s="2883"/>
      <c r="I62" s="1612"/>
      <c r="J62" s="1612"/>
      <c r="K62" s="1612"/>
      <c r="L62" s="1612"/>
      <c r="M62" s="1612"/>
      <c r="N62" s="1612"/>
    </row>
    <row r="63" spans="1:41" s="2589" customFormat="1" ht="14.25">
      <c r="D63" s="2883"/>
      <c r="E63" s="2883"/>
      <c r="F63" s="2883"/>
      <c r="G63" s="2883"/>
      <c r="H63" s="2883"/>
      <c r="I63" s="1612"/>
      <c r="J63" s="1612"/>
      <c r="K63" s="1612"/>
      <c r="L63" s="1612"/>
      <c r="M63" s="1612"/>
      <c r="N63" s="1612"/>
    </row>
    <row r="64" spans="1:41" s="2589" customFormat="1" ht="14.25">
      <c r="D64" s="2883"/>
      <c r="E64" s="2883"/>
      <c r="F64" s="2883"/>
      <c r="G64" s="2883"/>
      <c r="H64" s="2883"/>
      <c r="I64" s="1612"/>
      <c r="J64" s="1612"/>
      <c r="K64" s="1612"/>
      <c r="L64" s="1612"/>
      <c r="M64" s="1612"/>
      <c r="N64" s="1612"/>
    </row>
    <row r="65" spans="1:14" s="2589" customFormat="1" ht="14.25">
      <c r="D65" s="2883"/>
      <c r="E65" s="2883"/>
      <c r="F65" s="2883"/>
      <c r="G65" s="2883"/>
      <c r="H65" s="2883"/>
      <c r="I65" s="1612"/>
      <c r="J65" s="1612"/>
      <c r="K65" s="1612"/>
      <c r="L65" s="1612"/>
      <c r="M65" s="1612"/>
      <c r="N65" s="1612"/>
    </row>
    <row r="66" spans="1:14" s="2589" customFormat="1" ht="14.25">
      <c r="D66" s="2883"/>
      <c r="E66" s="2883"/>
      <c r="F66" s="2883"/>
      <c r="G66" s="2883"/>
      <c r="H66" s="2883"/>
      <c r="I66" s="1612"/>
      <c r="J66" s="1612"/>
      <c r="K66" s="1612"/>
      <c r="L66" s="1612"/>
      <c r="M66" s="1612"/>
      <c r="N66" s="1612"/>
    </row>
    <row r="67" spans="1:14" s="2589" customFormat="1" ht="14.25">
      <c r="A67" s="2887"/>
      <c r="D67" s="2883"/>
      <c r="E67" s="2883"/>
      <c r="F67" s="2883"/>
      <c r="G67" s="2883"/>
      <c r="H67" s="2883"/>
      <c r="I67" s="1612"/>
      <c r="J67" s="1612"/>
      <c r="K67" s="1612"/>
      <c r="L67" s="1612"/>
      <c r="M67" s="1612"/>
      <c r="N67" s="1612"/>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18" t="s">
        <v>1463</v>
      </c>
      <c r="B1" s="3419"/>
      <c r="C1" s="3419"/>
      <c r="D1" s="3419"/>
      <c r="E1" s="3419"/>
      <c r="F1" s="3419"/>
      <c r="G1" s="3419"/>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5"/>
      <c r="I10" s="3033"/>
      <c r="J10" s="3034"/>
      <c r="K10" s="1425"/>
      <c r="L10" s="3033"/>
      <c r="M10" s="3034"/>
      <c r="N10" s="1425"/>
      <c r="O10" s="3033"/>
      <c r="P10" s="3034"/>
      <c r="Q10" s="1425"/>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5"/>
      <c r="I11" s="3033"/>
      <c r="J11" s="3034"/>
      <c r="K11" s="1425"/>
      <c r="L11" s="3033"/>
      <c r="M11" s="3034"/>
      <c r="N11" s="1425"/>
      <c r="O11" s="3033"/>
      <c r="P11" s="3034"/>
      <c r="Q11" s="1425"/>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7" customWidth="1"/>
    <col min="2" max="16384" width="14.625" style="2497"/>
  </cols>
  <sheetData>
    <row r="1" spans="1:9" ht="16.5">
      <c r="A1" s="2495" t="s">
        <v>973</v>
      </c>
      <c r="B1" s="2495">
        <f>SUM(B14:B23)</f>
        <v>770.88</v>
      </c>
      <c r="C1" s="1561"/>
      <c r="D1" s="1561"/>
      <c r="E1" s="1561"/>
      <c r="F1" s="1561"/>
      <c r="G1" s="2496"/>
    </row>
    <row r="2" spans="1:9" ht="16.5">
      <c r="A2" s="2495" t="s">
        <v>974</v>
      </c>
      <c r="B2" s="2495">
        <f>SUM(C14:C23)</f>
        <v>0</v>
      </c>
      <c r="C2" s="1561"/>
      <c r="D2" s="1561"/>
      <c r="E2" s="1561"/>
      <c r="F2" s="1561"/>
      <c r="G2" s="2496"/>
    </row>
    <row r="3" spans="1:9" ht="16.5">
      <c r="A3" s="2495" t="s">
        <v>975</v>
      </c>
      <c r="B3" s="2498">
        <f>项目基本情况!D2</f>
        <v>44858</v>
      </c>
      <c r="C3" s="1561"/>
      <c r="D3" s="1561"/>
      <c r="E3" s="1561"/>
      <c r="F3" s="1561"/>
      <c r="G3" s="2496"/>
    </row>
    <row r="4" spans="1:9" ht="33">
      <c r="A4" s="2495" t="s">
        <v>976</v>
      </c>
      <c r="B4" s="2495" t="s">
        <v>977</v>
      </c>
      <c r="C4" s="2495" t="s">
        <v>978</v>
      </c>
      <c r="D4" s="2495" t="s">
        <v>979</v>
      </c>
      <c r="E4" s="1561"/>
      <c r="F4" s="2496"/>
      <c r="G4" s="2496"/>
    </row>
    <row r="5" spans="1:9" ht="16.5">
      <c r="A5" s="2495" t="s">
        <v>980</v>
      </c>
      <c r="B5" s="2495">
        <f ca="1">SUM(D14:D23)</f>
        <v>2940</v>
      </c>
      <c r="C5" s="2495">
        <f ca="1">ROUND(B5*10000/$B$1,0)</f>
        <v>38138</v>
      </c>
      <c r="D5" s="2495" t="e">
        <f ca="1">ROUND(B5*10000/$B$2,0)</f>
        <v>#DIV/0!</v>
      </c>
      <c r="E5" s="1561"/>
      <c r="F5" s="2496"/>
      <c r="G5" s="2496"/>
    </row>
    <row r="6" spans="1:9" ht="16.5">
      <c r="A6" s="2495" t="s">
        <v>981</v>
      </c>
      <c r="B6" s="2495">
        <f ca="1">SUM(G14:G23)</f>
        <v>2940</v>
      </c>
      <c r="C6" s="2495">
        <f t="shared" ref="C6:C8" ca="1" si="0">ROUND(B6*10000/$B$1,0)</f>
        <v>38138</v>
      </c>
      <c r="D6" s="2495" t="e">
        <f t="shared" ref="D6:D8" ca="1" si="1">ROUND(B6*10000/$B$2,0)</f>
        <v>#DIV/0!</v>
      </c>
      <c r="E6" s="1561"/>
      <c r="F6" s="2496"/>
      <c r="G6" s="2496"/>
    </row>
    <row r="7" spans="1:9" ht="16.5">
      <c r="A7" s="2495" t="s">
        <v>982</v>
      </c>
      <c r="B7" s="2495">
        <f>SUM(H14:H23)</f>
        <v>0</v>
      </c>
      <c r="C7" s="2495">
        <f>ROUND(B7*10000/$B$1,0)</f>
        <v>0</v>
      </c>
      <c r="D7" s="2495" t="e">
        <f t="shared" si="1"/>
        <v>#DIV/0!</v>
      </c>
      <c r="E7" s="1561"/>
      <c r="F7" s="2496"/>
      <c r="G7" s="2496"/>
    </row>
    <row r="8" spans="1:9" ht="16.5">
      <c r="A8" s="2495" t="s">
        <v>983</v>
      </c>
      <c r="B8" s="2495">
        <f>SUM(I14:I23)</f>
        <v>0</v>
      </c>
      <c r="C8" s="2495">
        <f t="shared" si="0"/>
        <v>0</v>
      </c>
      <c r="D8" s="2495" t="e">
        <f t="shared" si="1"/>
        <v>#DIV/0!</v>
      </c>
      <c r="E8" s="1561"/>
      <c r="F8" s="2496"/>
      <c r="G8" s="2496"/>
    </row>
    <row r="9" spans="1:9" ht="16.5">
      <c r="A9" s="2495" t="s">
        <v>984</v>
      </c>
      <c r="B9" s="2499"/>
      <c r="C9" s="1561"/>
      <c r="D9" s="1561"/>
      <c r="E9" s="1561"/>
      <c r="F9" s="2496"/>
      <c r="G9" s="2496"/>
    </row>
    <row r="10" spans="1:9" ht="16.5">
      <c r="A10" s="2495" t="s">
        <v>985</v>
      </c>
      <c r="B10" s="2499"/>
      <c r="C10" s="1561"/>
      <c r="D10" s="1561"/>
      <c r="E10" s="1561"/>
      <c r="F10" s="2496"/>
      <c r="G10" s="2496"/>
    </row>
    <row r="11" spans="1:9" ht="16.5">
      <c r="A11" s="2495" t="s">
        <v>1000</v>
      </c>
      <c r="B11" s="2499"/>
      <c r="C11" s="1561"/>
      <c r="D11" s="1561"/>
      <c r="E11" s="1561"/>
      <c r="F11" s="2496"/>
      <c r="G11" s="2496"/>
    </row>
    <row r="12" spans="1:9" ht="16.5">
      <c r="A12" s="1561"/>
      <c r="B12" s="1561"/>
      <c r="C12" s="1561"/>
      <c r="D12" s="1561"/>
      <c r="E12" s="1561"/>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770.88</v>
      </c>
      <c r="C14" s="2831">
        <f>项目基本情况!C13</f>
        <v>0</v>
      </c>
      <c r="D14" s="2831">
        <f ca="1">结果表!I102</f>
        <v>2940</v>
      </c>
      <c r="E14" s="2831">
        <f ca="1">结果表!I103</f>
        <v>38137</v>
      </c>
      <c r="F14" s="2831" t="e">
        <f ca="1">ROUND(D14*10000/C14,0)</f>
        <v>#DIV/0!</v>
      </c>
      <c r="G14" s="2831">
        <f ca="1">IF('数据-取费表'!B3="万元",IF(A14="估价对象1（结果表）",结果表!D125,'结果表 (1修多)'!D129),IF(A14="估价对象1（结果表）",结果表!D125,'结果表 (1修多)'!D129)/10000)</f>
        <v>2940</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6.5">
      <c r="A15" s="2502" t="s">
        <v>990</v>
      </c>
      <c r="B15" s="2503"/>
      <c r="C15" s="2503"/>
      <c r="D15" s="2503"/>
      <c r="E15" s="2831" t="e">
        <f t="shared" ref="E15:E23" si="2">ROUND(D15*10000/B15,0)</f>
        <v>#DIV/0!</v>
      </c>
      <c r="F15" s="2831" t="e">
        <f t="shared" ref="F15:F23" si="3">ROUND(D15*10000/C15,0)</f>
        <v>#DIV/0!</v>
      </c>
      <c r="G15" s="1232"/>
      <c r="H15" s="1232"/>
      <c r="I15" s="2503"/>
    </row>
    <row r="16" spans="1:9" ht="16.5">
      <c r="A16" s="2502" t="s">
        <v>991</v>
      </c>
      <c r="B16" s="2503"/>
      <c r="C16" s="2503"/>
      <c r="D16" s="2503"/>
      <c r="E16" s="2831" t="e">
        <f t="shared" si="2"/>
        <v>#DIV/0!</v>
      </c>
      <c r="F16" s="2831" t="e">
        <f t="shared" si="3"/>
        <v>#DIV/0!</v>
      </c>
      <c r="G16" s="1232"/>
      <c r="H16" s="1232"/>
      <c r="I16" s="2503"/>
    </row>
    <row r="17" spans="1:9" ht="16.5">
      <c r="A17" s="2502" t="s">
        <v>992</v>
      </c>
      <c r="B17" s="2503"/>
      <c r="C17" s="2503"/>
      <c r="D17" s="2503"/>
      <c r="E17" s="2831" t="e">
        <f t="shared" si="2"/>
        <v>#DIV/0!</v>
      </c>
      <c r="F17" s="2831" t="e">
        <f t="shared" si="3"/>
        <v>#DIV/0!</v>
      </c>
      <c r="G17" s="1232"/>
      <c r="H17" s="1232"/>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88" zoomScaleNormal="100" zoomScaleSheetLayoutView="100" zoomScalePageLayoutView="80" workbookViewId="0">
      <selection activeCell="H122" sqref="H122:I122"/>
    </sheetView>
  </sheetViews>
  <sheetFormatPr defaultColWidth="12.625" defaultRowHeight="21.75" customHeight="1"/>
  <cols>
    <col min="1" max="2" width="12.625" style="1389"/>
    <col min="3" max="4" width="12.625" style="1389" customWidth="1"/>
    <col min="5" max="9" width="12.625" style="1389"/>
    <col min="10" max="10" width="3.6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1" t="str">
        <f>项目基本情况!B1</f>
        <v>北京市房地产抵押价值预评估</v>
      </c>
      <c r="B2" s="3491"/>
      <c r="C2" s="3491"/>
      <c r="D2" s="3491"/>
      <c r="E2" s="3491"/>
      <c r="F2" s="3491"/>
      <c r="G2" s="3491"/>
      <c r="H2" s="3491"/>
      <c r="I2" s="3491"/>
      <c r="J2" s="2758"/>
    </row>
    <row r="3" spans="1:15" ht="12.75">
      <c r="A3" s="3496" t="s">
        <v>1471</v>
      </c>
      <c r="B3" s="3497"/>
      <c r="C3" s="3497"/>
      <c r="D3" s="3497"/>
      <c r="E3" s="3497"/>
      <c r="F3" s="3497"/>
      <c r="G3" s="3497"/>
      <c r="H3" s="3497"/>
      <c r="I3" s="3497"/>
      <c r="J3" s="2759"/>
    </row>
    <row r="4" spans="1:15" ht="14.25">
      <c r="A4" s="2627" t="s">
        <v>1472</v>
      </c>
      <c r="B4" s="2627" t="s">
        <v>1473</v>
      </c>
      <c r="C4" s="2628" t="s">
        <v>3077</v>
      </c>
      <c r="D4" s="2628" t="s">
        <v>3066</v>
      </c>
      <c r="E4" s="3493" t="s">
        <v>1474</v>
      </c>
      <c r="F4" s="3481"/>
      <c r="G4" s="3481"/>
      <c r="H4" s="3481"/>
      <c r="I4" s="3482"/>
      <c r="J4" s="2760"/>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2" t="s">
        <v>1475</v>
      </c>
      <c r="B5" s="3492">
        <v>25</v>
      </c>
      <c r="C5" s="3498"/>
      <c r="D5" s="3495"/>
      <c r="E5" s="12" t="s">
        <v>1476</v>
      </c>
      <c r="F5" s="2013"/>
      <c r="G5" s="2013"/>
      <c r="H5" s="2013"/>
      <c r="I5" s="2008"/>
      <c r="J5" s="2760"/>
    </row>
    <row r="6" spans="1:15" ht="12.75">
      <c r="A6" s="3492"/>
      <c r="B6" s="3492"/>
      <c r="C6" s="3499"/>
      <c r="D6" s="3495"/>
      <c r="E6" s="12" t="s">
        <v>1477</v>
      </c>
      <c r="F6" s="2013"/>
      <c r="G6" s="2013"/>
      <c r="H6" s="2013"/>
      <c r="I6" s="2008"/>
      <c r="J6" s="2760"/>
    </row>
    <row r="7" spans="1:15" ht="12.75">
      <c r="A7" s="3492"/>
      <c r="B7" s="3492"/>
      <c r="C7" s="3500"/>
      <c r="D7" s="3495"/>
      <c r="E7" s="12" t="s">
        <v>1478</v>
      </c>
      <c r="F7" s="2013"/>
      <c r="G7" s="2013"/>
      <c r="H7" s="2013"/>
      <c r="I7" s="2008"/>
      <c r="J7" s="2760"/>
    </row>
    <row r="8" spans="1:15" ht="12.75">
      <c r="A8" s="3492" t="s">
        <v>1479</v>
      </c>
      <c r="B8" s="3492">
        <v>15</v>
      </c>
      <c r="C8" s="3498"/>
      <c r="D8" s="3495"/>
      <c r="E8" s="12" t="s">
        <v>1480</v>
      </c>
      <c r="F8" s="2013"/>
      <c r="G8" s="2013"/>
      <c r="H8" s="2013"/>
      <c r="I8" s="2008"/>
      <c r="J8" s="2760"/>
    </row>
    <row r="9" spans="1:15" ht="12.75">
      <c r="A9" s="3492"/>
      <c r="B9" s="3492"/>
      <c r="C9" s="3500"/>
      <c r="D9" s="3495"/>
      <c r="E9" s="12" t="s">
        <v>1481</v>
      </c>
      <c r="F9" s="2013"/>
      <c r="G9" s="2013"/>
      <c r="H9" s="2013"/>
      <c r="I9" s="2008"/>
      <c r="J9" s="2760"/>
    </row>
    <row r="10" spans="1:15" ht="12.75">
      <c r="A10" s="3492" t="s">
        <v>1482</v>
      </c>
      <c r="B10" s="3492">
        <v>15</v>
      </c>
      <c r="C10" s="3498"/>
      <c r="D10" s="3495"/>
      <c r="E10" s="12" t="s">
        <v>1483</v>
      </c>
      <c r="F10" s="2013"/>
      <c r="G10" s="2013"/>
      <c r="H10" s="2013"/>
      <c r="I10" s="2008"/>
      <c r="J10" s="2760"/>
    </row>
    <row r="11" spans="1:15" ht="12.75">
      <c r="A11" s="3492"/>
      <c r="B11" s="3492"/>
      <c r="C11" s="3500"/>
      <c r="D11" s="3495"/>
      <c r="E11" s="12" t="s">
        <v>1484</v>
      </c>
      <c r="F11" s="2013"/>
      <c r="G11" s="2013"/>
      <c r="H11" s="2013"/>
      <c r="I11" s="2008"/>
      <c r="J11" s="2760"/>
    </row>
    <row r="12" spans="1:15" ht="12.75">
      <c r="A12" s="3492" t="s">
        <v>1485</v>
      </c>
      <c r="B12" s="3492">
        <v>15</v>
      </c>
      <c r="C12" s="3498"/>
      <c r="D12" s="3495"/>
      <c r="E12" s="12" t="s">
        <v>1486</v>
      </c>
      <c r="F12" s="2013"/>
      <c r="G12" s="2013"/>
      <c r="H12" s="2013"/>
      <c r="I12" s="2008"/>
      <c r="J12" s="2760"/>
    </row>
    <row r="13" spans="1:15" ht="12.75">
      <c r="A13" s="3492"/>
      <c r="B13" s="3492"/>
      <c r="C13" s="3500"/>
      <c r="D13" s="3495"/>
      <c r="E13" s="12" t="s">
        <v>1487</v>
      </c>
      <c r="F13" s="2013"/>
      <c r="G13" s="2013"/>
      <c r="H13" s="2013"/>
      <c r="I13" s="2008"/>
      <c r="J13" s="2760"/>
    </row>
    <row r="14" spans="1:15" ht="12.75">
      <c r="A14" s="3492" t="s">
        <v>1488</v>
      </c>
      <c r="B14" s="3492">
        <v>30</v>
      </c>
      <c r="C14" s="3498">
        <v>6</v>
      </c>
      <c r="D14" s="3495">
        <v>4</v>
      </c>
      <c r="E14" s="12" t="s">
        <v>1489</v>
      </c>
      <c r="F14" s="2013"/>
      <c r="G14" s="2013"/>
      <c r="H14" s="2013"/>
      <c r="I14" s="2008"/>
      <c r="J14" s="2760"/>
    </row>
    <row r="15" spans="1:15" ht="12.75">
      <c r="A15" s="3492"/>
      <c r="B15" s="3492"/>
      <c r="C15" s="3499"/>
      <c r="D15" s="3495"/>
      <c r="E15" s="12" t="s">
        <v>1490</v>
      </c>
      <c r="F15" s="2013"/>
      <c r="G15" s="2013"/>
      <c r="H15" s="2013"/>
      <c r="I15" s="2008"/>
      <c r="J15" s="2760"/>
    </row>
    <row r="16" spans="1:15" ht="12.75">
      <c r="A16" s="3492"/>
      <c r="B16" s="3492"/>
      <c r="C16" s="3500"/>
      <c r="D16" s="3495"/>
      <c r="E16" s="12" t="s">
        <v>1491</v>
      </c>
      <c r="F16" s="2013"/>
      <c r="G16" s="2013"/>
      <c r="H16" s="2013"/>
      <c r="I16" s="2008"/>
      <c r="J16" s="2760"/>
    </row>
    <row r="17" spans="1:36" ht="15">
      <c r="A17" s="2629" t="s">
        <v>1492</v>
      </c>
      <c r="B17" s="2018"/>
      <c r="C17" s="2630">
        <f>SUM(C5:C16)</f>
        <v>6</v>
      </c>
      <c r="D17" s="2630">
        <f>SUM(D5:D16)</f>
        <v>4</v>
      </c>
      <c r="E17" s="2477"/>
      <c r="F17" s="2477"/>
      <c r="G17" s="2477"/>
      <c r="H17" s="2477"/>
      <c r="I17" s="2477"/>
      <c r="J17" s="2761"/>
    </row>
    <row r="18" spans="1:36" ht="30" customHeight="1" thickBot="1">
      <c r="A18" s="2631" t="s">
        <v>1493</v>
      </c>
      <c r="B18" s="2632"/>
      <c r="C18" s="2633">
        <f>ROUND(C17/SUM(C17:D17),2)</f>
        <v>0.6</v>
      </c>
      <c r="D18" s="2633">
        <f>1-C18</f>
        <v>0.4</v>
      </c>
      <c r="E18" s="3512" t="s">
        <v>2576</v>
      </c>
      <c r="F18" s="3513"/>
      <c r="G18" s="3513"/>
      <c r="H18" s="3513"/>
      <c r="I18" s="3513"/>
      <c r="J18" s="2761"/>
    </row>
    <row r="19" spans="1:36" ht="15">
      <c r="A19" s="2634" t="s">
        <v>1494</v>
      </c>
      <c r="B19" s="2635" t="s">
        <v>1495</v>
      </c>
      <c r="C19" s="2636">
        <f ca="1">SUMIF(INDIRECT("'"&amp;C4&amp;"'"&amp;"!A:A"),结果表!B19,INDIRECT("'"&amp;C4&amp;"'"&amp;"!B:B"))</f>
        <v>2128</v>
      </c>
      <c r="D19" s="2637">
        <f ca="1">SUMIF(INDIRECT("'"&amp;D4&amp;"'"&amp;"!A:A"),结果表!B19,INDIRECT("'"&amp;D4&amp;"'"&amp;"!B:B"))</f>
        <v>1651</v>
      </c>
      <c r="E19" s="2634" t="s">
        <v>1496</v>
      </c>
      <c r="F19" s="2635" t="s">
        <v>1495</v>
      </c>
      <c r="G19" s="2638">
        <f ca="1">ROUND(C19*$C$18+D19*$D$18,0)</f>
        <v>1937</v>
      </c>
      <c r="H19" s="2639" t="str">
        <f>'数据-取费表'!B3</f>
        <v>万元</v>
      </c>
      <c r="I19" s="2687"/>
      <c r="J19" s="2762"/>
    </row>
    <row r="20" spans="1:36" ht="15">
      <c r="A20" s="2640"/>
      <c r="B20" s="1621" t="s">
        <v>1497</v>
      </c>
      <c r="C20" s="1843">
        <f ca="1">SUMIF(INDIRECT("'"&amp;C4&amp;"'"&amp;"!A:A"),结果表!B20,INDIRECT("'"&amp;C4&amp;"'"&amp;"!B:B"))</f>
        <v>41889</v>
      </c>
      <c r="D20" s="1846">
        <f ca="1">SUMIF(INDIRECT("'"&amp;D4&amp;"'"&amp;"!A:A"),结果表!B20,INDIRECT("'"&amp;D4&amp;"'"&amp;"!B:B"))</f>
        <v>32509</v>
      </c>
      <c r="E20" s="2640"/>
      <c r="F20" s="1621" t="s">
        <v>1497</v>
      </c>
      <c r="G20" s="2017">
        <f ca="1">ROUND(C20*$C$18+D20*$D$18,0)</f>
        <v>38137</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0.28891580860084787</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501" t="s">
        <v>1500</v>
      </c>
      <c r="B24" s="2635" t="s">
        <v>1495</v>
      </c>
      <c r="C24" s="2638">
        <f>D30</f>
        <v>0</v>
      </c>
      <c r="D24" s="2590"/>
      <c r="E24" s="904"/>
      <c r="F24" s="904"/>
      <c r="G24" s="904"/>
      <c r="H24" s="904"/>
      <c r="I24" s="904"/>
      <c r="J24" s="2761"/>
    </row>
    <row r="25" spans="1:36" ht="21.75" customHeight="1">
      <c r="A25" s="3502"/>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c r="B27" s="2653">
        <v>0</v>
      </c>
      <c r="C27" s="2653">
        <v>0</v>
      </c>
      <c r="D27" s="2654">
        <f>ROUND(C27*B27/10000,0)</f>
        <v>0</v>
      </c>
      <c r="E27" s="904"/>
      <c r="F27" s="904"/>
      <c r="G27" s="904"/>
      <c r="H27" s="904"/>
      <c r="I27" s="904"/>
      <c r="J27" s="2761"/>
    </row>
    <row r="28" spans="1:36" ht="14.25">
      <c r="A28" s="2652"/>
      <c r="B28" s="2653"/>
      <c r="C28" s="2653"/>
      <c r="D28" s="2654">
        <f t="shared" ref="D28:D29" si="0">ROUND(C28*B28/10000,0)</f>
        <v>0</v>
      </c>
      <c r="E28" s="904"/>
      <c r="F28" s="904"/>
      <c r="G28" s="904"/>
      <c r="H28" s="904"/>
      <c r="I28" s="904"/>
      <c r="J28" s="2761"/>
    </row>
    <row r="29" spans="1:36" ht="14.25">
      <c r="A29" s="2652"/>
      <c r="B29" s="2653"/>
      <c r="C29" s="2653"/>
      <c r="D29" s="2654">
        <f t="shared" si="0"/>
        <v>0</v>
      </c>
      <c r="E29" s="904"/>
      <c r="F29" s="904"/>
      <c r="G29" s="904"/>
      <c r="H29" s="904"/>
      <c r="I29" s="904"/>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38137</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4"/>
      <c r="H33" s="904"/>
      <c r="I33" s="904"/>
      <c r="J33" s="2761"/>
    </row>
    <row r="34" spans="1:17" ht="15">
      <c r="A34" s="1393"/>
      <c r="B34" s="2662" t="s">
        <v>1509</v>
      </c>
      <c r="C34" s="2663">
        <f ca="1">IF(D33="自定义",F34,C32-C35)</f>
        <v>32264</v>
      </c>
      <c r="D34" s="2664">
        <f ca="1">IF(D33="自定义",ROUND(C34/C32,3),1-D35)</f>
        <v>0.84599999999999997</v>
      </c>
      <c r="E34" s="1362" t="s">
        <v>1510</v>
      </c>
      <c r="F34" s="2665">
        <v>2000</v>
      </c>
      <c r="G34" s="904"/>
      <c r="H34" s="904"/>
      <c r="I34" s="904"/>
      <c r="J34" s="2761"/>
    </row>
    <row r="35" spans="1:17" ht="15.75" thickBot="1">
      <c r="A35" s="1394"/>
      <c r="B35" s="2666" t="s">
        <v>1511</v>
      </c>
      <c r="C35" s="2667">
        <f ca="1">IF(D33="自定义",F35,ROUND(C32*D35,0))</f>
        <v>5873</v>
      </c>
      <c r="D35" s="2668">
        <f ca="1">IF(D33="自定义",ROUND(C35/C32,3),IF(D33="成本法成本比率",成本法!C56,IF(D33="收益法收益比率",收益法!J38,收益法!J41)))</f>
        <v>0.154</v>
      </c>
      <c r="E35" s="2669" t="s">
        <v>1512</v>
      </c>
      <c r="F35" s="2670">
        <v>4460</v>
      </c>
      <c r="G35" s="904"/>
      <c r="H35" s="904"/>
      <c r="I35" s="904"/>
      <c r="J35" s="2761"/>
    </row>
    <row r="36" spans="1:17" ht="15.75" thickBot="1">
      <c r="A36" s="3501" t="s">
        <v>1513</v>
      </c>
      <c r="B36" s="1395" t="s">
        <v>1514</v>
      </c>
      <c r="C36" s="2671">
        <v>0</v>
      </c>
      <c r="D36" s="2672"/>
      <c r="E36" s="1607"/>
      <c r="F36" s="1607"/>
      <c r="G36" s="904"/>
      <c r="H36" s="904"/>
      <c r="I36" s="904"/>
      <c r="J36" s="2761"/>
    </row>
    <row r="37" spans="1:17" ht="15.75" thickBot="1">
      <c r="A37" s="3506"/>
      <c r="B37" s="2018" t="s">
        <v>1515</v>
      </c>
      <c r="C37" s="2673">
        <v>0</v>
      </c>
      <c r="D37" s="1238"/>
      <c r="E37" s="1238"/>
      <c r="F37" s="1607"/>
      <c r="G37" s="1238"/>
      <c r="H37" s="1238"/>
      <c r="I37" s="1238"/>
      <c r="J37" s="2765"/>
    </row>
    <row r="38" spans="1:17" ht="15.75" thickBot="1">
      <c r="A38" s="3507"/>
      <c r="B38" s="1396" t="s">
        <v>1516</v>
      </c>
      <c r="C38" s="2674">
        <v>0</v>
      </c>
      <c r="D38" s="2675" t="s">
        <v>1517</v>
      </c>
      <c r="E38" s="1238"/>
      <c r="F38" s="1607"/>
      <c r="G38" s="1238"/>
      <c r="H38" s="1238"/>
      <c r="I38" s="1238"/>
      <c r="J38" s="2765"/>
    </row>
    <row r="39" spans="1:17" ht="15">
      <c r="A39" s="2640" t="s">
        <v>1518</v>
      </c>
      <c r="B39" s="2676" t="s">
        <v>1502</v>
      </c>
      <c r="C39" s="2677" t="s">
        <v>1503</v>
      </c>
      <c r="D39" s="2677" t="s">
        <v>1519</v>
      </c>
      <c r="E39" s="2678" t="s">
        <v>1504</v>
      </c>
      <c r="F39" s="1607"/>
      <c r="G39" s="1238"/>
      <c r="H39" s="1238"/>
      <c r="I39" s="1238"/>
      <c r="J39" s="2765"/>
    </row>
    <row r="40" spans="1:17" ht="14.25">
      <c r="A40" s="2679" t="s">
        <v>1520</v>
      </c>
      <c r="B40" s="2680"/>
      <c r="C40" s="2681"/>
      <c r="D40" s="2681"/>
      <c r="E40" s="2682"/>
      <c r="F40" s="1607"/>
      <c r="G40" s="1238"/>
      <c r="H40" s="1238"/>
      <c r="I40" s="1238"/>
      <c r="J40" s="2765"/>
    </row>
    <row r="41" spans="1:17" ht="14.25">
      <c r="A41" s="2679" t="s">
        <v>1521</v>
      </c>
      <c r="B41" s="2680"/>
      <c r="C41" s="2681"/>
      <c r="D41" s="2681"/>
      <c r="E41" s="2682"/>
      <c r="F41" s="1607"/>
      <c r="G41" s="1238"/>
      <c r="H41" s="1238"/>
      <c r="I41" s="1238"/>
      <c r="J41" s="2765"/>
    </row>
    <row r="42" spans="1:17" ht="15" thickBot="1">
      <c r="A42" s="2683"/>
      <c r="B42" s="2684"/>
      <c r="C42" s="2685"/>
      <c r="D42" s="2685"/>
      <c r="E42" s="2670"/>
      <c r="F42" s="1607"/>
      <c r="G42" s="1238"/>
      <c r="H42" s="1238"/>
      <c r="I42" s="1238"/>
      <c r="J42" s="2765"/>
    </row>
    <row r="43" spans="1:17" ht="12.75">
      <c r="A43" s="2891"/>
      <c r="B43" s="2891"/>
      <c r="C43" s="2891"/>
      <c r="D43" s="2891"/>
      <c r="E43" s="2891"/>
      <c r="F43" s="2890"/>
      <c r="G43" s="2890"/>
      <c r="H43" s="2890"/>
      <c r="I43" s="2577"/>
      <c r="J43" s="2766"/>
    </row>
    <row r="44" spans="1:17" ht="18.75">
      <c r="A44" s="1398" t="s">
        <v>1522</v>
      </c>
      <c r="B44" s="1399"/>
      <c r="C44" s="1399"/>
      <c r="D44" s="1400"/>
      <c r="E44" s="1400"/>
      <c r="F44" s="1401"/>
      <c r="G44" s="1401"/>
      <c r="H44" s="1401"/>
      <c r="I44" s="2755" t="s">
        <v>2575</v>
      </c>
      <c r="J44" s="2767"/>
      <c r="K44" s="1402" t="s">
        <v>1523</v>
      </c>
      <c r="L44" s="1403"/>
      <c r="M44" s="1403"/>
      <c r="N44" s="1403"/>
      <c r="O44" s="1403"/>
      <c r="P44" s="1403"/>
      <c r="Q44" s="1235"/>
    </row>
    <row r="45" spans="1:17" ht="14.25" customHeight="1" thickBot="1">
      <c r="A45" s="3426" t="s">
        <v>1524</v>
      </c>
      <c r="B45" s="3427"/>
      <c r="C45" s="3437"/>
      <c r="D45" s="246">
        <f ca="1">ROUND(I102*F45,0)</f>
        <v>2940</v>
      </c>
      <c r="E45" s="1469" t="s">
        <v>1525</v>
      </c>
      <c r="F45" s="2475">
        <v>1</v>
      </c>
      <c r="G45" s="2476" t="s">
        <v>1526</v>
      </c>
      <c r="H45" s="904"/>
      <c r="I45" s="904"/>
      <c r="J45" s="2761"/>
      <c r="K45" s="3432" t="s">
        <v>2505</v>
      </c>
      <c r="L45" s="3432"/>
      <c r="M45" s="3432"/>
      <c r="N45" s="3432"/>
      <c r="O45" s="3432"/>
      <c r="P45" s="3432"/>
      <c r="Q45" s="1235"/>
    </row>
    <row r="46" spans="1:17" ht="14.25" customHeight="1">
      <c r="A46" s="3503" t="s">
        <v>1528</v>
      </c>
      <c r="B46" s="3504"/>
      <c r="C46" s="3504"/>
      <c r="D46" s="3504"/>
      <c r="E46" s="3504"/>
      <c r="F46" s="3504"/>
      <c r="G46" s="3505"/>
      <c r="H46" s="2893"/>
      <c r="I46" s="904"/>
      <c r="J46" s="2761"/>
      <c r="K46" s="2450">
        <v>1</v>
      </c>
      <c r="L46" s="3433" t="s">
        <v>2506</v>
      </c>
      <c r="M46" s="3433"/>
      <c r="N46" s="3434" t="str">
        <f>项目基本情况!B1</f>
        <v>北京市房地产抵押价值预评估</v>
      </c>
      <c r="O46" s="3434"/>
      <c r="P46" s="3434"/>
      <c r="Q46" s="1235"/>
    </row>
    <row r="47" spans="1:17" ht="12" customHeight="1">
      <c r="A47" s="38" t="s">
        <v>1530</v>
      </c>
      <c r="B47" s="39"/>
      <c r="C47" s="40"/>
      <c r="D47" s="1027" t="s">
        <v>1531</v>
      </c>
      <c r="E47" s="235" t="s">
        <v>1532</v>
      </c>
      <c r="F47" s="41" t="s">
        <v>1533</v>
      </c>
      <c r="G47" s="2478" t="s">
        <v>1534</v>
      </c>
      <c r="H47" s="2893"/>
      <c r="I47" s="904"/>
      <c r="J47" s="2761"/>
      <c r="K47" s="2450">
        <v>2</v>
      </c>
      <c r="L47" s="3433" t="s">
        <v>2507</v>
      </c>
      <c r="M47" s="3433"/>
      <c r="N47" s="3435">
        <f>'数据-取费表'!B2</f>
        <v>44858</v>
      </c>
      <c r="O47" s="3435"/>
      <c r="P47" s="3435"/>
      <c r="Q47" s="1235"/>
    </row>
    <row r="48" spans="1:17" ht="25.5">
      <c r="A48" s="3508" t="s">
        <v>1536</v>
      </c>
      <c r="B48" s="3442"/>
      <c r="C48" s="3442"/>
      <c r="D48" s="12">
        <f ca="1">IF(H48="情况1",0,IF(H48="情况2",D52,IF(H48="情况3",D53,IF(H48="情况4",D54))))</f>
        <v>157</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433" t="s">
        <v>2508</v>
      </c>
      <c r="M48" s="3433"/>
      <c r="N48" s="3434">
        <f ca="1">I102</f>
        <v>2940</v>
      </c>
      <c r="O48" s="3434"/>
      <c r="P48" s="3434"/>
      <c r="Q48" s="1235"/>
    </row>
    <row r="49" spans="1:17" ht="25.5" customHeight="1">
      <c r="A49" s="2015" t="s">
        <v>1540</v>
      </c>
      <c r="B49" s="3481" t="s">
        <v>1541</v>
      </c>
      <c r="C49" s="3481"/>
      <c r="D49" s="2482">
        <v>0</v>
      </c>
      <c r="E49" s="261" t="s">
        <v>1542</v>
      </c>
      <c r="F49" s="2483" t="s">
        <v>48</v>
      </c>
      <c r="G49" s="3423"/>
      <c r="H49" s="2484" t="s">
        <v>2582</v>
      </c>
      <c r="I49" s="2485"/>
      <c r="J49" s="2769"/>
      <c r="K49" s="2450">
        <v>4</v>
      </c>
      <c r="L49" s="3433" t="str">
        <f>IF(项目基本情况!F5="房地产抵押价值","房地产抵押价值","抵押担保权已注销时的房地产抵押价值")</f>
        <v>房地产抵押价值</v>
      </c>
      <c r="M49" s="3433"/>
      <c r="N49" s="3434">
        <f ca="1">IF(项目基本情况!F5="房地产抵押价值",I110,I112)</f>
        <v>2940</v>
      </c>
      <c r="O49" s="3434"/>
      <c r="P49" s="3434"/>
      <c r="Q49" s="1235"/>
    </row>
    <row r="50" spans="1:17" ht="25.5" customHeight="1">
      <c r="A50" s="2005"/>
      <c r="B50" s="3481" t="s">
        <v>1543</v>
      </c>
      <c r="C50" s="3481"/>
      <c r="D50" s="2486"/>
      <c r="E50" s="269"/>
      <c r="F50" s="2483"/>
      <c r="G50" s="3424"/>
      <c r="H50" s="2487" t="s">
        <v>2501</v>
      </c>
      <c r="I50" s="2485"/>
      <c r="J50" s="2769"/>
      <c r="K50" s="3433" t="s">
        <v>2509</v>
      </c>
      <c r="L50" s="3433"/>
      <c r="M50" s="3433"/>
      <c r="N50" s="3433"/>
      <c r="O50" s="3433"/>
      <c r="P50" s="3433"/>
      <c r="Q50" s="1235"/>
    </row>
    <row r="51" spans="1:17" ht="20.45" customHeight="1">
      <c r="A51" s="2488"/>
      <c r="B51" s="3481" t="s">
        <v>1545</v>
      </c>
      <c r="C51" s="3481"/>
      <c r="D51" s="1027"/>
      <c r="E51" s="264"/>
      <c r="F51" s="2483"/>
      <c r="G51" s="3425"/>
      <c r="H51" s="2487" t="s">
        <v>2502</v>
      </c>
      <c r="I51" s="2485"/>
      <c r="J51" s="2769"/>
      <c r="K51" s="2451" t="s">
        <v>2510</v>
      </c>
      <c r="L51" s="3433" t="s">
        <v>2511</v>
      </c>
      <c r="M51" s="3433"/>
      <c r="N51" s="2451" t="s">
        <v>2512</v>
      </c>
      <c r="O51" s="2451" t="s">
        <v>2513</v>
      </c>
      <c r="P51" s="2451" t="s">
        <v>2514</v>
      </c>
      <c r="Q51" s="1235"/>
    </row>
    <row r="52" spans="1:17" ht="24" customHeight="1">
      <c r="A52" s="2006" t="s">
        <v>1551</v>
      </c>
      <c r="B52" s="3481" t="s">
        <v>1552</v>
      </c>
      <c r="C52" s="3481"/>
      <c r="D52" s="1027">
        <f ca="1">ROUND(D45*'数据-取费表'!E29/(1+'数据-取费表'!F30),0)</f>
        <v>157</v>
      </c>
      <c r="E52" s="2016" t="s">
        <v>1553</v>
      </c>
      <c r="F52" s="2489">
        <f>'数据-取费表'!E29</f>
        <v>5.6000000000000001E-2</v>
      </c>
      <c r="G52" s="2490"/>
      <c r="H52" s="904"/>
      <c r="I52" s="2894"/>
      <c r="J52" s="2769"/>
      <c r="K52" s="2450">
        <v>1</v>
      </c>
      <c r="L52" s="3422" t="s">
        <v>2515</v>
      </c>
      <c r="M52" s="3422"/>
      <c r="N52" s="2452">
        <f ca="1">D48</f>
        <v>157</v>
      </c>
      <c r="O52" s="2450" t="str">
        <f>E48</f>
        <v>销售额×税（费）率</v>
      </c>
      <c r="P52" s="2453">
        <f>F48</f>
        <v>5.6000000000000001E-2</v>
      </c>
      <c r="Q52" s="1235"/>
    </row>
    <row r="53" spans="1:17" ht="12" customHeight="1">
      <c r="A53" s="2006" t="s">
        <v>1555</v>
      </c>
      <c r="B53" s="3493" t="s">
        <v>2593</v>
      </c>
      <c r="C53" s="3482"/>
      <c r="D53" s="1027">
        <f ca="1">ROUND(D45*'数据-取费表'!E29/(1+'数据-取费表'!F30),0)</f>
        <v>157</v>
      </c>
      <c r="E53" s="2016" t="s">
        <v>1553</v>
      </c>
      <c r="F53" s="2489">
        <f>'数据-取费表'!E29</f>
        <v>5.6000000000000001E-2</v>
      </c>
      <c r="G53" s="2490"/>
      <c r="H53" s="904"/>
      <c r="I53" s="2894"/>
      <c r="J53" s="2769"/>
      <c r="K53" s="2450">
        <v>2</v>
      </c>
      <c r="L53" s="3422" t="s">
        <v>2516</v>
      </c>
      <c r="M53" s="3422"/>
      <c r="N53" s="2452">
        <f t="shared" ref="N53:P54" si="1">D55</f>
        <v>0</v>
      </c>
      <c r="O53" s="2450" t="str">
        <f t="shared" si="1"/>
        <v>销售额×税（费）率</v>
      </c>
      <c r="P53" s="2453" t="str">
        <f t="shared" si="1"/>
        <v>免征</v>
      </c>
      <c r="Q53" s="1235"/>
    </row>
    <row r="54" spans="1:17" ht="12" customHeight="1">
      <c r="A54" s="2006" t="s">
        <v>1557</v>
      </c>
      <c r="B54" s="3493" t="s">
        <v>2594</v>
      </c>
      <c r="C54" s="3482"/>
      <c r="D54" s="1027">
        <f ca="1">C68</f>
        <v>157</v>
      </c>
      <c r="E54" s="264" t="s">
        <v>1558</v>
      </c>
      <c r="F54" s="2489">
        <f>'数据-取费表'!E29</f>
        <v>5.6000000000000001E-2</v>
      </c>
      <c r="G54" s="2490"/>
      <c r="H54" s="2895"/>
      <c r="I54" s="2894"/>
      <c r="J54" s="2769"/>
      <c r="K54" s="2450">
        <v>3</v>
      </c>
      <c r="L54" s="3422" t="s">
        <v>2517</v>
      </c>
      <c r="M54" s="3422"/>
      <c r="N54" s="2452">
        <f t="shared" si="1"/>
        <v>0</v>
      </c>
      <c r="O54" s="2450" t="str">
        <f t="shared" si="1"/>
        <v>增值额×税（费）率</v>
      </c>
      <c r="P54" s="2454" t="str">
        <f t="shared" si="1"/>
        <v>免征</v>
      </c>
      <c r="Q54" s="1235"/>
    </row>
    <row r="55" spans="1:17" ht="24" customHeight="1">
      <c r="A55" s="3446" t="s">
        <v>1560</v>
      </c>
      <c r="B55" s="3442"/>
      <c r="C55" s="3442"/>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422" t="str">
        <f>IF(H59="非个人房产","——","个人所得税")</f>
        <v>——</v>
      </c>
      <c r="M55" s="3422"/>
      <c r="N55" s="2455" t="str">
        <f>D59</f>
        <v>——</v>
      </c>
      <c r="O55" s="2456" t="str">
        <f>E59</f>
        <v>——</v>
      </c>
      <c r="P55" s="2457" t="str">
        <f>F59</f>
        <v>——</v>
      </c>
      <c r="Q55" s="1235"/>
    </row>
    <row r="56" spans="1:17" ht="24.75">
      <c r="A56" s="3446" t="s">
        <v>1563</v>
      </c>
      <c r="B56" s="3442"/>
      <c r="C56" s="3442"/>
      <c r="D56" s="12">
        <f>IF(H56="个人住宅",D57,D58)</f>
        <v>0</v>
      </c>
      <c r="E56" s="2016" t="s">
        <v>1564</v>
      </c>
      <c r="F56" s="2489" t="str">
        <f>IF(H56="正常",F58,"免征")</f>
        <v>免征</v>
      </c>
      <c r="G56" s="2491" t="s">
        <v>1565</v>
      </c>
      <c r="H56" s="2492" t="s">
        <v>2498</v>
      </c>
      <c r="I56" s="2896"/>
      <c r="J56" s="2769"/>
      <c r="K56" s="2450" t="str">
        <f>IF(项目基本情况!I6="上海银行",IF(K55="",4,K55+1),"")</f>
        <v/>
      </c>
      <c r="L56" s="3420" t="str">
        <f>IF(项目基本情况!I6="上海银行","其他处置费用","")</f>
        <v/>
      </c>
      <c r="M56" s="3440"/>
      <c r="N56" s="2452" t="str">
        <f>IF(项目基本情况!I6="上海银行",N69,"")</f>
        <v/>
      </c>
      <c r="O56" s="3420" t="str">
        <f>IF(项目基本情况!I6="上海银行","包含处置中涉及的律师、诉讼、拍卖、评估等费用","")</f>
        <v/>
      </c>
      <c r="P56" s="3421"/>
      <c r="Q56" s="1235"/>
    </row>
    <row r="57" spans="1:17" ht="12.75">
      <c r="A57" s="2006" t="s">
        <v>1540</v>
      </c>
      <c r="B57" s="3493" t="s">
        <v>1566</v>
      </c>
      <c r="C57" s="3482"/>
      <c r="D57" s="2482">
        <v>0</v>
      </c>
      <c r="E57" s="261" t="s">
        <v>1542</v>
      </c>
      <c r="F57" s="235"/>
      <c r="G57" s="2490"/>
      <c r="H57" s="2896"/>
      <c r="I57" s="2896"/>
      <c r="J57" s="2769"/>
      <c r="K57" s="3422">
        <f>IF(AND(K55="",K56=""),4,IF(项目基本情况!I6="上海银行",K56+1,K55+1))</f>
        <v>4</v>
      </c>
      <c r="L57" s="3422" t="s">
        <v>2518</v>
      </c>
      <c r="M57" s="2458" t="s">
        <v>2519</v>
      </c>
      <c r="N57" s="2459"/>
      <c r="O57" s="2460">
        <f ca="1">SUMIF(N52:N56,"&lt;9e307")</f>
        <v>157</v>
      </c>
      <c r="P57" s="2461"/>
      <c r="Q57" s="1233">
        <f ca="1">O57/N49</f>
        <v>5.3401360544217687E-2</v>
      </c>
    </row>
    <row r="58" spans="1:17" ht="24.75">
      <c r="A58" s="2006" t="s">
        <v>1551</v>
      </c>
      <c r="B58" s="3493" t="s">
        <v>1569</v>
      </c>
      <c r="C58" s="3481"/>
      <c r="D58" s="12">
        <f ca="1">IF(H58="转让取得",C81,C97)</f>
        <v>1664</v>
      </c>
      <c r="E58" s="2016" t="s">
        <v>1564</v>
      </c>
      <c r="F58" s="235" t="s">
        <v>48</v>
      </c>
      <c r="G58" s="2490"/>
      <c r="H58" s="2492" t="s">
        <v>1570</v>
      </c>
      <c r="I58" s="2896"/>
      <c r="J58" s="2769"/>
      <c r="K58" s="3422"/>
      <c r="L58" s="3422"/>
      <c r="M58" s="2458" t="s">
        <v>2520</v>
      </c>
      <c r="N58" s="2462"/>
      <c r="O58" s="2463" t="str">
        <f ca="1">IF(H19="元",NUMBERSTRING(INT(O57),2)&amp;"元整",NUMBERSTRING(INT(O57*10000),2)&amp;"元整")</f>
        <v>壹佰伍拾柒万元整</v>
      </c>
      <c r="P58" s="2464"/>
      <c r="Q58" s="1235"/>
    </row>
    <row r="59" spans="1:17" ht="24.75" thickBot="1">
      <c r="A59" s="3509" t="s">
        <v>1572</v>
      </c>
      <c r="B59" s="3510"/>
      <c r="C59" s="3510"/>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475">
        <f>K57+1</f>
        <v>5</v>
      </c>
      <c r="L59" s="3422" t="s">
        <v>2521</v>
      </c>
      <c r="M59" s="2450" t="s">
        <v>2519</v>
      </c>
      <c r="N59" s="2465"/>
      <c r="O59" s="2466">
        <f ca="1">N49-O57</f>
        <v>2783</v>
      </c>
      <c r="P59" s="2467"/>
      <c r="Q59" s="1235"/>
    </row>
    <row r="60" spans="1:17" ht="12" customHeight="1">
      <c r="A60" s="1384"/>
      <c r="B60" s="1388"/>
      <c r="C60" s="1388"/>
      <c r="D60" s="1388"/>
      <c r="E60" s="769"/>
      <c r="F60" s="2897"/>
      <c r="G60" s="2897"/>
      <c r="H60" s="2898"/>
      <c r="I60" s="31"/>
      <c r="K60" s="3476"/>
      <c r="L60" s="3422"/>
      <c r="M60" s="2458" t="s">
        <v>2520</v>
      </c>
      <c r="N60" s="2462"/>
      <c r="O60" s="2463" t="str">
        <f ca="1">IF(H19="元",NUMBERSTRING(INT(O59),2)&amp;"元整",NUMBERSTRING(INT(O59*10000),2)&amp;"元整")</f>
        <v>贰仟柒佰捌拾叁万元整</v>
      </c>
      <c r="P60" s="2464"/>
      <c r="Q60" s="1235"/>
    </row>
    <row r="61" spans="1:17" ht="13.5" thickBot="1">
      <c r="A61" s="3511" t="s">
        <v>1574</v>
      </c>
      <c r="B61" s="3511"/>
      <c r="C61" s="3511"/>
      <c r="D61" s="3511"/>
      <c r="E61" s="3511"/>
      <c r="F61" s="2897"/>
      <c r="G61" s="2897"/>
      <c r="H61" s="2899"/>
      <c r="I61" s="31"/>
      <c r="K61" s="2450">
        <f>K59+1</f>
        <v>6</v>
      </c>
      <c r="L61" s="3422" t="s">
        <v>2522</v>
      </c>
      <c r="M61" s="3422"/>
      <c r="N61" s="2468"/>
      <c r="O61" s="2469">
        <f ca="1">IF(H19="元",ROUND(O59/项目基本情况!C12,0),ROUND(O59*10000/项目基本情况!C12,0))</f>
        <v>36102</v>
      </c>
      <c r="P61" s="2470"/>
      <c r="Q61" s="1235"/>
    </row>
    <row r="62" spans="1:17" ht="12.75">
      <c r="A62" s="3460" t="s">
        <v>1576</v>
      </c>
      <c r="B62" s="3461"/>
      <c r="C62" s="1534"/>
      <c r="D62" s="1534" t="s">
        <v>1577</v>
      </c>
      <c r="E62" s="45" t="s">
        <v>1578</v>
      </c>
      <c r="F62" s="2897"/>
      <c r="G62" s="2897"/>
      <c r="H62" s="2899"/>
      <c r="I62" s="31"/>
      <c r="K62" s="2471"/>
      <c r="L62" s="2471"/>
      <c r="M62" s="2471"/>
      <c r="N62" s="2471"/>
      <c r="O62" s="2471"/>
      <c r="P62" s="2471"/>
      <c r="Q62" s="1235"/>
    </row>
    <row r="63" spans="1:17" ht="12.75">
      <c r="A63" s="46">
        <v>1</v>
      </c>
      <c r="B63" s="47" t="s">
        <v>1579</v>
      </c>
      <c r="C63" s="2700">
        <f ca="1">ROUND((C64+C65)/(1+'数据-取费表'!F30),0)</f>
        <v>2800</v>
      </c>
      <c r="D63" s="47"/>
      <c r="E63" s="48"/>
      <c r="F63" s="2897"/>
      <c r="G63" s="2897"/>
      <c r="H63" s="2899"/>
      <c r="I63" s="31"/>
      <c r="K63" s="3441" t="s">
        <v>2523</v>
      </c>
      <c r="L63" s="2472" t="s">
        <v>2524</v>
      </c>
      <c r="M63" s="2472">
        <f ca="1">IF(N49&gt;10000,N49*0.5%,IF(AND(N49&gt;1000,N49&lt;=10000),N49*1%,IF(AND(N49&gt;100,N49&lt;=1000),N49*3%,IF(AND(N49&gt;10,N49&lt;=100),N49*5%,N49*8%))))</f>
        <v>29.400000000000002</v>
      </c>
      <c r="N63" s="2473">
        <f ca="1">ROUND(M63,1)</f>
        <v>29.4</v>
      </c>
      <c r="O63" s="2471"/>
      <c r="P63" s="2471"/>
      <c r="Q63" s="1235"/>
    </row>
    <row r="64" spans="1:17" ht="12.75">
      <c r="A64" s="49" t="s">
        <v>71</v>
      </c>
      <c r="B64" s="50" t="s">
        <v>1582</v>
      </c>
      <c r="C64" s="2701">
        <f ca="1">D45</f>
        <v>2940</v>
      </c>
      <c r="D64" s="50" t="s">
        <v>41</v>
      </c>
      <c r="E64" s="52"/>
      <c r="F64" s="2897"/>
      <c r="G64" s="2897"/>
      <c r="H64" s="2899"/>
      <c r="I64" s="31"/>
      <c r="K64" s="3441"/>
      <c r="L64" s="2472" t="s">
        <v>2525</v>
      </c>
      <c r="M64" s="2472">
        <f ca="1">IF(N49&gt;2000,N49*0.5%,IF(AND(N49&gt;1000,N49&lt;=2000),N49*0.6%,IF(AND(N49&gt;500,N49&lt;=1000),N49*0.7%,IF(AND(N49&gt;200,N49&lt;=500),N49*0.8%,IF(AND(N49&gt;100,N49&lt;=200),N49*0.9%,IF(AND(N49&gt;50,N49&lt;=100),N49*1%,IF(AND(N49&gt;20,N49&lt;=50),N49*1.5%,IF(AND(N49&gt;10,N49&lt;=20),N49*2%,IF(AND(N49&gt;1,N49&lt;=10),N49*2.5%)))))))))</f>
        <v>14.700000000000001</v>
      </c>
      <c r="N64" s="2473">
        <f t="shared" ref="N64:N65" ca="1" si="2">ROUND(M64,1)</f>
        <v>14.7</v>
      </c>
      <c r="O64" s="2471" t="s">
        <v>2526</v>
      </c>
      <c r="P64" s="2471"/>
      <c r="Q64" s="1235"/>
    </row>
    <row r="65" spans="1:36" ht="12.75">
      <c r="A65" s="49" t="s">
        <v>72</v>
      </c>
      <c r="B65" s="50" t="s">
        <v>1585</v>
      </c>
      <c r="C65" s="2702"/>
      <c r="D65" s="50"/>
      <c r="E65" s="52"/>
      <c r="F65" s="2897"/>
      <c r="G65" s="2897"/>
      <c r="H65" s="2899"/>
      <c r="I65" s="31"/>
      <c r="K65" s="3441"/>
      <c r="L65" s="2472" t="s">
        <v>2527</v>
      </c>
      <c r="M65" s="2472">
        <f ca="1">IF(N49&gt;1000,N49*0.1%,IF(AND(N49&gt;500,N49&lt;=1000),N49*0.5%,IF(AND(N49&gt;50,N49&lt;=500),N49*1%,IF(AND(N49&gt;1,N49&lt;=50),N49*1.5%))))</f>
        <v>2.94</v>
      </c>
      <c r="N65" s="2473">
        <f t="shared" ca="1" si="2"/>
        <v>2.9</v>
      </c>
      <c r="O65" s="2471" t="s">
        <v>2526</v>
      </c>
      <c r="P65" s="2471"/>
      <c r="Q65" s="1235"/>
    </row>
    <row r="66" spans="1:36" ht="12.75">
      <c r="A66" s="53" t="s">
        <v>47</v>
      </c>
      <c r="B66" s="54" t="s">
        <v>1587</v>
      </c>
      <c r="C66" s="2703"/>
      <c r="D66" s="54" t="s">
        <v>41</v>
      </c>
      <c r="E66" s="1243" t="s">
        <v>1588</v>
      </c>
      <c r="F66" s="2897"/>
      <c r="G66" s="2897"/>
      <c r="H66" s="2899"/>
      <c r="I66" s="31"/>
      <c r="K66" s="3441"/>
      <c r="L66" s="2472" t="s">
        <v>2528</v>
      </c>
      <c r="M66" s="2472">
        <f ca="1">N49*0.5%</f>
        <v>14.700000000000001</v>
      </c>
      <c r="N66" s="2473">
        <f ca="1">IF(M66&gt;0.5,0.5,ROUND(M66,0))</f>
        <v>0.5</v>
      </c>
      <c r="O66" s="2471" t="s">
        <v>2529</v>
      </c>
      <c r="P66" s="2471"/>
      <c r="Q66" s="1235"/>
    </row>
    <row r="67" spans="1:36" ht="12.75">
      <c r="A67" s="53" t="s">
        <v>42</v>
      </c>
      <c r="B67" s="54" t="s">
        <v>1591</v>
      </c>
      <c r="C67" s="2704">
        <f ca="1">C63-C66</f>
        <v>2800</v>
      </c>
      <c r="D67" s="50" t="s">
        <v>41</v>
      </c>
      <c r="E67" s="52"/>
      <c r="F67" s="2897"/>
      <c r="G67" s="2897"/>
      <c r="H67" s="2899"/>
      <c r="I67" s="31"/>
      <c r="K67" s="3441"/>
      <c r="L67" s="2472" t="s">
        <v>2530</v>
      </c>
      <c r="M67" s="2472">
        <f ca="1">IF(N49&gt;=10000,(8.25+(N49-10000)*0.01%),IF(AND(N49&gt;=8000,N49&lt;10000),(7.85+(N49-8000)*0.02%),IF(AND(N49&gt;=5000,N49&lt;8000),(6.65+(N49-5000)*0.04%),IF(AND(N49&gt;=2000,N49&lt;5000),(4.25+(PN49-2000)*0.08%),IF(AND(N49&gt;=1000,N49&lt;2000),(2.75+(N49-1000)*0.15%),IF(AND(N49&gt;=100,N49&lt;1000),(0.5+(N49-100)*0.25%),IF(AND(N49&gt;0,N49&lt;100),N49*0.5%)))))))</f>
        <v>2.65</v>
      </c>
      <c r="N67" s="2473">
        <f ca="1">ROUND(M67*0.9,1)</f>
        <v>2.4</v>
      </c>
      <c r="O67" s="2471"/>
      <c r="P67" s="2471"/>
      <c r="Q67" s="1235"/>
    </row>
    <row r="68" spans="1:36" ht="13.5" thickBot="1">
      <c r="A68" s="55" t="s">
        <v>46</v>
      </c>
      <c r="B68" s="56" t="s">
        <v>1593</v>
      </c>
      <c r="C68" s="2705">
        <f ca="1">IF(C67&lt;=0,0,ROUND(C67*D68,0))</f>
        <v>157</v>
      </c>
      <c r="D68" s="2166">
        <f>'数据-取费表'!E29</f>
        <v>5.6000000000000001E-2</v>
      </c>
      <c r="E68" s="57"/>
      <c r="F68" s="2897"/>
      <c r="G68" s="2897"/>
      <c r="H68" s="2899"/>
      <c r="I68" s="31"/>
      <c r="K68" s="3441"/>
      <c r="L68" s="2472" t="s">
        <v>2531</v>
      </c>
      <c r="M68" s="2472">
        <f ca="1">IF(N49&gt;10000,N49*0.5%,IF(AND(N49&gt;5000,N49&lt;=10000),N49*1%,IF(AND(N49&gt;1000,N49&lt;=5000),N49*2%,IF(AND(N49&gt;200,N49&lt;=1000),N49*3%,N49*5%))))</f>
        <v>58.800000000000004</v>
      </c>
      <c r="N68" s="2473">
        <f ca="1">ROUND(M68,1)</f>
        <v>58.8</v>
      </c>
      <c r="O68" s="2471"/>
      <c r="P68" s="2471"/>
      <c r="Q68" s="1235"/>
    </row>
    <row r="69" spans="1:36" s="1392" customFormat="1" ht="7.5" customHeight="1">
      <c r="A69" s="1404"/>
      <c r="B69" s="1405"/>
      <c r="C69" s="1406"/>
      <c r="D69" s="1407"/>
      <c r="E69" s="1408"/>
      <c r="F69" s="769"/>
      <c r="G69" s="769"/>
      <c r="H69" s="1397"/>
      <c r="I69" s="1388"/>
      <c r="J69" s="2757"/>
      <c r="K69" s="3441"/>
      <c r="L69" s="2472" t="s">
        <v>54</v>
      </c>
      <c r="M69" s="2472"/>
      <c r="N69" s="2473">
        <f ca="1">ROUND(SUM(N63:N68),0)</f>
        <v>109</v>
      </c>
      <c r="O69" s="2474">
        <f ca="1">N69/N49</f>
        <v>3.7074829931972787E-2</v>
      </c>
      <c r="P69" s="2471"/>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62" t="s">
        <v>1596</v>
      </c>
      <c r="B70" s="3463"/>
      <c r="C70" s="3463"/>
      <c r="D70" s="3463"/>
      <c r="E70" s="3463"/>
      <c r="F70" s="3463"/>
      <c r="G70" s="3463"/>
      <c r="H70" s="3463"/>
      <c r="I70" s="1409"/>
      <c r="J70" s="2770"/>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60" t="s">
        <v>1576</v>
      </c>
      <c r="B71" s="3461"/>
      <c r="C71" s="1534"/>
      <c r="D71" s="1534" t="s">
        <v>1577</v>
      </c>
      <c r="E71" s="58" t="s">
        <v>1578</v>
      </c>
      <c r="F71" s="59"/>
      <c r="G71" s="59"/>
      <c r="H71" s="60"/>
      <c r="I71" s="1412"/>
      <c r="J71" s="2771"/>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1597</v>
      </c>
      <c r="C72" s="2704">
        <f ca="1">ROUND(D45/(1+'数据-取费表'!F30),0)</f>
        <v>2800</v>
      </c>
      <c r="D72" s="50" t="s">
        <v>41</v>
      </c>
      <c r="E72" s="12" t="s">
        <v>1598</v>
      </c>
      <c r="F72" s="2013"/>
      <c r="G72" s="2013"/>
      <c r="H72" s="62"/>
      <c r="I72" s="1412"/>
      <c r="J72" s="2771"/>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1599</v>
      </c>
      <c r="C73" s="2704">
        <f ca="1">C74+C78</f>
        <v>17</v>
      </c>
      <c r="D73" s="50" t="s">
        <v>41</v>
      </c>
      <c r="E73" s="2012"/>
      <c r="F73" s="2013"/>
      <c r="G73" s="2013"/>
      <c r="H73" s="62"/>
      <c r="I73" s="1412"/>
      <c r="J73" s="2771"/>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2"/>
      <c r="F74" s="2013"/>
      <c r="G74" s="2013"/>
      <c r="H74" s="62"/>
      <c r="I74" s="1412"/>
      <c r="J74" s="2771"/>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1601</v>
      </c>
      <c r="C75" s="2192"/>
      <c r="D75" s="50" t="s">
        <v>41</v>
      </c>
      <c r="E75" s="64" t="s">
        <v>1602</v>
      </c>
      <c r="F75" s="2708" t="s">
        <v>1603</v>
      </c>
      <c r="G75" s="64" t="s">
        <v>1604</v>
      </c>
      <c r="H75" s="2709"/>
      <c r="I75" s="9"/>
      <c r="J75" s="2772"/>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0">
        <v>0.05</v>
      </c>
      <c r="E76" s="3493" t="s">
        <v>1606</v>
      </c>
      <c r="F76" s="3481"/>
      <c r="G76" s="3481"/>
      <c r="H76" s="3494"/>
      <c r="I76" s="1412"/>
      <c r="J76" s="2771"/>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3" t="s">
        <v>1609</v>
      </c>
      <c r="H77" s="2014" t="str">
        <f>IF(G77="个人买卖住房","免征印花税"," ")</f>
        <v xml:space="preserve"> </v>
      </c>
      <c r="I77" s="1412"/>
      <c r="J77" s="2771"/>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1610</v>
      </c>
      <c r="C78" s="2712">
        <f ca="1">ROUND(D45*D78/(1+'数据-取费表'!F30),0)</f>
        <v>17</v>
      </c>
      <c r="D78" s="2713">
        <f>'数据-取费表'!E31</f>
        <v>6.000000000000001E-3</v>
      </c>
      <c r="E78" s="3429" t="s">
        <v>1611</v>
      </c>
      <c r="F78" s="3430"/>
      <c r="G78" s="3430"/>
      <c r="H78" s="3450"/>
      <c r="I78" s="1414"/>
      <c r="J78" s="2773"/>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1612</v>
      </c>
      <c r="C79" s="2704">
        <f ca="1">C72-C73</f>
        <v>2783</v>
      </c>
      <c r="D79" s="50" t="s">
        <v>41</v>
      </c>
      <c r="E79" s="2012"/>
      <c r="F79" s="2013"/>
      <c r="G79" s="2013"/>
      <c r="H79" s="62"/>
      <c r="I79" s="1412"/>
      <c r="J79" s="2771"/>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1613</v>
      </c>
      <c r="C80" s="2714">
        <f ca="1">IF(C79&lt;=0,0,C79/C73)</f>
        <v>163.70588235294119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2"/>
      <c r="J80" s="2771"/>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1614</v>
      </c>
      <c r="C81" s="2715">
        <f ca="1">ROUND(IF(C79&lt;=0,0,IF(C80&gt;=200%,C79*60%-C73*35%,IF(C80&gt;=100%,C79*50%-C73*15%,IF(C80&gt;=50%,C79*40%-C73*5%,IF(C80&lt;50%,C79*30%,0))))),0)</f>
        <v>1664</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1"/>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3"/>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62" t="s">
        <v>1615</v>
      </c>
      <c r="B83" s="3463"/>
      <c r="C83" s="3463"/>
      <c r="D83" s="3463"/>
      <c r="E83" s="3463"/>
      <c r="F83" s="3463"/>
      <c r="G83" s="3463"/>
      <c r="H83" s="3463"/>
      <c r="I83" s="9"/>
      <c r="J83" s="277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60" t="s">
        <v>1576</v>
      </c>
      <c r="B84" s="3461"/>
      <c r="C84" s="1534"/>
      <c r="D84" s="1534" t="s">
        <v>1577</v>
      </c>
      <c r="E84" s="58" t="s">
        <v>1578</v>
      </c>
      <c r="F84" s="59"/>
      <c r="G84" s="59"/>
      <c r="H84" s="72"/>
      <c r="I84" s="9"/>
      <c r="J84" s="2772"/>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1597</v>
      </c>
      <c r="C85" s="2704">
        <f ca="1">ROUND(D45/(1+'数据-取费表'!F30),0)</f>
        <v>2800</v>
      </c>
      <c r="D85" s="50" t="s">
        <v>41</v>
      </c>
      <c r="E85" s="2012" t="s">
        <v>1598</v>
      </c>
      <c r="F85" s="2013"/>
      <c r="G85" s="2013"/>
      <c r="H85" s="73"/>
      <c r="I85" s="9"/>
      <c r="J85" s="2772"/>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1599</v>
      </c>
      <c r="C86" s="2704">
        <f ca="1">IF(H88="仅含出让金",C87+C90+C91+C92+C93+C94,C87+C91+C92+C93+C94)</f>
        <v>17</v>
      </c>
      <c r="D86" s="2716"/>
      <c r="E86" s="2012"/>
      <c r="F86" s="2013"/>
      <c r="G86" s="2013"/>
      <c r="H86" s="73"/>
      <c r="I86" s="9"/>
      <c r="J86" s="2772"/>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1616</v>
      </c>
      <c r="C87" s="2712">
        <f>C88+C89</f>
        <v>0</v>
      </c>
      <c r="D87" s="2713"/>
      <c r="E87" s="2009"/>
      <c r="F87" s="2010"/>
      <c r="G87" s="2010"/>
      <c r="H87" s="2011"/>
      <c r="I87" s="9"/>
      <c r="J87" s="2772"/>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1617</v>
      </c>
      <c r="C88" s="2717"/>
      <c r="D88" s="2713"/>
      <c r="E88" s="74" t="s">
        <v>1618</v>
      </c>
      <c r="F88" s="2010"/>
      <c r="G88" s="75" t="s">
        <v>1619</v>
      </c>
      <c r="H88" s="1415"/>
      <c r="I88" s="9"/>
      <c r="J88" s="2772"/>
      <c r="K88" s="2888" t="s">
        <v>2577</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1607</v>
      </c>
      <c r="C89" s="2712">
        <f>ROUND(C88*D89,0)</f>
        <v>0</v>
      </c>
      <c r="D89" s="2713">
        <f>'数据-取费表'!E36+'数据-取费表'!E37</f>
        <v>3.0499999999999999E-2</v>
      </c>
      <c r="E89" s="74" t="s">
        <v>1620</v>
      </c>
      <c r="F89" s="2010"/>
      <c r="G89" s="2010"/>
      <c r="H89" s="2011"/>
      <c r="I89" s="9"/>
      <c r="J89" s="2772"/>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1621</v>
      </c>
      <c r="C90" s="2717"/>
      <c r="D90" s="2713"/>
      <c r="E90" s="74" t="str">
        <f>IF(H88="-","土地取得成本中已包含该笔费用"," ")</f>
        <v xml:space="preserve"> </v>
      </c>
      <c r="F90" s="2010"/>
      <c r="G90" s="3469" t="s">
        <v>2493</v>
      </c>
      <c r="H90" s="3469"/>
      <c r="I90" s="9"/>
      <c r="J90" s="2772"/>
      <c r="K90" s="2888" t="s">
        <v>2578</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1622</v>
      </c>
      <c r="C91" s="2712">
        <f>IF(H91="——",成本法!C33,I91)</f>
        <v>0</v>
      </c>
      <c r="D91" s="2713"/>
      <c r="E91" s="3429" t="s">
        <v>1623</v>
      </c>
      <c r="F91" s="3430"/>
      <c r="G91" s="3430"/>
      <c r="H91" s="1416" t="s">
        <v>1624</v>
      </c>
      <c r="I91" s="1417"/>
      <c r="J91" s="2774"/>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1625</v>
      </c>
      <c r="C92" s="2712">
        <f>ROUND((C87+C90+C91)*D92,0)</f>
        <v>0</v>
      </c>
      <c r="D92" s="2756">
        <v>0.1</v>
      </c>
      <c r="E92" s="3429" t="s">
        <v>1626</v>
      </c>
      <c r="F92" s="3430"/>
      <c r="G92" s="3430"/>
      <c r="H92" s="3450"/>
      <c r="I92" s="9"/>
      <c r="J92" s="2772"/>
      <c r="K92" s="2889" t="s">
        <v>2579</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1610</v>
      </c>
      <c r="C93" s="2712">
        <f ca="1">ROUND(D45*D93/(1+'数据-取费表'!F30),0)</f>
        <v>17</v>
      </c>
      <c r="D93" s="2713">
        <f>'数据-取费表'!E31</f>
        <v>6.000000000000001E-3</v>
      </c>
      <c r="E93" s="3429" t="s">
        <v>1611</v>
      </c>
      <c r="F93" s="3430"/>
      <c r="G93" s="3430"/>
      <c r="H93" s="3450"/>
      <c r="I93" s="9"/>
      <c r="J93" s="2772"/>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1627</v>
      </c>
      <c r="C94" s="2712">
        <f>ROUND((C87+C90+C91)*D94,0)</f>
        <v>0</v>
      </c>
      <c r="D94" s="2713">
        <v>0.2</v>
      </c>
      <c r="E94" s="3429" t="s">
        <v>1628</v>
      </c>
      <c r="F94" s="3430"/>
      <c r="G94" s="3430"/>
      <c r="H94" s="3450"/>
      <c r="I94" s="9"/>
      <c r="J94" s="2772"/>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1612</v>
      </c>
      <c r="C95" s="2704">
        <f ca="1">ROUND(C85-C86,0)</f>
        <v>2783</v>
      </c>
      <c r="D95" s="50" t="s">
        <v>41</v>
      </c>
      <c r="E95" s="2012"/>
      <c r="F95" s="2013"/>
      <c r="G95" s="2013"/>
      <c r="H95" s="73"/>
      <c r="I95" s="9"/>
      <c r="J95" s="2772"/>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1613</v>
      </c>
      <c r="C96" s="2714">
        <f ca="1">IF(C95&lt;=0,0,C95/C86)</f>
        <v>163.70588235294119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1614</v>
      </c>
      <c r="C97" s="2715">
        <f ca="1">ROUND(IF(C95&lt;=0,0,IF(C96&gt;=200%,C95*60%-C86*35%,IF(C96&gt;=100%,C95*50%-C86*15%,IF(C96&gt;=50%,C95*40%-C86*5%,IF(C96&lt;50%,C95*30%,0))))),0)</f>
        <v>1664</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1629</v>
      </c>
      <c r="B98" s="1388"/>
      <c r="C98" s="1388"/>
      <c r="D98" s="1388"/>
      <c r="E98" s="769"/>
      <c r="F98" s="769"/>
      <c r="G98" s="769"/>
      <c r="H98" s="1397"/>
      <c r="I98" s="1388"/>
    </row>
    <row r="99" spans="1:36" ht="15.75">
      <c r="A99" s="3447" t="s">
        <v>1630</v>
      </c>
      <c r="B99" s="3448"/>
      <c r="C99" s="3448"/>
      <c r="D99" s="3449"/>
      <c r="E99" s="1388"/>
      <c r="F99" s="3457" t="s">
        <v>1631</v>
      </c>
      <c r="G99" s="3458"/>
      <c r="H99" s="3458"/>
      <c r="I99" s="3459"/>
      <c r="J99" s="2775"/>
    </row>
    <row r="100" spans="1:36" ht="15">
      <c r="A100" s="3464" t="s">
        <v>1632</v>
      </c>
      <c r="B100" s="3465"/>
      <c r="C100" s="1234" t="str">
        <f>C4</f>
        <v>比较法-办公</v>
      </c>
      <c r="D100" s="2723" t="str">
        <f>D4</f>
        <v>收益法</v>
      </c>
      <c r="E100" s="1388"/>
      <c r="F100" s="3466" t="s">
        <v>2537</v>
      </c>
      <c r="G100" s="3468"/>
      <c r="H100" s="3466" t="s">
        <v>2538</v>
      </c>
      <c r="I100" s="3467"/>
      <c r="J100" s="2776"/>
    </row>
    <row r="101" spans="1:36" ht="12.75">
      <c r="A101" s="3483" t="s">
        <v>2570</v>
      </c>
      <c r="B101" s="2231" t="str">
        <f>IF(H19="元","总价（元）","总价（万元）")</f>
        <v>总价（万元）</v>
      </c>
      <c r="C101" s="1234">
        <f ca="1">C19</f>
        <v>2128</v>
      </c>
      <c r="D101" s="2723">
        <f ca="1">D19</f>
        <v>1651</v>
      </c>
      <c r="E101" s="1388"/>
      <c r="F101" s="3466" t="str">
        <f>项目基本情况!I1</f>
        <v>北京市房地产</v>
      </c>
      <c r="G101" s="3468"/>
      <c r="H101" s="3470">
        <f>项目基本情况!C12</f>
        <v>770.88</v>
      </c>
      <c r="I101" s="3467"/>
      <c r="J101" s="2776"/>
    </row>
    <row r="102" spans="1:36" ht="12.75">
      <c r="A102" s="3483"/>
      <c r="B102" s="2231" t="s">
        <v>2571</v>
      </c>
      <c r="C102" s="2724">
        <f ca="1">C20</f>
        <v>41889</v>
      </c>
      <c r="D102" s="2725">
        <f ca="1">D20</f>
        <v>32509</v>
      </c>
      <c r="E102" s="1388"/>
      <c r="F102" s="3453" t="s">
        <v>2567</v>
      </c>
      <c r="G102" s="3454"/>
      <c r="H102" s="2733" t="str">
        <f>C106</f>
        <v>总价（万元）</v>
      </c>
      <c r="I102" s="2734">
        <f ca="1">H121</f>
        <v>2940</v>
      </c>
      <c r="J102" s="2776"/>
    </row>
    <row r="103" spans="1:36" ht="12.75">
      <c r="A103" s="3483" t="s">
        <v>2572</v>
      </c>
      <c r="B103" s="2169" t="str">
        <f>B101</f>
        <v>总价（万元）</v>
      </c>
      <c r="C103" s="2728">
        <f ca="1">H121</f>
        <v>2940</v>
      </c>
      <c r="D103" s="2726"/>
      <c r="E103" s="1388"/>
      <c r="F103" s="3453"/>
      <c r="G103" s="3454"/>
      <c r="H103" s="2733" t="s">
        <v>2540</v>
      </c>
      <c r="I103" s="52">
        <f ca="1">I121</f>
        <v>38137</v>
      </c>
      <c r="J103" s="2760"/>
    </row>
    <row r="104" spans="1:36" ht="13.5" thickBot="1">
      <c r="A104" s="3484"/>
      <c r="B104" s="2730" t="s">
        <v>2571</v>
      </c>
      <c r="C104" s="2731">
        <f ca="1">I121</f>
        <v>38137</v>
      </c>
      <c r="D104" s="2732"/>
      <c r="E104" s="1388"/>
      <c r="F104" s="3453"/>
      <c r="G104" s="3454"/>
      <c r="H104" s="3485"/>
      <c r="I104" s="3486"/>
      <c r="J104" s="2777"/>
    </row>
    <row r="105" spans="1:36" ht="15">
      <c r="A105" s="3447" t="s">
        <v>1633</v>
      </c>
      <c r="B105" s="3448"/>
      <c r="C105" s="3448"/>
      <c r="D105" s="3449"/>
      <c r="E105" s="1388"/>
      <c r="F105" s="3489" t="s">
        <v>2541</v>
      </c>
      <c r="G105" s="3490"/>
      <c r="H105" s="2735" t="str">
        <f>C108</f>
        <v>总额（万元）</v>
      </c>
      <c r="I105" s="2734">
        <f>SUMIF(I106:I108,"&lt;9E307")</f>
        <v>0</v>
      </c>
      <c r="J105" s="2776"/>
    </row>
    <row r="106" spans="1:36" ht="14.25">
      <c r="A106" s="3453" t="s">
        <v>2564</v>
      </c>
      <c r="B106" s="3454"/>
      <c r="C106" s="2733" t="str">
        <f>B101</f>
        <v>总价（万元）</v>
      </c>
      <c r="D106" s="2734">
        <f ca="1">H121</f>
        <v>2940</v>
      </c>
      <c r="E106" s="1388"/>
      <c r="F106" s="3455" t="s">
        <v>2542</v>
      </c>
      <c r="G106" s="3456"/>
      <c r="H106" s="2735" t="str">
        <f>C109</f>
        <v>总额（万元）</v>
      </c>
      <c r="I106" s="2736">
        <f>IF(D36="同一抵押权人同一抵押物续贷",C36&amp;"（续贷，未扣减，详见特别提示）",C36)</f>
        <v>0</v>
      </c>
      <c r="J106" s="2760"/>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3"/>
      <c r="B107" s="3454"/>
      <c r="C107" s="2733" t="s">
        <v>2565</v>
      </c>
      <c r="D107" s="52">
        <f ca="1">I121</f>
        <v>38137</v>
      </c>
      <c r="E107" s="1388"/>
      <c r="F107" s="3455" t="s">
        <v>2543</v>
      </c>
      <c r="G107" s="3456"/>
      <c r="H107" s="2735" t="str">
        <f>C110</f>
        <v>总额（万元）</v>
      </c>
      <c r="I107" s="52">
        <f>C37</f>
        <v>0</v>
      </c>
      <c r="J107" s="2760"/>
    </row>
    <row r="108" spans="1:36" ht="12.75">
      <c r="A108" s="3524" t="s">
        <v>2541</v>
      </c>
      <c r="B108" s="3525"/>
      <c r="C108" s="2735" t="str">
        <f>IF(H19="元","总额（元）","总额（万元）")</f>
        <v>总额（万元）</v>
      </c>
      <c r="D108" s="2734">
        <f>IF(D36="正常操作",I106+I107+I108,I107+I108)</f>
        <v>0</v>
      </c>
      <c r="E108" s="1388"/>
      <c r="F108" s="3455" t="s">
        <v>2568</v>
      </c>
      <c r="G108" s="3456"/>
      <c r="H108" s="2735" t="str">
        <f>C111</f>
        <v>总额（万元）</v>
      </c>
      <c r="I108" s="52">
        <f>C38</f>
        <v>0</v>
      </c>
      <c r="J108" s="2760"/>
    </row>
    <row r="109" spans="1:36" ht="12.75">
      <c r="A109" s="3455" t="s">
        <v>2542</v>
      </c>
      <c r="B109" s="3456"/>
      <c r="C109" s="2735" t="str">
        <f>C108</f>
        <v>总额（万元）</v>
      </c>
      <c r="D109" s="52">
        <f>IF(D36="同一抵押权人同一抵押物续贷",C36&amp;"（未扣减，详见特别提示）",C36)</f>
        <v>0</v>
      </c>
      <c r="E109" s="1388"/>
      <c r="F109" s="3453"/>
      <c r="G109" s="3454"/>
      <c r="H109" s="3487"/>
      <c r="I109" s="3488"/>
      <c r="J109" s="2778"/>
    </row>
    <row r="110" spans="1:36" ht="28.5" customHeight="1">
      <c r="A110" s="3455" t="s">
        <v>2566</v>
      </c>
      <c r="B110" s="3456"/>
      <c r="C110" s="2735" t="str">
        <f>C108</f>
        <v>总额（万元）</v>
      </c>
      <c r="D110" s="52">
        <f>C37</f>
        <v>0</v>
      </c>
      <c r="E110" s="1388"/>
      <c r="F110" s="3436" t="str">
        <f>IF(项目基本情况!F5="已注销","——","3.房地产抵押价值")</f>
        <v>3.房地产抵押价值</v>
      </c>
      <c r="G110" s="3437"/>
      <c r="H110" s="2721" t="str">
        <f>C112</f>
        <v>总价（万元）</v>
      </c>
      <c r="I110" s="2734">
        <f ca="1">IF(F110="——","——",I102-I105)</f>
        <v>2940</v>
      </c>
      <c r="J110" s="2776"/>
    </row>
    <row r="111" spans="1:36" ht="12.75">
      <c r="A111" s="3455" t="s">
        <v>2545</v>
      </c>
      <c r="B111" s="3456"/>
      <c r="C111" s="2735" t="str">
        <f>C108</f>
        <v>总额（万元）</v>
      </c>
      <c r="D111" s="52">
        <f>C38</f>
        <v>0</v>
      </c>
      <c r="E111" s="1388"/>
      <c r="F111" s="3438"/>
      <c r="G111" s="3439"/>
      <c r="H111" s="2733" t="s">
        <v>2540</v>
      </c>
      <c r="I111" s="2737">
        <f ca="1">D113</f>
        <v>38137</v>
      </c>
      <c r="J111" s="2779"/>
    </row>
    <row r="112" spans="1:36" ht="26.25" customHeight="1">
      <c r="A112" s="3453" t="str">
        <f>IF(项目基本情况!F5="已注销","——","3.房地产抵押价值")</f>
        <v>3.房地产抵押价值</v>
      </c>
      <c r="B112" s="3454"/>
      <c r="C112" s="2733" t="str">
        <f>B101</f>
        <v>总价（万元）</v>
      </c>
      <c r="D112" s="2734">
        <f ca="1">IF(A112="——","——",D106-D108)</f>
        <v>2940</v>
      </c>
      <c r="E112" s="1388"/>
      <c r="F112" s="3436" t="str">
        <f>IF(项目基本情况!F5="已注销及未注销","4.抵押担保权已注销时的房地产抵押价值",IF(项目基本情况!F5="已注销","3.抵押担保权已注销时的房地产抵押价值","——"))</f>
        <v>——</v>
      </c>
      <c r="G112" s="3437"/>
      <c r="H112" s="2721" t="str">
        <f>C114</f>
        <v>总价（万元）</v>
      </c>
      <c r="I112" s="2734" t="str">
        <f>IF(F112="——","——",I102-I107-I108)</f>
        <v>——</v>
      </c>
      <c r="J112" s="2776"/>
    </row>
    <row r="113" spans="1:16" ht="12.75">
      <c r="A113" s="3453"/>
      <c r="B113" s="3454"/>
      <c r="C113" s="2733" t="s">
        <v>2533</v>
      </c>
      <c r="D113" s="52">
        <f ca="1">ROUND(IF(D112=D106,D107,IF(H19="元",D112/项目基本情况!C12,D112*10000/项目基本情况!C12)),0)</f>
        <v>38137</v>
      </c>
      <c r="E113" s="1388"/>
      <c r="F113" s="3438"/>
      <c r="G113" s="3439"/>
      <c r="H113" s="2733" t="s">
        <v>2569</v>
      </c>
      <c r="I113" s="52" t="str">
        <f>D115</f>
        <v>——</v>
      </c>
      <c r="J113" s="2760"/>
    </row>
    <row r="114" spans="1:16" ht="12.75">
      <c r="A114" s="3453" t="str">
        <f>IF(项目基本情况!F5="已注销及未注销","4.抵押担保权已注销时的房地产抵押价值",IF(项目基本情况!F5="已注销","3.抵押担保权已注销时的房地产抵押价值","——"))</f>
        <v>——</v>
      </c>
      <c r="B114" s="3454"/>
      <c r="C114" s="2733" t="str">
        <f>B101</f>
        <v>总价（万元）</v>
      </c>
      <c r="D114" s="2734" t="str">
        <f>IF(A114="——","——",D106-D110-D111)</f>
        <v>——</v>
      </c>
      <c r="E114" s="1388"/>
      <c r="F114" s="3436" t="str">
        <f>IF(项目基本情况!G5="抵押净值",IF(OR(项目基本情况!F5="已注销",项目基本情况!F5="房地产抵押价值"),"4.抵押净值","5.抵押净值"),"——")</f>
        <v>——</v>
      </c>
      <c r="G114" s="3437"/>
      <c r="H114" s="2733" t="str">
        <f>C116</f>
        <v>总价（万元）</v>
      </c>
      <c r="I114" s="2734" t="str">
        <f>IF(F114="——","——",O59)</f>
        <v>——</v>
      </c>
      <c r="J114" s="2776"/>
    </row>
    <row r="115" spans="1:16" ht="13.5" thickBot="1">
      <c r="A115" s="3453"/>
      <c r="B115" s="3454"/>
      <c r="C115" s="2733" t="s">
        <v>2533</v>
      </c>
      <c r="D115" s="52" t="str">
        <f>IF(A114="——","——",ROUND(IF(D114=D106,D107,IF(H19="元",D114/项目基本情况!C12,D114*10000/项目基本情况!C12)),0))</f>
        <v>——</v>
      </c>
      <c r="E115" s="1388"/>
      <c r="F115" s="3516"/>
      <c r="G115" s="3517"/>
      <c r="H115" s="2738" t="s">
        <v>2533</v>
      </c>
      <c r="I115" s="2722" t="str">
        <f ca="1">D117</f>
        <v>——</v>
      </c>
      <c r="J115" s="2760"/>
    </row>
    <row r="116" spans="1:16" ht="15.75">
      <c r="A116" s="3453" t="str">
        <f>IF(项目基本情况!G5="抵押净值",IF(OR(项目基本情况!F5="已注销",项目基本情况!F5="房地产抵押价值"),"4.抵押净值","5.抵押净值"),"——")</f>
        <v>——</v>
      </c>
      <c r="B116" s="3454"/>
      <c r="C116" s="2733" t="str">
        <f>B101</f>
        <v>总价（万元）</v>
      </c>
      <c r="D116" s="2734" t="str">
        <f>IF(A116="——","——",O59)</f>
        <v>——</v>
      </c>
      <c r="E116" s="1388"/>
      <c r="F116" s="3431"/>
      <c r="G116" s="3431"/>
      <c r="H116" s="3472"/>
      <c r="I116" s="3472"/>
      <c r="J116" s="2780"/>
      <c r="O116" s="32"/>
      <c r="P116" s="32"/>
    </row>
    <row r="117" spans="1:16" ht="13.5" thickBot="1">
      <c r="A117" s="3522"/>
      <c r="B117" s="3523"/>
      <c r="C117" s="2738" t="s">
        <v>2533</v>
      </c>
      <c r="D117" s="2722" t="str">
        <f ca="1">IF(D116=D112,D113,IF(A116="——","——",O61))</f>
        <v>——</v>
      </c>
      <c r="E117" s="1388"/>
      <c r="F117" s="3515" t="str">
        <f>IF(B32="总价","（以上估价结果中单价为总价除以建筑面积得出）","（以上估价结果中总价为楼面单价乘以建筑面积得出）")</f>
        <v>（以上估价结果中总价为楼面单价乘以建筑面积得出）</v>
      </c>
      <c r="G117" s="3515"/>
      <c r="H117" s="3515"/>
      <c r="I117" s="3515"/>
      <c r="J117" s="2781"/>
      <c r="O117" s="32"/>
      <c r="P117" s="32"/>
    </row>
    <row r="118" spans="1:16" ht="15">
      <c r="A118" s="3473" t="s">
        <v>1634</v>
      </c>
      <c r="B118" s="3474"/>
      <c r="C118" s="3474"/>
      <c r="D118" s="3474"/>
      <c r="E118" s="3474"/>
      <c r="F118" s="3474"/>
      <c r="G118" s="3474"/>
      <c r="H118" s="3474"/>
      <c r="I118" s="3474"/>
      <c r="J118" s="2782"/>
    </row>
    <row r="119" spans="1:16" ht="12.75">
      <c r="A119" s="3446" t="s">
        <v>2551</v>
      </c>
      <c r="B119" s="3444" t="s">
        <v>2561</v>
      </c>
      <c r="C119" s="3444" t="s">
        <v>2562</v>
      </c>
      <c r="D119" s="3451" t="s">
        <v>2553</v>
      </c>
      <c r="E119" s="3452"/>
      <c r="F119" s="3442" t="s">
        <v>2563</v>
      </c>
      <c r="G119" s="3442"/>
      <c r="H119" s="3442" t="s">
        <v>2554</v>
      </c>
      <c r="I119" s="3443"/>
      <c r="J119" s="2760"/>
    </row>
    <row r="120" spans="1:16" ht="12.75">
      <c r="A120" s="3446"/>
      <c r="B120" s="3445"/>
      <c r="C120" s="3445"/>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770.88</v>
      </c>
      <c r="C121" s="2016">
        <f>项目基本情况!C13</f>
        <v>0</v>
      </c>
      <c r="D121" s="2016">
        <f ca="1">ROUND(IF(B32="总价",C34,IF('数据-取费表'!B3="万元",E121*B121/10000,E121*B121)),0)</f>
        <v>2487</v>
      </c>
      <c r="E121" s="2016">
        <f ca="1">ROUND(IF(B32="楼面单价",C34,IF(H19="元",D121/B121,D121*10000/B121)),0)</f>
        <v>32264</v>
      </c>
      <c r="F121" s="2016">
        <f ca="1">ROUND(IF(B32="总价",C35,IF('数据-取费表'!B3="万元",G121*B121/10000,G121*B121)),0)</f>
        <v>453</v>
      </c>
      <c r="G121" s="2016">
        <f ca="1">ROUND(IF(B32="楼面单价",C35,IF(H19="元",F121/B121,F121*10000/B121)),0)</f>
        <v>5873</v>
      </c>
      <c r="H121" s="2016">
        <f ca="1">ROUND(IF(B32="总价",C32,IF('数据-取费表'!B3="万元",I121*B121/10000,I121*B121)),0)</f>
        <v>2940</v>
      </c>
      <c r="I121" s="52">
        <f ca="1">ROUND(IF(B32="楼面单价",C32,IF(H19="元",H121/B121,H121*10000/B121)),0)</f>
        <v>38137</v>
      </c>
      <c r="J121" s="2760"/>
    </row>
    <row r="122" spans="1:16" ht="12.75">
      <c r="A122" s="3446" t="s">
        <v>2557</v>
      </c>
      <c r="B122" s="3442"/>
      <c r="C122" s="3442"/>
      <c r="D122" s="3477" t="str">
        <f ca="1">IF(H19="元",NUMBERSTRING(INT(D121),2)&amp;"元整",NUMBERSTRING(INT(D121*10000),2)&amp;"元整")</f>
        <v>贰仟肆佰捌拾柒万元整</v>
      </c>
      <c r="E122" s="3478"/>
      <c r="F122" s="3477" t="str">
        <f ca="1">IF(H19="元",NUMBERSTRING(INT(F121),2)&amp;"元整",NUMBERSTRING(INT(F121*10000),2)&amp;"元整")</f>
        <v>肆佰伍拾叁万元整</v>
      </c>
      <c r="G122" s="3478"/>
      <c r="H122" s="3477" t="str">
        <f ca="1">IF(H19="元",NUMBERSTRING(INT(H121),2)&amp;"元整",NUMBERSTRING(INT(H121*10000),2)&amp;"元整")</f>
        <v>贰仟玖佰肆拾万元整</v>
      </c>
      <c r="I122" s="3526"/>
      <c r="J122" s="2783"/>
    </row>
    <row r="123" spans="1:16" ht="12.75">
      <c r="A123" s="3466" t="str">
        <f>IF(项目基本情况!D5="房地产市场价值","——",MID(A108,3,LEN(A108)-2))</f>
        <v>估价师所知悉的法定优先受偿款</v>
      </c>
      <c r="B123" s="3479"/>
      <c r="C123" s="3468"/>
      <c r="D123" s="3470">
        <f>I105</f>
        <v>0</v>
      </c>
      <c r="E123" s="3479"/>
      <c r="F123" s="3479"/>
      <c r="G123" s="3479"/>
      <c r="H123" s="3479"/>
      <c r="I123" s="3467"/>
      <c r="J123" s="2776"/>
    </row>
    <row r="124" spans="1:16" ht="12.75">
      <c r="A124" s="3480" t="s">
        <v>2557</v>
      </c>
      <c r="B124" s="3481"/>
      <c r="C124" s="3482"/>
      <c r="D124" s="3518">
        <f>H109</f>
        <v>0</v>
      </c>
      <c r="E124" s="3519"/>
      <c r="F124" s="3519"/>
      <c r="G124" s="3519"/>
      <c r="H124" s="3519"/>
      <c r="I124" s="3520"/>
      <c r="J124" s="2784"/>
    </row>
    <row r="125" spans="1:16" ht="12.75">
      <c r="A125" s="3453" t="str">
        <f>IF(项目基本情况!D5="房地产市场价值","——",MID(A112,3,LEN(A112)-2))</f>
        <v>房地产抵押价值</v>
      </c>
      <c r="B125" s="3454"/>
      <c r="C125" s="3454"/>
      <c r="D125" s="3470">
        <f ca="1">I110</f>
        <v>2940</v>
      </c>
      <c r="E125" s="3479"/>
      <c r="F125" s="3479"/>
      <c r="G125" s="3479"/>
      <c r="H125" s="3479"/>
      <c r="I125" s="3467"/>
      <c r="J125" s="2776"/>
    </row>
    <row r="126" spans="1:16" ht="12.75">
      <c r="A126" s="3446" t="s">
        <v>2557</v>
      </c>
      <c r="B126" s="3442"/>
      <c r="C126" s="3442"/>
      <c r="D126" s="3518">
        <f ca="1">I111</f>
        <v>38137</v>
      </c>
      <c r="E126" s="3519"/>
      <c r="F126" s="3519"/>
      <c r="G126" s="3519"/>
      <c r="H126" s="3519"/>
      <c r="I126" s="3520"/>
      <c r="J126" s="2784"/>
    </row>
    <row r="127" spans="1:16" ht="13.5" thickBot="1">
      <c r="A127" s="3453" t="str">
        <f>IF(项目基本情况!D5="房地产市场价值","——",MID(A114,3,LEN(A114)-2))</f>
        <v/>
      </c>
      <c r="B127" s="3454"/>
      <c r="C127" s="3454"/>
      <c r="D127" s="3426" t="str">
        <f>I112</f>
        <v>——</v>
      </c>
      <c r="E127" s="3427"/>
      <c r="F127" s="3427"/>
      <c r="G127" s="3427"/>
      <c r="H127" s="3427"/>
      <c r="I127" s="3428"/>
      <c r="J127" s="2776"/>
    </row>
    <row r="128" spans="1:16" ht="14.25" thickTop="1" thickBot="1">
      <c r="A128" s="3446" t="s">
        <v>2557</v>
      </c>
      <c r="B128" s="3442"/>
      <c r="C128" s="3493"/>
      <c r="D128" s="3471" t="str">
        <f>I113</f>
        <v>——</v>
      </c>
      <c r="E128" s="3471"/>
      <c r="F128" s="3471"/>
      <c r="G128" s="3471"/>
      <c r="H128" s="3471"/>
      <c r="I128" s="3471"/>
      <c r="J128" s="2784"/>
    </row>
    <row r="129" spans="1:10" ht="14.25" thickTop="1" thickBot="1">
      <c r="A129" s="3453" t="str">
        <f>IF(项目基本情况!D5="房地产市场价值","——",MID(F114,3,LEN(F114)-2))</f>
        <v/>
      </c>
      <c r="B129" s="3454"/>
      <c r="C129" s="3470"/>
      <c r="D129" s="3521" t="str">
        <f>I114</f>
        <v>——</v>
      </c>
      <c r="E129" s="3521"/>
      <c r="F129" s="3521"/>
      <c r="G129" s="3521"/>
      <c r="H129" s="3521"/>
      <c r="I129" s="3521"/>
      <c r="J129" s="2776"/>
    </row>
    <row r="130" spans="1:10" ht="14.25" thickTop="1" thickBot="1">
      <c r="A130" s="3509" t="s">
        <v>2557</v>
      </c>
      <c r="B130" s="3510"/>
      <c r="C130" s="3510"/>
      <c r="D130" s="3527">
        <f>H116</f>
        <v>0</v>
      </c>
      <c r="E130" s="3528"/>
      <c r="F130" s="3528"/>
      <c r="G130" s="3528"/>
      <c r="H130" s="3528"/>
      <c r="I130" s="3529"/>
      <c r="J130" s="2784"/>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5"/>
    </row>
    <row r="132" spans="1:10" ht="13.5" thickBot="1">
      <c r="A132" s="3514" t="str">
        <f>IF(B32="总价","（以上估价结果中楼面单价为总价除以建筑面积得出）","（以上估价结果中总价为楼面单价乘以建筑面积得出）")</f>
        <v>（以上估价结果中总价为楼面单价乘以建筑面积得出）</v>
      </c>
      <c r="B132" s="3514"/>
      <c r="C132" s="3514"/>
      <c r="D132" s="3514"/>
      <c r="E132" s="3514"/>
      <c r="F132" s="3514"/>
      <c r="G132" s="3514"/>
      <c r="H132" s="3514"/>
      <c r="I132" s="3514"/>
      <c r="J132" s="2778"/>
    </row>
    <row r="133" spans="1:10" ht="21.75" customHeight="1">
      <c r="A133" s="1418" t="s">
        <v>1635</v>
      </c>
      <c r="B133" s="1419"/>
      <c r="C133" s="1420" t="s">
        <v>1636</v>
      </c>
      <c r="D133" s="1421"/>
      <c r="E133" s="1421"/>
      <c r="F133" s="1421"/>
      <c r="G133" s="1421"/>
      <c r="H133" s="1422"/>
      <c r="I133" s="1423"/>
      <c r="J133" s="2786"/>
    </row>
    <row r="134" spans="1:10" ht="21.75" customHeight="1">
      <c r="A134" s="1424">
        <v>1</v>
      </c>
      <c r="B134" s="1425"/>
      <c r="C134" s="1425"/>
      <c r="D134" s="1421"/>
      <c r="E134" s="1421"/>
      <c r="F134" s="1421"/>
      <c r="G134" s="1421"/>
      <c r="H134" s="1422"/>
      <c r="I134" s="1423"/>
      <c r="J134" s="2786"/>
    </row>
    <row r="135" spans="1:10" ht="21.75" customHeight="1">
      <c r="A135" s="1424">
        <v>2</v>
      </c>
      <c r="B135" s="1425"/>
      <c r="C135" s="1425"/>
      <c r="D135" s="1421"/>
      <c r="E135" s="1421"/>
      <c r="F135" s="1421"/>
      <c r="G135" s="1421"/>
      <c r="H135" s="1422"/>
      <c r="I135" s="1423"/>
      <c r="J135" s="2786"/>
    </row>
    <row r="136" spans="1:10" ht="21.75" customHeight="1">
      <c r="A136" s="1424">
        <v>3</v>
      </c>
      <c r="B136" s="1425"/>
      <c r="C136" s="1425"/>
      <c r="D136" s="1421"/>
      <c r="E136" s="1421"/>
      <c r="F136" s="32"/>
      <c r="G136" s="32"/>
      <c r="H136" s="32"/>
      <c r="I136" s="32"/>
      <c r="J136" s="2787"/>
    </row>
    <row r="137" spans="1:10" ht="21.75" customHeight="1">
      <c r="A137" s="1426"/>
      <c r="B137" s="1427"/>
      <c r="C137" s="1427"/>
      <c r="D137" s="1428"/>
      <c r="E137" s="1428"/>
      <c r="F137" s="1428"/>
      <c r="G137" s="1428"/>
      <c r="H137" s="1429"/>
      <c r="I137" s="1430"/>
      <c r="J137" s="2786"/>
    </row>
    <row r="138" spans="1:10" ht="21.75" customHeight="1">
      <c r="A138" s="1425"/>
      <c r="B138" s="1425"/>
      <c r="C138" s="1425"/>
      <c r="D138" s="1421"/>
      <c r="E138" s="1421"/>
      <c r="F138" s="1421"/>
      <c r="G138" s="1421"/>
      <c r="H138" s="1422"/>
      <c r="I138" s="658"/>
      <c r="J138" s="2787"/>
    </row>
    <row r="139" spans="1:10" ht="21.75" customHeight="1">
      <c r="A139" s="658"/>
      <c r="B139" s="658"/>
      <c r="C139" s="658"/>
      <c r="D139" s="658"/>
      <c r="E139" s="658"/>
      <c r="F139" s="1431" t="s">
        <v>1637</v>
      </c>
      <c r="G139" s="1432"/>
      <c r="H139" s="1432"/>
      <c r="I139" s="1433" t="s">
        <v>1638</v>
      </c>
      <c r="J139" s="2788"/>
    </row>
    <row r="140" spans="1:10" ht="21.75" customHeight="1">
      <c r="A140" s="658"/>
      <c r="B140" s="1434" t="s">
        <v>1639</v>
      </c>
      <c r="C140" s="658"/>
      <c r="D140" s="658"/>
      <c r="E140" s="658"/>
      <c r="F140" s="658"/>
      <c r="G140" s="658"/>
      <c r="H140" s="658"/>
      <c r="I140" s="658"/>
      <c r="J140" s="2787"/>
    </row>
    <row r="141" spans="1:10" ht="21.75" customHeight="1">
      <c r="A141" s="658"/>
      <c r="B141" s="658"/>
      <c r="C141" s="658"/>
      <c r="D141" s="658"/>
      <c r="E141" s="658"/>
      <c r="F141" s="658"/>
      <c r="G141" s="658"/>
      <c r="H141" s="658"/>
      <c r="I141" s="658"/>
      <c r="J141" s="2787"/>
    </row>
    <row r="142" spans="1:10" ht="21.75" customHeight="1">
      <c r="A142" s="658"/>
      <c r="B142" s="1432"/>
      <c r="C142" s="1432"/>
      <c r="D142" s="1432"/>
      <c r="E142" s="1432"/>
      <c r="F142" s="1432"/>
      <c r="G142" s="1432"/>
      <c r="H142" s="1432"/>
      <c r="I142" s="1433" t="s">
        <v>1640</v>
      </c>
      <c r="J142" s="2788"/>
    </row>
    <row r="143" spans="1:10" ht="21.75" customHeight="1">
      <c r="A143" s="658"/>
      <c r="B143" s="1434" t="s">
        <v>1641</v>
      </c>
      <c r="C143" s="658"/>
      <c r="D143" s="658"/>
      <c r="E143" s="658"/>
      <c r="F143" s="658"/>
      <c r="G143" s="658"/>
      <c r="H143" s="658"/>
      <c r="I143" s="658"/>
      <c r="J143" s="2787"/>
    </row>
    <row r="144" spans="1:10" ht="21.75" customHeight="1">
      <c r="A144" s="658"/>
      <c r="B144" s="1434"/>
      <c r="C144" s="658"/>
      <c r="D144" s="658"/>
      <c r="E144" s="658"/>
      <c r="F144" s="658"/>
      <c r="G144" s="658"/>
      <c r="H144" s="658"/>
      <c r="I144" s="658"/>
      <c r="J144" s="2787"/>
    </row>
    <row r="145" spans="1:36" ht="21.75" customHeight="1">
      <c r="A145" s="658"/>
      <c r="B145" s="1432"/>
      <c r="C145" s="1432"/>
      <c r="D145" s="1432"/>
      <c r="E145" s="1432"/>
      <c r="F145" s="1432"/>
      <c r="G145" s="1432"/>
      <c r="H145" s="1432"/>
      <c r="I145" s="1433" t="s">
        <v>1640</v>
      </c>
      <c r="J145" s="2788"/>
    </row>
    <row r="146" spans="1:36" ht="21.75" customHeight="1">
      <c r="A146" s="658"/>
      <c r="B146" s="1434"/>
      <c r="C146" s="1435"/>
      <c r="D146" s="1436"/>
      <c r="E146" s="1436"/>
      <c r="F146" s="1437"/>
      <c r="G146" s="658"/>
      <c r="H146" s="658"/>
      <c r="I146" s="658"/>
      <c r="J146" s="2787"/>
    </row>
    <row r="147" spans="1:36" s="32" customFormat="1" ht="21.75" customHeight="1">
      <c r="A147" s="658"/>
      <c r="B147" s="1434"/>
      <c r="C147" s="1435"/>
      <c r="D147" s="1436"/>
      <c r="E147" s="1436"/>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7"/>
    </row>
    <row r="151" spans="1:36" s="658" customFormat="1" ht="21.75" customHeight="1">
      <c r="J151" s="2787"/>
    </row>
    <row r="152" spans="1:36" s="658" customFormat="1" ht="21.75" customHeight="1">
      <c r="J152" s="2787"/>
    </row>
    <row r="153" spans="1:36" s="658" customFormat="1" ht="21.75" customHeight="1">
      <c r="J153" s="2787"/>
    </row>
    <row r="154" spans="1:36" s="658" customFormat="1" ht="21.75" customHeight="1">
      <c r="J154" s="2787"/>
    </row>
    <row r="155" spans="1:36" s="658" customFormat="1" ht="21.75" customHeight="1">
      <c r="J155" s="2787"/>
    </row>
    <row r="156" spans="1:36" s="658" customFormat="1" ht="21.75" customHeight="1">
      <c r="J156" s="2787"/>
    </row>
    <row r="157" spans="1:36" s="658" customFormat="1" ht="21.75" customHeight="1">
      <c r="J157" s="2787"/>
    </row>
    <row r="158" spans="1:36" s="658" customFormat="1" ht="21.75" customHeight="1">
      <c r="J158" s="2787"/>
    </row>
    <row r="159" spans="1:36" s="658" customFormat="1" ht="21.75" customHeight="1">
      <c r="J159" s="2787"/>
    </row>
    <row r="160" spans="1:36"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10" s="658" customFormat="1" ht="21.75" customHeight="1">
      <c r="J369" s="2787"/>
    </row>
    <row r="370" spans="10:10" s="658" customFormat="1" ht="21.75" customHeight="1">
      <c r="J370" s="2787"/>
    </row>
    <row r="371" spans="10:10" s="658" customFormat="1" ht="21.75" customHeight="1">
      <c r="J371" s="2787"/>
    </row>
    <row r="372" spans="10:10" s="658" customFormat="1" ht="21.75" customHeight="1">
      <c r="J372" s="2787"/>
    </row>
    <row r="373" spans="10:10" s="658" customFormat="1" ht="21.75" customHeight="1">
      <c r="J373" s="2787"/>
    </row>
    <row r="374" spans="10:10" s="658" customFormat="1" ht="21.75" customHeight="1">
      <c r="J374" s="2787"/>
    </row>
    <row r="375" spans="10:10" s="658" customFormat="1" ht="21.75" customHeight="1">
      <c r="J375" s="2787"/>
    </row>
    <row r="376" spans="10:10" s="658" customFormat="1" ht="21.75" customHeight="1">
      <c r="J376" s="2787"/>
    </row>
    <row r="377" spans="10:10" s="658" customFormat="1" ht="21.75" customHeight="1">
      <c r="J377" s="2787"/>
    </row>
    <row r="378" spans="10:10" s="658" customFormat="1" ht="21.75" customHeight="1">
      <c r="J378" s="2787"/>
    </row>
    <row r="379" spans="10:10" s="658" customFormat="1" ht="21.75" customHeight="1">
      <c r="J379" s="2787"/>
    </row>
    <row r="380" spans="10:10" s="658" customFormat="1" ht="21.75" customHeight="1">
      <c r="J380" s="2787"/>
    </row>
    <row r="381" spans="10:10" s="658" customFormat="1" ht="21.75" customHeight="1">
      <c r="J381" s="2787"/>
    </row>
    <row r="382" spans="10:10" s="658" customFormat="1" ht="21.75" customHeight="1">
      <c r="J382" s="2787"/>
    </row>
    <row r="383" spans="10:10" s="658" customFormat="1" ht="21.75" customHeight="1">
      <c r="J383" s="2787"/>
    </row>
    <row r="384" spans="10:10" s="658" customFormat="1" ht="21.75" customHeight="1">
      <c r="J384" s="2787"/>
    </row>
    <row r="385" spans="10:10" s="658" customFormat="1" ht="21.75" customHeight="1">
      <c r="J385" s="2787"/>
    </row>
    <row r="386" spans="10:10" s="658" customFormat="1" ht="21.75" customHeight="1">
      <c r="J386" s="2787"/>
    </row>
    <row r="387" spans="10:10" s="658" customFormat="1" ht="21.75" customHeight="1">
      <c r="J387" s="2787"/>
    </row>
    <row r="388" spans="10:10" s="658" customFormat="1" ht="21.75" customHeight="1">
      <c r="J388" s="2787"/>
    </row>
    <row r="389" spans="10:10" s="658" customFormat="1" ht="21.75" customHeight="1">
      <c r="J389" s="2787"/>
    </row>
    <row r="390" spans="10:10" s="658" customFormat="1" ht="21.75" customHeight="1">
      <c r="J390" s="2787"/>
    </row>
    <row r="391" spans="10:10" s="658" customFormat="1" ht="21.75" customHeight="1">
      <c r="J391" s="2787"/>
    </row>
    <row r="392" spans="10:10" s="658" customFormat="1" ht="21.75" customHeight="1">
      <c r="J392" s="2787"/>
    </row>
    <row r="393" spans="10:10" s="658" customFormat="1" ht="21.75" customHeight="1">
      <c r="J393" s="2787"/>
    </row>
    <row r="394" spans="10:10" s="658" customFormat="1" ht="21.75" customHeight="1">
      <c r="J394" s="2787"/>
    </row>
    <row r="395" spans="10:10" s="658" customFormat="1" ht="21.75" customHeight="1">
      <c r="J395" s="2787"/>
    </row>
    <row r="396" spans="10:10" s="658" customFormat="1" ht="21.75" customHeight="1">
      <c r="J396" s="2787"/>
    </row>
    <row r="397" spans="10:10" s="658" customFormat="1" ht="21.75" customHeight="1">
      <c r="J397" s="2787"/>
    </row>
    <row r="398" spans="10:10" s="658" customFormat="1" ht="21.75" customHeight="1">
      <c r="J398" s="2787"/>
    </row>
    <row r="399" spans="10:10" s="658" customFormat="1" ht="21.75" customHeight="1">
      <c r="J399" s="2787"/>
    </row>
    <row r="400" spans="10:10" s="658" customFormat="1" ht="21.75" customHeight="1">
      <c r="J400" s="2787"/>
    </row>
    <row r="401" spans="10:27" s="658" customFormat="1" ht="21.75" customHeight="1">
      <c r="J401" s="2787"/>
    </row>
    <row r="402" spans="10:27" s="658" customFormat="1" ht="21.75" customHeight="1">
      <c r="J402" s="2787"/>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5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12" zoomScale="115" zoomScaleNormal="100" zoomScaleSheetLayoutView="115" zoomScalePageLayoutView="80" workbookViewId="0">
      <selection activeCell="C17" sqref="C1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6" t="s">
        <v>1643</v>
      </c>
      <c r="B2" s="3536"/>
      <c r="C2" s="3536"/>
      <c r="D2" s="3536"/>
      <c r="E2" s="3536"/>
      <c r="F2" s="3536"/>
      <c r="G2" s="3536"/>
      <c r="H2" s="3536"/>
      <c r="I2" s="3536"/>
      <c r="J2" s="2789"/>
    </row>
    <row r="3" spans="1:15" ht="12.75">
      <c r="A3" s="3496" t="s">
        <v>1471</v>
      </c>
      <c r="B3" s="3497"/>
      <c r="C3" s="3497"/>
      <c r="D3" s="3497"/>
      <c r="E3" s="3497"/>
      <c r="F3" s="3497"/>
      <c r="G3" s="3497"/>
      <c r="H3" s="3497"/>
      <c r="I3" s="3497"/>
      <c r="J3" s="2759"/>
    </row>
    <row r="4" spans="1:15" ht="14.25">
      <c r="A4" s="2627" t="s">
        <v>1472</v>
      </c>
      <c r="B4" s="2627" t="s">
        <v>1473</v>
      </c>
      <c r="C4" s="2628" t="s">
        <v>3093</v>
      </c>
      <c r="D4" s="2628" t="s">
        <v>3093</v>
      </c>
      <c r="E4" s="3493" t="s">
        <v>1644</v>
      </c>
      <c r="F4" s="3481"/>
      <c r="G4" s="3481"/>
      <c r="H4" s="3481"/>
      <c r="I4" s="3482"/>
      <c r="J4" s="2760"/>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2" t="s">
        <v>1475</v>
      </c>
      <c r="B5" s="3492">
        <v>25</v>
      </c>
      <c r="C5" s="3498"/>
      <c r="D5" s="3495"/>
      <c r="E5" s="12" t="s">
        <v>1476</v>
      </c>
      <c r="F5" s="2013"/>
      <c r="G5" s="2013"/>
      <c r="H5" s="2013"/>
      <c r="I5" s="2008"/>
      <c r="J5" s="2760"/>
    </row>
    <row r="6" spans="1:15" ht="12.75">
      <c r="A6" s="3492"/>
      <c r="B6" s="3492"/>
      <c r="C6" s="3499"/>
      <c r="D6" s="3495"/>
      <c r="E6" s="12" t="s">
        <v>1477</v>
      </c>
      <c r="F6" s="2013"/>
      <c r="G6" s="2013"/>
      <c r="H6" s="2013"/>
      <c r="I6" s="2008"/>
      <c r="J6" s="2760"/>
    </row>
    <row r="7" spans="1:15" ht="12.75">
      <c r="A7" s="3492"/>
      <c r="B7" s="3492"/>
      <c r="C7" s="3500"/>
      <c r="D7" s="3495"/>
      <c r="E7" s="12" t="s">
        <v>1478</v>
      </c>
      <c r="F7" s="2013"/>
      <c r="G7" s="2013"/>
      <c r="H7" s="2013"/>
      <c r="I7" s="2008"/>
      <c r="J7" s="2760"/>
    </row>
    <row r="8" spans="1:15" ht="12.75">
      <c r="A8" s="3492" t="s">
        <v>1479</v>
      </c>
      <c r="B8" s="3492">
        <v>15</v>
      </c>
      <c r="C8" s="3498"/>
      <c r="D8" s="3495"/>
      <c r="E8" s="12" t="s">
        <v>1480</v>
      </c>
      <c r="F8" s="2013"/>
      <c r="G8" s="2013"/>
      <c r="H8" s="2013"/>
      <c r="I8" s="2008"/>
      <c r="J8" s="2760"/>
    </row>
    <row r="9" spans="1:15" ht="12.75">
      <c r="A9" s="3492"/>
      <c r="B9" s="3492"/>
      <c r="C9" s="3500"/>
      <c r="D9" s="3495"/>
      <c r="E9" s="12" t="s">
        <v>1481</v>
      </c>
      <c r="F9" s="2013"/>
      <c r="G9" s="2013"/>
      <c r="H9" s="2013"/>
      <c r="I9" s="2008"/>
      <c r="J9" s="2760"/>
    </row>
    <row r="10" spans="1:15" ht="12.75">
      <c r="A10" s="3492" t="s">
        <v>1482</v>
      </c>
      <c r="B10" s="3492">
        <v>15</v>
      </c>
      <c r="C10" s="3498"/>
      <c r="D10" s="3495"/>
      <c r="E10" s="12" t="s">
        <v>1483</v>
      </c>
      <c r="F10" s="2013"/>
      <c r="G10" s="2013"/>
      <c r="H10" s="2013"/>
      <c r="I10" s="2008"/>
      <c r="J10" s="2760"/>
    </row>
    <row r="11" spans="1:15" ht="12.75">
      <c r="A11" s="3492"/>
      <c r="B11" s="3492"/>
      <c r="C11" s="3500"/>
      <c r="D11" s="3495"/>
      <c r="E11" s="12" t="s">
        <v>1484</v>
      </c>
      <c r="F11" s="2013"/>
      <c r="G11" s="2013"/>
      <c r="H11" s="2013"/>
      <c r="I11" s="2008"/>
      <c r="J11" s="2760"/>
    </row>
    <row r="12" spans="1:15" ht="12.75">
      <c r="A12" s="3492" t="s">
        <v>1485</v>
      </c>
      <c r="B12" s="3492">
        <v>15</v>
      </c>
      <c r="C12" s="3498"/>
      <c r="D12" s="3495"/>
      <c r="E12" s="12" t="s">
        <v>1486</v>
      </c>
      <c r="F12" s="2013"/>
      <c r="G12" s="2013"/>
      <c r="H12" s="2013"/>
      <c r="I12" s="2008"/>
      <c r="J12" s="2760"/>
    </row>
    <row r="13" spans="1:15" ht="12.75">
      <c r="A13" s="3492"/>
      <c r="B13" s="3492"/>
      <c r="C13" s="3500"/>
      <c r="D13" s="3495"/>
      <c r="E13" s="12" t="s">
        <v>1487</v>
      </c>
      <c r="F13" s="2013"/>
      <c r="G13" s="2013"/>
      <c r="H13" s="2013"/>
      <c r="I13" s="2008"/>
      <c r="J13" s="2760"/>
    </row>
    <row r="14" spans="1:15" ht="12.75">
      <c r="A14" s="3492" t="s">
        <v>1488</v>
      </c>
      <c r="B14" s="3492">
        <v>30</v>
      </c>
      <c r="C14" s="3498">
        <v>1</v>
      </c>
      <c r="D14" s="3495"/>
      <c r="E14" s="12" t="s">
        <v>1489</v>
      </c>
      <c r="F14" s="2013"/>
      <c r="G14" s="2013"/>
      <c r="H14" s="2013"/>
      <c r="I14" s="2008"/>
      <c r="J14" s="2760"/>
    </row>
    <row r="15" spans="1:15" ht="12.75">
      <c r="A15" s="3492"/>
      <c r="B15" s="3492"/>
      <c r="C15" s="3499"/>
      <c r="D15" s="3495"/>
      <c r="E15" s="12" t="s">
        <v>1490</v>
      </c>
      <c r="F15" s="2013"/>
      <c r="G15" s="2013"/>
      <c r="H15" s="2013"/>
      <c r="I15" s="2008"/>
      <c r="J15" s="2760"/>
    </row>
    <row r="16" spans="1:15" ht="12.75">
      <c r="A16" s="3492"/>
      <c r="B16" s="3492"/>
      <c r="C16" s="3500"/>
      <c r="D16" s="3495"/>
      <c r="E16" s="12" t="s">
        <v>1491</v>
      </c>
      <c r="F16" s="2013"/>
      <c r="G16" s="2013"/>
      <c r="H16" s="2013"/>
      <c r="I16" s="2008"/>
      <c r="J16" s="2760"/>
    </row>
    <row r="17" spans="1:36" ht="15">
      <c r="A17" s="2629" t="s">
        <v>1492</v>
      </c>
      <c r="B17" s="2018"/>
      <c r="C17" s="2630">
        <f>SUM(C5:C16)</f>
        <v>1</v>
      </c>
      <c r="D17" s="2630">
        <f>SUM(D5:D16)</f>
        <v>0</v>
      </c>
      <c r="E17" s="2477"/>
      <c r="F17" s="2477"/>
      <c r="G17" s="2477"/>
      <c r="H17" s="2477"/>
      <c r="I17" s="2477"/>
      <c r="J17" s="2761"/>
    </row>
    <row r="18" spans="1:36" ht="32.450000000000003" customHeight="1" thickBot="1">
      <c r="A18" s="2631" t="s">
        <v>1493</v>
      </c>
      <c r="B18" s="2632"/>
      <c r="C18" s="2633">
        <f>ROUND(C17/SUM(C17:D17),2)</f>
        <v>1</v>
      </c>
      <c r="D18" s="2633">
        <f>1-C18</f>
        <v>0</v>
      </c>
      <c r="E18" s="3512" t="s">
        <v>2576</v>
      </c>
      <c r="F18" s="3513"/>
      <c r="G18" s="3513"/>
      <c r="H18" s="3513"/>
      <c r="I18" s="3513"/>
      <c r="J18" s="2761"/>
    </row>
    <row r="19" spans="1:36" ht="15">
      <c r="A19" s="2634" t="s">
        <v>1494</v>
      </c>
      <c r="B19" s="2635" t="s">
        <v>1495</v>
      </c>
      <c r="C19" s="2636">
        <f ca="1">SUMIF(INDIRECT("'"&amp;C4&amp;"'"&amp;"!A:A"),'结果表 (1修多)'!B19,INDIRECT("'"&amp;C4&amp;"'"&amp;"!B:B"))</f>
        <v>2940</v>
      </c>
      <c r="D19" s="2637">
        <f ca="1">SUMIF(INDIRECT("'"&amp;D4&amp;"'"&amp;"!A:A"),'结果表 (1修多)'!B19,INDIRECT("'"&amp;D4&amp;"'"&amp;"!B:B"))</f>
        <v>2940</v>
      </c>
      <c r="E19" s="2634" t="s">
        <v>1496</v>
      </c>
      <c r="F19" s="2635" t="s">
        <v>1495</v>
      </c>
      <c r="G19" s="2638">
        <f ca="1">ROUND(C19*$C$18+D19*$D$18,0)</f>
        <v>2940</v>
      </c>
      <c r="H19" s="2639" t="str">
        <f>'数据-取费表'!B3</f>
        <v>万元</v>
      </c>
      <c r="I19" s="2477"/>
      <c r="J19" s="2761"/>
    </row>
    <row r="20" spans="1:36" ht="15">
      <c r="A20" s="2640"/>
      <c r="B20" s="1621" t="s">
        <v>1497</v>
      </c>
      <c r="C20" s="1843">
        <f ca="1">SUMIF(INDIRECT("'"&amp;C4&amp;"'"&amp;"!A:A"),'结果表 (1修多)'!B20,INDIRECT("'"&amp;C4&amp;"'"&amp;"!B:B"))</f>
        <v>38138</v>
      </c>
      <c r="D20" s="1846">
        <f ca="1">SUMIF(INDIRECT("'"&amp;D4&amp;"'"&amp;"!A:A"),'结果表 (1修多)'!B20,INDIRECT("'"&amp;D4&amp;"'"&amp;"!B:B"))</f>
        <v>38138</v>
      </c>
      <c r="E20" s="2640"/>
      <c r="F20" s="1621" t="s">
        <v>1497</v>
      </c>
      <c r="G20" s="2017">
        <f ca="1">ROUND(C20*$C$18+D20*$D$18,0)</f>
        <v>38138</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501" t="s">
        <v>1500</v>
      </c>
      <c r="B24" s="2635" t="s">
        <v>1495</v>
      </c>
      <c r="C24" s="2638">
        <f>D30</f>
        <v>0</v>
      </c>
      <c r="D24" s="2590"/>
      <c r="E24" s="904"/>
      <c r="F24" s="904"/>
      <c r="G24" s="904"/>
      <c r="H24" s="904"/>
      <c r="I24" s="904"/>
      <c r="J24" s="2761"/>
    </row>
    <row r="25" spans="1:36" ht="21.75" customHeight="1">
      <c r="A25" s="3502"/>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t="s">
        <v>1645</v>
      </c>
      <c r="B27" s="2653">
        <v>0</v>
      </c>
      <c r="C27" s="2653">
        <v>0</v>
      </c>
      <c r="D27" s="2654">
        <f>ROUND(C27*B27/10000,0)</f>
        <v>0</v>
      </c>
      <c r="E27" s="904"/>
      <c r="F27" s="904"/>
      <c r="G27" s="904"/>
      <c r="H27" s="904"/>
      <c r="I27" s="904"/>
      <c r="J27" s="2761"/>
    </row>
    <row r="28" spans="1:36" ht="14.25">
      <c r="A28" s="2652"/>
      <c r="B28" s="2653"/>
      <c r="C28" s="2653"/>
      <c r="D28" s="2654">
        <f>ROUND(C28*B28/10000,0)</f>
        <v>0</v>
      </c>
      <c r="E28" s="904"/>
      <c r="F28" s="904"/>
      <c r="G28" s="904"/>
      <c r="H28" s="904"/>
      <c r="I28" s="904"/>
      <c r="J28" s="2761"/>
    </row>
    <row r="29" spans="1:36" ht="14.25">
      <c r="A29" s="2652"/>
      <c r="B29" s="2653"/>
      <c r="C29" s="2653"/>
      <c r="D29" s="2654">
        <f t="shared" ref="D29" si="0">ROUND(C29*B29/10000,0)</f>
        <v>0</v>
      </c>
      <c r="E29" s="904"/>
      <c r="F29" s="904"/>
      <c r="G29" s="904"/>
      <c r="H29" s="904"/>
      <c r="I29" s="904"/>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2" customFormat="1" ht="16.5" thickTop="1" thickBot="1">
      <c r="A32" s="3558" t="s">
        <v>1647</v>
      </c>
      <c r="B32" s="3558"/>
      <c r="C32" s="3558"/>
      <c r="D32" s="3558"/>
      <c r="E32" s="3558"/>
      <c r="F32" s="3558"/>
      <c r="G32" s="3558"/>
      <c r="H32" s="3558"/>
      <c r="I32" s="3558"/>
      <c r="J32" s="2790"/>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0" t="s">
        <v>1648</v>
      </c>
      <c r="C33" s="2691">
        <f ca="1">典型户型修正!R27</f>
        <v>38137</v>
      </c>
      <c r="D33" s="2477" t="s">
        <v>1649</v>
      </c>
      <c r="E33" s="904"/>
      <c r="F33" s="904"/>
      <c r="G33" s="904"/>
      <c r="H33" s="904"/>
      <c r="I33" s="904"/>
      <c r="J33" s="2761"/>
    </row>
    <row r="34" spans="1:16" ht="15">
      <c r="A34" s="1439" t="s">
        <v>1650</v>
      </c>
      <c r="B34" s="2692" t="s">
        <v>1651</v>
      </c>
      <c r="C34" s="2693">
        <f ca="1">典型户型修正!B2</f>
        <v>2940</v>
      </c>
      <c r="D34" s="2694" t="str">
        <f>IF('数据-取费表'!B3="万元","万元","元")</f>
        <v>万元</v>
      </c>
      <c r="E34" s="904"/>
      <c r="F34" s="904"/>
      <c r="G34" s="904"/>
      <c r="H34" s="904"/>
      <c r="I34" s="904"/>
      <c r="J34" s="2761"/>
    </row>
    <row r="35" spans="1:16" ht="15.75" thickBot="1">
      <c r="A35" s="1440"/>
      <c r="B35" s="2695" t="s">
        <v>1652</v>
      </c>
      <c r="C35" s="2644">
        <f ca="1">典型户型修正!B3</f>
        <v>38138</v>
      </c>
      <c r="D35" s="2477" t="s">
        <v>1653</v>
      </c>
      <c r="E35" s="904"/>
      <c r="F35" s="904"/>
      <c r="G35" s="904"/>
      <c r="H35" s="904"/>
      <c r="I35" s="904"/>
      <c r="J35" s="2761"/>
    </row>
    <row r="36" spans="1:16" ht="15">
      <c r="A36" s="1441"/>
      <c r="B36" s="1395" t="s">
        <v>1654</v>
      </c>
      <c r="C36" s="2696">
        <f>IF('数据-取费表'!B3="万元",典型户型修正!V25,典型户型修正!U25)</f>
        <v>0</v>
      </c>
      <c r="D36" s="2477" t="str">
        <f>D34</f>
        <v>万元</v>
      </c>
      <c r="E36" s="904"/>
      <c r="F36" s="904"/>
      <c r="G36" s="904"/>
      <c r="H36" s="904"/>
      <c r="I36" s="904"/>
      <c r="J36" s="2761"/>
    </row>
    <row r="37" spans="1:16" ht="15.75" thickBot="1">
      <c r="A37" s="1394"/>
      <c r="B37" s="1396" t="s">
        <v>1655</v>
      </c>
      <c r="C37" s="2697">
        <f>IF('数据-取费表'!B3="万元",典型户型修正!Y25,典型户型修正!X25)</f>
        <v>0</v>
      </c>
      <c r="D37" s="2477" t="str">
        <f>D34</f>
        <v>万元</v>
      </c>
      <c r="E37" s="904"/>
      <c r="F37" s="904"/>
      <c r="G37" s="904"/>
      <c r="H37" s="904"/>
      <c r="I37" s="904"/>
      <c r="J37" s="2761"/>
    </row>
    <row r="38" spans="1:16" ht="15.75" thickBot="1">
      <c r="A38" s="3501" t="s">
        <v>1656</v>
      </c>
      <c r="B38" s="1395" t="s">
        <v>1657</v>
      </c>
      <c r="C38" s="2671"/>
      <c r="D38" s="2672"/>
      <c r="E38" s="1607"/>
      <c r="F38" s="1607"/>
      <c r="G38" s="904"/>
      <c r="H38" s="904"/>
      <c r="I38" s="904"/>
      <c r="J38" s="2761"/>
    </row>
    <row r="39" spans="1:16" ht="15.75" thickBot="1">
      <c r="A39" s="3506"/>
      <c r="B39" s="2018" t="s">
        <v>1658</v>
      </c>
      <c r="C39" s="2673"/>
      <c r="D39" s="1238"/>
      <c r="E39" s="1238"/>
      <c r="F39" s="1607"/>
      <c r="G39" s="1238"/>
      <c r="H39" s="1238"/>
      <c r="I39" s="1238"/>
      <c r="J39" s="2765"/>
    </row>
    <row r="40" spans="1:16" ht="15.75" thickBot="1">
      <c r="A40" s="3507"/>
      <c r="B40" s="1396" t="s">
        <v>1659</v>
      </c>
      <c r="C40" s="2674"/>
      <c r="D40" s="2675" t="s">
        <v>1660</v>
      </c>
      <c r="E40" s="1238"/>
      <c r="F40" s="1607"/>
      <c r="G40" s="1238"/>
      <c r="H40" s="1238"/>
      <c r="I40" s="1238"/>
      <c r="J40" s="2765"/>
    </row>
    <row r="41" spans="1:16" ht="15">
      <c r="A41" s="2640" t="s">
        <v>1661</v>
      </c>
      <c r="B41" s="2676" t="s">
        <v>1662</v>
      </c>
      <c r="C41" s="2677" t="s">
        <v>1663</v>
      </c>
      <c r="D41" s="2677" t="s">
        <v>1664</v>
      </c>
      <c r="E41" s="2678" t="s">
        <v>1665</v>
      </c>
      <c r="F41" s="1607"/>
      <c r="G41" s="1238"/>
      <c r="H41" s="1238"/>
      <c r="I41" s="1238"/>
      <c r="J41" s="2765"/>
    </row>
    <row r="42" spans="1:16" ht="14.25">
      <c r="A42" s="2679" t="s">
        <v>1666</v>
      </c>
      <c r="B42" s="2680"/>
      <c r="C42" s="2681"/>
      <c r="D42" s="2681"/>
      <c r="E42" s="2682"/>
      <c r="F42" s="1607"/>
      <c r="G42" s="1238"/>
      <c r="H42" s="1238"/>
      <c r="I42" s="1238"/>
      <c r="J42" s="2765"/>
    </row>
    <row r="43" spans="1:16" ht="14.25">
      <c r="A43" s="2679" t="s">
        <v>1667</v>
      </c>
      <c r="B43" s="2680"/>
      <c r="C43" s="2681"/>
      <c r="D43" s="2681"/>
      <c r="E43" s="2682"/>
      <c r="F43" s="1607"/>
      <c r="G43" s="1238"/>
      <c r="H43" s="1238"/>
      <c r="I43" s="1238"/>
      <c r="J43" s="2765"/>
    </row>
    <row r="44" spans="1:16" ht="15" thickBot="1">
      <c r="A44" s="2683"/>
      <c r="B44" s="2684"/>
      <c r="C44" s="2685"/>
      <c r="D44" s="2685"/>
      <c r="E44" s="2670"/>
      <c r="F44" s="1607"/>
      <c r="G44" s="1238"/>
      <c r="H44" s="1238"/>
      <c r="I44" s="1238"/>
      <c r="J44" s="2765"/>
    </row>
    <row r="45" spans="1:16" ht="12.75">
      <c r="A45" s="1408"/>
      <c r="B45" s="1408"/>
      <c r="C45" s="1408"/>
      <c r="D45" s="1408"/>
      <c r="E45" s="1408"/>
      <c r="F45" s="1364"/>
      <c r="G45" s="1364"/>
      <c r="H45" s="1364"/>
      <c r="I45" s="2686"/>
      <c r="J45" s="2766"/>
    </row>
    <row r="46" spans="1:16" ht="18.75">
      <c r="A46" s="1398" t="s">
        <v>1668</v>
      </c>
      <c r="B46" s="1399"/>
      <c r="C46" s="1399"/>
      <c r="D46" s="2698"/>
      <c r="E46" s="2698"/>
      <c r="F46" s="2698"/>
      <c r="G46" s="2698"/>
      <c r="H46" s="2698"/>
      <c r="I46" s="2755" t="s">
        <v>2575</v>
      </c>
      <c r="J46" s="2791"/>
      <c r="K46" s="1402" t="s">
        <v>1523</v>
      </c>
      <c r="L46" s="1403"/>
      <c r="M46" s="1403"/>
      <c r="N46" s="1403"/>
      <c r="O46" s="1403"/>
      <c r="P46" s="1403"/>
    </row>
    <row r="47" spans="1:16" ht="14.25" customHeight="1" thickBot="1">
      <c r="A47" s="3426" t="s">
        <v>1669</v>
      </c>
      <c r="B47" s="3427"/>
      <c r="C47" s="3437"/>
      <c r="D47" s="246">
        <f ca="1">ROUND(I104*F47,0)</f>
        <v>2940</v>
      </c>
      <c r="E47" s="1469" t="s">
        <v>1670</v>
      </c>
      <c r="F47" s="2475">
        <v>1</v>
      </c>
      <c r="G47" s="2476" t="s">
        <v>1671</v>
      </c>
      <c r="H47" s="904"/>
      <c r="I47" s="904"/>
      <c r="J47" s="2761"/>
      <c r="K47" s="3531" t="s">
        <v>1527</v>
      </c>
      <c r="L47" s="3531"/>
      <c r="M47" s="3531"/>
      <c r="N47" s="3531"/>
      <c r="O47" s="3531"/>
      <c r="P47" s="3531"/>
    </row>
    <row r="48" spans="1:16" ht="14.25" customHeight="1">
      <c r="A48" s="3503" t="s">
        <v>1528</v>
      </c>
      <c r="B48" s="3504"/>
      <c r="C48" s="3504"/>
      <c r="D48" s="3504"/>
      <c r="E48" s="3504"/>
      <c r="F48" s="3504"/>
      <c r="G48" s="3505"/>
      <c r="H48" s="2893"/>
      <c r="I48" s="904"/>
      <c r="J48" s="2761"/>
      <c r="K48" s="2427">
        <v>1</v>
      </c>
      <c r="L48" s="3532" t="s">
        <v>1529</v>
      </c>
      <c r="M48" s="3532"/>
      <c r="N48" s="3533"/>
      <c r="O48" s="3533"/>
      <c r="P48" s="3533"/>
    </row>
    <row r="49" spans="1:17" ht="12" customHeight="1">
      <c r="A49" s="38" t="s">
        <v>1530</v>
      </c>
      <c r="B49" s="39"/>
      <c r="C49" s="40"/>
      <c r="D49" s="1027" t="s">
        <v>1531</v>
      </c>
      <c r="E49" s="235" t="s">
        <v>1532</v>
      </c>
      <c r="F49" s="41" t="s">
        <v>1533</v>
      </c>
      <c r="G49" s="2478" t="s">
        <v>1534</v>
      </c>
      <c r="H49" s="2893"/>
      <c r="I49" s="904"/>
      <c r="J49" s="2761"/>
      <c r="K49" s="2427">
        <v>2</v>
      </c>
      <c r="L49" s="3532" t="s">
        <v>1535</v>
      </c>
      <c r="M49" s="3532"/>
      <c r="N49" s="3535">
        <f>'数据-取费表'!B2</f>
        <v>44858</v>
      </c>
      <c r="O49" s="3535"/>
      <c r="P49" s="3535"/>
    </row>
    <row r="50" spans="1:17" ht="25.5">
      <c r="A50" s="3508" t="s">
        <v>1536</v>
      </c>
      <c r="B50" s="3442"/>
      <c r="C50" s="3442"/>
      <c r="D50" s="12">
        <f ca="1">IF(H50="情况1",0,IF(H50="情况2",D54,IF(H50="情况3",D55,IF(H50="情况4",D56))))</f>
        <v>157</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532" t="s">
        <v>1539</v>
      </c>
      <c r="M50" s="3532"/>
      <c r="N50" s="3537">
        <f ca="1">I104</f>
        <v>2940</v>
      </c>
      <c r="O50" s="3537"/>
      <c r="P50" s="3537"/>
    </row>
    <row r="51" spans="1:17" ht="25.5" customHeight="1">
      <c r="A51" s="2015" t="s">
        <v>1540</v>
      </c>
      <c r="B51" s="3481" t="s">
        <v>1541</v>
      </c>
      <c r="C51" s="3481"/>
      <c r="D51" s="2482">
        <v>0</v>
      </c>
      <c r="E51" s="261" t="s">
        <v>1542</v>
      </c>
      <c r="F51" s="2483" t="s">
        <v>48</v>
      </c>
      <c r="G51" s="3423"/>
      <c r="H51" s="2484" t="s">
        <v>2500</v>
      </c>
      <c r="I51" s="2485"/>
      <c r="J51" s="2769"/>
      <c r="K51" s="2427">
        <v>4</v>
      </c>
      <c r="L51" s="3532" t="str">
        <f>IF(项目基本情况!F5="房地产抵押价值","房地产抵押价值","抵押担保权已注销时的房地产抵押价值")</f>
        <v>房地产抵押价值</v>
      </c>
      <c r="M51" s="3532"/>
      <c r="N51" s="3537">
        <f ca="1">IF(项目基本情况!F5="房地产抵押价值",I112,I114)</f>
        <v>2940</v>
      </c>
      <c r="O51" s="3537"/>
      <c r="P51" s="3537"/>
    </row>
    <row r="52" spans="1:17" ht="25.5" customHeight="1">
      <c r="A52" s="2005"/>
      <c r="B52" s="3481" t="s">
        <v>1543</v>
      </c>
      <c r="C52" s="3481"/>
      <c r="D52" s="2486"/>
      <c r="E52" s="269"/>
      <c r="F52" s="2483"/>
      <c r="G52" s="3424"/>
      <c r="H52" s="2487" t="s">
        <v>2501</v>
      </c>
      <c r="I52" s="2485"/>
      <c r="J52" s="2769"/>
      <c r="K52" s="3532" t="s">
        <v>1544</v>
      </c>
      <c r="L52" s="3532"/>
      <c r="M52" s="3532"/>
      <c r="N52" s="3532"/>
      <c r="O52" s="3532"/>
      <c r="P52" s="3532"/>
    </row>
    <row r="53" spans="1:17" ht="20.45" customHeight="1">
      <c r="A53" s="2488"/>
      <c r="B53" s="3481" t="s">
        <v>1545</v>
      </c>
      <c r="C53" s="3481"/>
      <c r="D53" s="1027"/>
      <c r="E53" s="264"/>
      <c r="F53" s="2483"/>
      <c r="G53" s="3425"/>
      <c r="H53" s="2487" t="s">
        <v>2502</v>
      </c>
      <c r="I53" s="2485"/>
      <c r="J53" s="2769"/>
      <c r="K53" s="2428" t="s">
        <v>1546</v>
      </c>
      <c r="L53" s="3532" t="s">
        <v>1547</v>
      </c>
      <c r="M53" s="3532"/>
      <c r="N53" s="2428" t="s">
        <v>1548</v>
      </c>
      <c r="O53" s="2428" t="s">
        <v>1549</v>
      </c>
      <c r="P53" s="2428" t="s">
        <v>1550</v>
      </c>
    </row>
    <row r="54" spans="1:17" ht="24" customHeight="1">
      <c r="A54" s="2006" t="s">
        <v>1551</v>
      </c>
      <c r="B54" s="3481" t="s">
        <v>1552</v>
      </c>
      <c r="C54" s="3481"/>
      <c r="D54" s="1027">
        <f ca="1">ROUND(D47*'数据-取费表'!E29/(1+'数据-取费表'!F30),0)</f>
        <v>157</v>
      </c>
      <c r="E54" s="2016" t="s">
        <v>1553</v>
      </c>
      <c r="F54" s="2489">
        <f>'数据-取费表'!E29</f>
        <v>5.6000000000000001E-2</v>
      </c>
      <c r="G54" s="2490"/>
      <c r="H54" s="904"/>
      <c r="I54" s="2894"/>
      <c r="J54" s="2769"/>
      <c r="K54" s="2427">
        <v>1</v>
      </c>
      <c r="L54" s="3534" t="s">
        <v>1554</v>
      </c>
      <c r="M54" s="3534"/>
      <c r="N54" s="2429">
        <f ca="1">D50</f>
        <v>157</v>
      </c>
      <c r="O54" s="2427" t="str">
        <f>E50</f>
        <v>销售额×税（费）率</v>
      </c>
      <c r="P54" s="2430">
        <f>F50</f>
        <v>5.6000000000000001E-2</v>
      </c>
    </row>
    <row r="55" spans="1:17" ht="12" customHeight="1">
      <c r="A55" s="2006" t="s">
        <v>1555</v>
      </c>
      <c r="B55" s="3493" t="s">
        <v>2593</v>
      </c>
      <c r="C55" s="3482"/>
      <c r="D55" s="1027">
        <f ca="1">ROUND(D47*'数据-取费表'!E29/(1+'数据-取费表'!F30),0)</f>
        <v>157</v>
      </c>
      <c r="E55" s="2016" t="s">
        <v>1553</v>
      </c>
      <c r="F55" s="2489">
        <f>'数据-取费表'!E29</f>
        <v>5.6000000000000001E-2</v>
      </c>
      <c r="G55" s="2490"/>
      <c r="H55" s="904"/>
      <c r="I55" s="2894"/>
      <c r="J55" s="2769"/>
      <c r="K55" s="2427">
        <v>2</v>
      </c>
      <c r="L55" s="3534" t="s">
        <v>1556</v>
      </c>
      <c r="M55" s="3534"/>
      <c r="N55" s="2429">
        <f t="shared" ref="N55:P56" ca="1" si="1">D57</f>
        <v>1</v>
      </c>
      <c r="O55" s="2427" t="str">
        <f t="shared" si="1"/>
        <v>销售额×税（费）率</v>
      </c>
      <c r="P55" s="2430">
        <f t="shared" si="1"/>
        <v>5.0000000000000001E-4</v>
      </c>
    </row>
    <row r="56" spans="1:17" ht="12" customHeight="1">
      <c r="A56" s="2006" t="s">
        <v>1557</v>
      </c>
      <c r="B56" s="3493" t="s">
        <v>2594</v>
      </c>
      <c r="C56" s="3482"/>
      <c r="D56" s="1027">
        <f ca="1">C70</f>
        <v>157</v>
      </c>
      <c r="E56" s="264" t="s">
        <v>1558</v>
      </c>
      <c r="F56" s="2489">
        <f>'数据-取费表'!E29</f>
        <v>5.6000000000000001E-2</v>
      </c>
      <c r="G56" s="2490"/>
      <c r="H56" s="2895"/>
      <c r="I56" s="2894"/>
      <c r="J56" s="2769"/>
      <c r="K56" s="2427">
        <v>3</v>
      </c>
      <c r="L56" s="3534" t="s">
        <v>1559</v>
      </c>
      <c r="M56" s="3534"/>
      <c r="N56" s="2429">
        <f t="shared" ca="1" si="1"/>
        <v>1664</v>
      </c>
      <c r="O56" s="2427" t="str">
        <f t="shared" si="1"/>
        <v>增值额×税（费）率</v>
      </c>
      <c r="P56" s="2431" t="str">
        <f t="shared" si="1"/>
        <v>——</v>
      </c>
    </row>
    <row r="57" spans="1:17" ht="24" customHeight="1">
      <c r="A57" s="3446" t="s">
        <v>1560</v>
      </c>
      <c r="B57" s="3442"/>
      <c r="C57" s="3442"/>
      <c r="D57" s="12">
        <f ca="1">IF(H57="个人住宅",0,ROUND(D47*I57,0))</f>
        <v>1</v>
      </c>
      <c r="E57" s="2016" t="s">
        <v>1561</v>
      </c>
      <c r="F57" s="2489">
        <f>IF(H57="正常",I57,"免征")</f>
        <v>5.0000000000000001E-4</v>
      </c>
      <c r="G57" s="2490"/>
      <c r="H57" s="2481" t="s">
        <v>1562</v>
      </c>
      <c r="I57" s="74">
        <f>'数据-取费表'!E37</f>
        <v>5.0000000000000001E-4</v>
      </c>
      <c r="J57" s="2769"/>
      <c r="K57" s="2427">
        <f>IF(H61="非个人房产","",4)</f>
        <v>4</v>
      </c>
      <c r="L57" s="3534" t="str">
        <f>IF(H61="非个人房产","——","个人所得税")</f>
        <v>个人所得税</v>
      </c>
      <c r="M57" s="3534"/>
      <c r="N57" s="2432">
        <f ca="1">D61</f>
        <v>29</v>
      </c>
      <c r="O57" s="2433" t="str">
        <f>E61</f>
        <v>销售额×税（费）率</v>
      </c>
      <c r="P57" s="2434">
        <f>F61</f>
        <v>0.01</v>
      </c>
    </row>
    <row r="58" spans="1:17" ht="24.75">
      <c r="A58" s="3446" t="s">
        <v>1563</v>
      </c>
      <c r="B58" s="3442"/>
      <c r="C58" s="3442"/>
      <c r="D58" s="12">
        <f ca="1">IF(H58="个人住宅",D59,D60)</f>
        <v>1664</v>
      </c>
      <c r="E58" s="2016" t="s">
        <v>1564</v>
      </c>
      <c r="F58" s="2489" t="str">
        <f>IF(H58="正常",F60,"免征")</f>
        <v>——</v>
      </c>
      <c r="G58" s="2491" t="s">
        <v>1565</v>
      </c>
      <c r="H58" s="2492" t="s">
        <v>1562</v>
      </c>
      <c r="I58" s="2896"/>
      <c r="J58" s="2769"/>
      <c r="K58" s="2427" t="str">
        <f>IF(项目基本情况!I6="上海银行",IF(K57="",4,K57+1),"")</f>
        <v/>
      </c>
      <c r="L58" s="3538" t="str">
        <f>IF(项目基本情况!I6="上海银行","其他处置费用","")</f>
        <v/>
      </c>
      <c r="M58" s="3543"/>
      <c r="N58" s="2429" t="str">
        <f>IF(项目基本情况!I6="上海银行",N71,"")</f>
        <v/>
      </c>
      <c r="O58" s="3538" t="str">
        <f>IF(项目基本情况!I6="上海银行","包含处置中涉及的律师、诉讼、拍卖、评估等费用","")</f>
        <v/>
      </c>
      <c r="P58" s="3539"/>
    </row>
    <row r="59" spans="1:17" ht="12.75">
      <c r="A59" s="2006" t="s">
        <v>1540</v>
      </c>
      <c r="B59" s="3493" t="s">
        <v>1566</v>
      </c>
      <c r="C59" s="3482"/>
      <c r="D59" s="2482">
        <v>0</v>
      </c>
      <c r="E59" s="261" t="s">
        <v>1542</v>
      </c>
      <c r="F59" s="235"/>
      <c r="G59" s="2490"/>
      <c r="H59" s="2896"/>
      <c r="I59" s="2896"/>
      <c r="J59" s="2769"/>
      <c r="K59" s="3534">
        <f>IF(AND(K57="",K58=""),4,IF(项目基本情况!I6="上海银行",K58+1,K57+1))</f>
        <v>5</v>
      </c>
      <c r="L59" s="3534" t="s">
        <v>1567</v>
      </c>
      <c r="M59" s="2435" t="s">
        <v>1568</v>
      </c>
      <c r="N59" s="2436"/>
      <c r="O59" s="2437">
        <f ca="1">SUMIF(N54:N58,"&lt;9e307")</f>
        <v>1851</v>
      </c>
      <c r="P59" s="2438"/>
      <c r="Q59" s="1233">
        <f ca="1">O59/N51</f>
        <v>0.62959183673469388</v>
      </c>
    </row>
    <row r="60" spans="1:17" ht="24.75">
      <c r="A60" s="2006" t="s">
        <v>1551</v>
      </c>
      <c r="B60" s="3493" t="s">
        <v>1569</v>
      </c>
      <c r="C60" s="3481"/>
      <c r="D60" s="12">
        <f ca="1">IF(H60="转让取得",C83,C99)</f>
        <v>1664</v>
      </c>
      <c r="E60" s="2016" t="s">
        <v>1564</v>
      </c>
      <c r="F60" s="235" t="s">
        <v>48</v>
      </c>
      <c r="G60" s="2490"/>
      <c r="H60" s="2492" t="s">
        <v>1570</v>
      </c>
      <c r="I60" s="2896"/>
      <c r="J60" s="2769"/>
      <c r="K60" s="3534"/>
      <c r="L60" s="3534"/>
      <c r="M60" s="2435" t="s">
        <v>1571</v>
      </c>
      <c r="N60" s="2439"/>
      <c r="O60" s="2440" t="str">
        <f ca="1">IF(H19="元",NUMBERSTRING(INT(O59),2)&amp;"元整",NUMBERSTRING(INT(O59*10000),2)&amp;"元整")</f>
        <v>壹仟捌佰伍拾壹万元整</v>
      </c>
      <c r="P60" s="2441"/>
    </row>
    <row r="61" spans="1:17" ht="26.25" thickBot="1">
      <c r="A61" s="3509" t="s">
        <v>1572</v>
      </c>
      <c r="B61" s="3510"/>
      <c r="C61" s="3510"/>
      <c r="D61" s="69">
        <f ca="1">IF(H61="非个人房产","——",IF(H61="个人住宅（满五唯一有凭证）",0,IF(H61="个人其他（无凭证）",ROUND(D47*F61,0),ROUND(C69*F61,0))))</f>
        <v>29</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540">
        <f>K59+1</f>
        <v>6</v>
      </c>
      <c r="L61" s="3534" t="s">
        <v>1573</v>
      </c>
      <c r="M61" s="2427" t="s">
        <v>1568</v>
      </c>
      <c r="N61" s="2442"/>
      <c r="O61" s="2443">
        <f ca="1">N51-O59</f>
        <v>1089</v>
      </c>
      <c r="P61" s="2444"/>
    </row>
    <row r="62" spans="1:17" ht="12" customHeight="1">
      <c r="A62" s="1384"/>
      <c r="B62" s="2477"/>
      <c r="C62" s="2477"/>
      <c r="D62" s="2477"/>
      <c r="E62" s="1384"/>
      <c r="F62" s="2896"/>
      <c r="G62" s="2896"/>
      <c r="H62" s="2891"/>
      <c r="I62" s="904"/>
      <c r="J62" s="2769"/>
      <c r="K62" s="3541"/>
      <c r="L62" s="3534"/>
      <c r="M62" s="2435" t="s">
        <v>1571</v>
      </c>
      <c r="N62" s="2439"/>
      <c r="O62" s="2440" t="str">
        <f ca="1">IF(H19="元",NUMBERSTRING(INT(O61),2)&amp;"元整",NUMBERSTRING(INT(O61*10000),2)&amp;"元整")</f>
        <v>壹仟零捌拾玖万元整</v>
      </c>
      <c r="P62" s="2441"/>
    </row>
    <row r="63" spans="1:17" ht="13.5" thickBot="1">
      <c r="A63" s="3542" t="s">
        <v>1574</v>
      </c>
      <c r="B63" s="3542"/>
      <c r="C63" s="3542"/>
      <c r="D63" s="3542"/>
      <c r="E63" s="3542"/>
      <c r="F63" s="2896"/>
      <c r="G63" s="2896"/>
      <c r="H63" s="2891"/>
      <c r="I63" s="904"/>
      <c r="J63" s="2761"/>
      <c r="K63" s="2427">
        <f>K61+1</f>
        <v>7</v>
      </c>
      <c r="L63" s="3534" t="s">
        <v>1575</v>
      </c>
      <c r="M63" s="3534"/>
      <c r="N63" s="2445"/>
      <c r="O63" s="2446">
        <f ca="1">IF(H19="元",ROUND(O61/项目基本情况!C12,0),ROUND(O61*10000/项目基本情况!C12,0))</f>
        <v>14127</v>
      </c>
      <c r="P63" s="2447"/>
    </row>
    <row r="64" spans="1:17" ht="12.75">
      <c r="A64" s="3460" t="s">
        <v>1576</v>
      </c>
      <c r="B64" s="3461"/>
      <c r="C64" s="1534"/>
      <c r="D64" s="1534" t="s">
        <v>1577</v>
      </c>
      <c r="E64" s="45" t="s">
        <v>1578</v>
      </c>
      <c r="F64" s="2896"/>
      <c r="G64" s="2896"/>
      <c r="H64" s="2891"/>
      <c r="I64" s="904"/>
      <c r="J64" s="2761"/>
      <c r="K64" s="1235"/>
      <c r="L64" s="1235"/>
      <c r="M64" s="1235"/>
      <c r="N64" s="1235"/>
      <c r="O64" s="1235"/>
    </row>
    <row r="65" spans="1:36" ht="12.75">
      <c r="A65" s="46">
        <v>1</v>
      </c>
      <c r="B65" s="47" t="s">
        <v>1579</v>
      </c>
      <c r="C65" s="2700">
        <f ca="1">ROUND((C66+C67)/(1+'数据-取费表'!F30),0)</f>
        <v>2800</v>
      </c>
      <c r="D65" s="47"/>
      <c r="E65" s="48"/>
      <c r="F65" s="2896"/>
      <c r="G65" s="2896"/>
      <c r="H65" s="2891"/>
      <c r="I65" s="904"/>
      <c r="J65" s="2761"/>
      <c r="K65" s="3530" t="s">
        <v>1580</v>
      </c>
      <c r="L65" s="1234" t="s">
        <v>1581</v>
      </c>
      <c r="M65" s="1234">
        <f ca="1">IF(N51&gt;10000,N51*0.5%,IF(AND(N51&gt;1000,N51&lt;=10000),N51*1%,IF(AND(N51&gt;100,N51&lt;=1000),N51*3%,IF(AND(N51&gt;10,N51&lt;=100),N51*5%,N51*8%))))</f>
        <v>29.400000000000002</v>
      </c>
      <c r="N65" s="235">
        <f ca="1">ROUND(M65,1)</f>
        <v>29.4</v>
      </c>
      <c r="O65" s="2448"/>
    </row>
    <row r="66" spans="1:36" ht="12.75">
      <c r="A66" s="49" t="s">
        <v>71</v>
      </c>
      <c r="B66" s="50" t="s">
        <v>1582</v>
      </c>
      <c r="C66" s="2701">
        <f ca="1">D47</f>
        <v>2940</v>
      </c>
      <c r="D66" s="50" t="s">
        <v>41</v>
      </c>
      <c r="E66" s="52"/>
      <c r="F66" s="2896"/>
      <c r="G66" s="2896"/>
      <c r="H66" s="2891"/>
      <c r="I66" s="904"/>
      <c r="J66" s="2761"/>
      <c r="K66" s="3530"/>
      <c r="L66" s="1234" t="s">
        <v>1583</v>
      </c>
      <c r="M66" s="1234">
        <f ca="1">IF(N51&gt;2000,N51*0.5%,IF(AND(N51&gt;1000,N51&lt;=2000),N51*0.6%,IF(AND(N51&gt;500,N51&lt;=1000),N51*0.7%,IF(AND(N51&gt;200,N51&lt;=500),N51*0.8%,IF(AND(N51&gt;100,N51&lt;=200),N51*0.9%,IF(AND(N51&gt;50,N51&lt;=100),N51*1%,IF(AND(N51&gt;20,N51&lt;=50),N51*1.5%,IF(AND(N51&gt;10,N51&lt;=20),N51*2%,IF(AND(N51&gt;1,N51&lt;=10),N51*2.5%)))))))))</f>
        <v>14.700000000000001</v>
      </c>
      <c r="N66" s="235">
        <f t="shared" ref="N66:N67" ca="1" si="2">ROUND(M66,1)</f>
        <v>14.7</v>
      </c>
      <c r="O66" s="2448" t="s">
        <v>1584</v>
      </c>
    </row>
    <row r="67" spans="1:36" ht="12.75">
      <c r="A67" s="49" t="s">
        <v>72</v>
      </c>
      <c r="B67" s="50" t="s">
        <v>1585</v>
      </c>
      <c r="C67" s="2702"/>
      <c r="D67" s="50"/>
      <c r="E67" s="52"/>
      <c r="F67" s="2896"/>
      <c r="G67" s="2896"/>
      <c r="H67" s="2891"/>
      <c r="I67" s="904"/>
      <c r="J67" s="2761"/>
      <c r="K67" s="3530"/>
      <c r="L67" s="1234" t="s">
        <v>1586</v>
      </c>
      <c r="M67" s="1234">
        <f ca="1">IF(N51&gt;1000,N51*0.1%,IF(AND(N51&gt;500,N51&lt;=1000),N51*0.5%,IF(AND(N51&gt;50,N51&lt;=500),N51*1%,IF(AND(N51&gt;1,N51&lt;=50),N51*1.5%))))</f>
        <v>2.94</v>
      </c>
      <c r="N67" s="235">
        <f t="shared" ca="1" si="2"/>
        <v>2.9</v>
      </c>
      <c r="O67" s="2448" t="s">
        <v>1584</v>
      </c>
    </row>
    <row r="68" spans="1:36" ht="12.75">
      <c r="A68" s="53" t="s">
        <v>47</v>
      </c>
      <c r="B68" s="54" t="s">
        <v>1587</v>
      </c>
      <c r="C68" s="2703"/>
      <c r="D68" s="54" t="s">
        <v>41</v>
      </c>
      <c r="E68" s="1243" t="s">
        <v>1588</v>
      </c>
      <c r="F68" s="2896"/>
      <c r="G68" s="2896"/>
      <c r="H68" s="2891"/>
      <c r="I68" s="904"/>
      <c r="J68" s="2761"/>
      <c r="K68" s="3530"/>
      <c r="L68" s="1234" t="s">
        <v>1589</v>
      </c>
      <c r="M68" s="1234">
        <f ca="1">N51*0.5%</f>
        <v>14.700000000000001</v>
      </c>
      <c r="N68" s="235">
        <f ca="1">IF(M68&gt;0.5,0.5,ROUND(M68,0))</f>
        <v>0.5</v>
      </c>
      <c r="O68" s="2448" t="s">
        <v>1590</v>
      </c>
    </row>
    <row r="69" spans="1:36" ht="12.75">
      <c r="A69" s="53" t="s">
        <v>42</v>
      </c>
      <c r="B69" s="54" t="s">
        <v>1591</v>
      </c>
      <c r="C69" s="2704">
        <f ca="1">C65-C68</f>
        <v>2800</v>
      </c>
      <c r="D69" s="50" t="s">
        <v>41</v>
      </c>
      <c r="E69" s="52"/>
      <c r="F69" s="2896"/>
      <c r="G69" s="2896"/>
      <c r="H69" s="2891"/>
      <c r="I69" s="904"/>
      <c r="J69" s="2761"/>
      <c r="K69" s="3530"/>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48"/>
    </row>
    <row r="70" spans="1:36" ht="13.5" thickBot="1">
      <c r="A70" s="55" t="s">
        <v>46</v>
      </c>
      <c r="B70" s="56" t="s">
        <v>1593</v>
      </c>
      <c r="C70" s="2705">
        <f ca="1">IF(C69&lt;=0,0,ROUND(C69*D70,0))</f>
        <v>157</v>
      </c>
      <c r="D70" s="2166">
        <f>'数据-取费表'!E29</f>
        <v>5.6000000000000001E-2</v>
      </c>
      <c r="E70" s="57"/>
      <c r="F70" s="2896"/>
      <c r="G70" s="2896"/>
      <c r="H70" s="2891"/>
      <c r="I70" s="904"/>
      <c r="J70" s="2761"/>
      <c r="K70" s="3530"/>
      <c r="L70" s="1234" t="s">
        <v>1594</v>
      </c>
      <c r="M70" s="1234">
        <f ca="1">IF(N51&gt;10000,N51*0.5%,IF(AND(N51&gt;5000,N51&lt;=10000),N51*1%,IF(AND(N51&gt;1000,N51&lt;=5000),N51*2%,IF(AND(N51&gt;200,N51&lt;=1000),N51*3%,N51*5%))))</f>
        <v>58.800000000000004</v>
      </c>
      <c r="N70" s="235">
        <f ca="1">ROUND(M70,1)</f>
        <v>58.8</v>
      </c>
      <c r="O70" s="2448"/>
    </row>
    <row r="71" spans="1:36" s="1392" customFormat="1" ht="7.5" customHeight="1">
      <c r="A71" s="1404"/>
      <c r="B71" s="1405"/>
      <c r="C71" s="2706"/>
      <c r="D71" s="2209"/>
      <c r="E71" s="1408"/>
      <c r="F71" s="1384"/>
      <c r="G71" s="1384"/>
      <c r="H71" s="1408"/>
      <c r="I71" s="2477"/>
      <c r="J71" s="2761"/>
      <c r="K71" s="3530"/>
      <c r="L71" s="1234" t="s">
        <v>1595</v>
      </c>
      <c r="M71" s="1234"/>
      <c r="N71" s="235">
        <f ca="1">ROUND(SUM(N65:N70),0)</f>
        <v>109</v>
      </c>
      <c r="O71" s="2449">
        <f ca="1">N71/N51</f>
        <v>3.7074829931972787E-2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7" t="s">
        <v>1596</v>
      </c>
      <c r="B72" s="3548"/>
      <c r="C72" s="3548"/>
      <c r="D72" s="3548"/>
      <c r="E72" s="3548"/>
      <c r="F72" s="3548"/>
      <c r="G72" s="3548"/>
      <c r="H72" s="3548"/>
      <c r="I72" s="1409"/>
      <c r="J72" s="2770"/>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60" t="s">
        <v>1576</v>
      </c>
      <c r="B73" s="3461"/>
      <c r="C73" s="1534"/>
      <c r="D73" s="1534" t="s">
        <v>1577</v>
      </c>
      <c r="E73" s="58" t="s">
        <v>1578</v>
      </c>
      <c r="F73" s="59"/>
      <c r="G73" s="59"/>
      <c r="H73" s="60"/>
      <c r="I73" s="2707"/>
      <c r="J73" s="2792"/>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1597</v>
      </c>
      <c r="C74" s="2704">
        <f ca="1">ROUND(D47/(1+'数据-取费表'!F30),0)</f>
        <v>2800</v>
      </c>
      <c r="D74" s="50" t="s">
        <v>41</v>
      </c>
      <c r="E74" s="2012"/>
      <c r="F74" s="2013"/>
      <c r="G74" s="2013"/>
      <c r="H74" s="62"/>
      <c r="I74" s="2707"/>
      <c r="J74" s="2792"/>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1599</v>
      </c>
      <c r="C75" s="2704">
        <f ca="1">C76+C80</f>
        <v>17</v>
      </c>
      <c r="D75" s="50" t="s">
        <v>41</v>
      </c>
      <c r="E75" s="2012"/>
      <c r="F75" s="2013"/>
      <c r="G75" s="2013"/>
      <c r="H75" s="62"/>
      <c r="I75" s="2707"/>
      <c r="J75" s="2792"/>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2"/>
      <c r="F76" s="2013"/>
      <c r="G76" s="2013"/>
      <c r="H76" s="62"/>
      <c r="I76" s="2707"/>
      <c r="J76" s="2792"/>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1601</v>
      </c>
      <c r="C77" s="2192"/>
      <c r="D77" s="50" t="s">
        <v>41</v>
      </c>
      <c r="E77" s="64" t="s">
        <v>1602</v>
      </c>
      <c r="F77" s="2708" t="s">
        <v>1603</v>
      </c>
      <c r="G77" s="64" t="s">
        <v>1604</v>
      </c>
      <c r="H77" s="2709"/>
      <c r="I77" s="607"/>
      <c r="J77" s="2793"/>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0">
        <v>0.05</v>
      </c>
      <c r="E78" s="3493" t="s">
        <v>1606</v>
      </c>
      <c r="F78" s="3481"/>
      <c r="G78" s="3481"/>
      <c r="H78" s="3494"/>
      <c r="I78" s="2707"/>
      <c r="J78" s="2792"/>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3" t="s">
        <v>1609</v>
      </c>
      <c r="H79" s="2014" t="str">
        <f>IF(G79="个人买卖住房","免征印花税"," ")</f>
        <v xml:space="preserve"> </v>
      </c>
      <c r="I79" s="2707"/>
      <c r="J79" s="2792"/>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1610</v>
      </c>
      <c r="C80" s="2712">
        <f ca="1">ROUND(D47*D80/(1+'数据-取费表'!F30),0)</f>
        <v>17</v>
      </c>
      <c r="D80" s="2713">
        <f>'数据-取费表'!E31</f>
        <v>6.000000000000001E-3</v>
      </c>
      <c r="E80" s="3429" t="s">
        <v>1611</v>
      </c>
      <c r="F80" s="3430"/>
      <c r="G80" s="3430"/>
      <c r="H80" s="3450"/>
      <c r="I80" s="608"/>
      <c r="J80" s="279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1612</v>
      </c>
      <c r="C81" s="2704">
        <f ca="1">C74-C75</f>
        <v>2783</v>
      </c>
      <c r="D81" s="50" t="s">
        <v>41</v>
      </c>
      <c r="E81" s="2012"/>
      <c r="F81" s="2013"/>
      <c r="G81" s="2013"/>
      <c r="H81" s="62"/>
      <c r="I81" s="2707"/>
      <c r="J81" s="2792"/>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1613</v>
      </c>
      <c r="C82" s="2714">
        <f ca="1">IF(C81&lt;=0,0,C81/C75)</f>
        <v>163.70588235294119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3"/>
      <c r="G82" s="2013"/>
      <c r="H82" s="62"/>
      <c r="I82" s="2707"/>
      <c r="J82" s="2792"/>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1614</v>
      </c>
      <c r="C83" s="2715">
        <f ca="1">ROUND(IF(C81&lt;=0,0,IF(C82&gt;=200%,C81*60%-C75*35%,IF(C82&gt;=100%,C81*50%-C75*15%,IF(C82&gt;=50%,C81*40%-C75*5%,IF(C82&lt;50%,C81*30%,0))))),0)</f>
        <v>1664</v>
      </c>
      <c r="D83" s="209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7"/>
      <c r="J83" s="279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4"/>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7" t="s">
        <v>1615</v>
      </c>
      <c r="B85" s="3548"/>
      <c r="C85" s="3548"/>
      <c r="D85" s="3548"/>
      <c r="E85" s="3548"/>
      <c r="F85" s="3548"/>
      <c r="G85" s="3548"/>
      <c r="H85" s="3548"/>
      <c r="I85" s="607"/>
      <c r="J85" s="2793"/>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60" t="s">
        <v>1576</v>
      </c>
      <c r="B86" s="3461"/>
      <c r="C86" s="1534"/>
      <c r="D86" s="1534" t="s">
        <v>1577</v>
      </c>
      <c r="E86" s="58" t="s">
        <v>1578</v>
      </c>
      <c r="F86" s="59"/>
      <c r="G86" s="59"/>
      <c r="H86" s="72"/>
      <c r="I86" s="607"/>
      <c r="J86" s="2793"/>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1597</v>
      </c>
      <c r="C87" s="2704">
        <f ca="1">ROUND(D47/(1+'数据-取费表'!F30),0)</f>
        <v>2800</v>
      </c>
      <c r="D87" s="50" t="s">
        <v>41</v>
      </c>
      <c r="E87" s="2012"/>
      <c r="F87" s="2013"/>
      <c r="G87" s="2013"/>
      <c r="H87" s="73"/>
      <c r="I87" s="607"/>
      <c r="J87" s="2793"/>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1599</v>
      </c>
      <c r="C88" s="2704">
        <f ca="1">IF(H90="仅含出让金",C89+C92+C93+C94+C95+C96,C89+C93+C94+C95+C96)</f>
        <v>17</v>
      </c>
      <c r="D88" s="2716"/>
      <c r="E88" s="2012"/>
      <c r="F88" s="2013"/>
      <c r="G88" s="2013"/>
      <c r="H88" s="73"/>
      <c r="I88" s="607"/>
      <c r="J88" s="2793"/>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1616</v>
      </c>
      <c r="C89" s="2712">
        <f>C90+C91</f>
        <v>0</v>
      </c>
      <c r="D89" s="2713"/>
      <c r="E89" s="2009"/>
      <c r="F89" s="2010"/>
      <c r="G89" s="2010"/>
      <c r="H89" s="2011"/>
      <c r="I89" s="607"/>
      <c r="J89" s="2793"/>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1617</v>
      </c>
      <c r="C90" s="2717"/>
      <c r="D90" s="2713"/>
      <c r="E90" s="74" t="s">
        <v>1618</v>
      </c>
      <c r="F90" s="2010"/>
      <c r="G90" s="75" t="s">
        <v>1619</v>
      </c>
      <c r="H90" s="1415"/>
      <c r="I90" s="607"/>
      <c r="J90" s="2793"/>
      <c r="K90" s="2888" t="s">
        <v>2577</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1607</v>
      </c>
      <c r="C91" s="2712">
        <f>ROUND(C90*D91,0)</f>
        <v>0</v>
      </c>
      <c r="D91" s="2713">
        <f>'数据-取费表'!E36+'数据-取费表'!E37</f>
        <v>3.0499999999999999E-2</v>
      </c>
      <c r="E91" s="74" t="s">
        <v>1620</v>
      </c>
      <c r="F91" s="2010"/>
      <c r="G91" s="2010"/>
      <c r="H91" s="2011"/>
      <c r="I91" s="607"/>
      <c r="J91" s="2793"/>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1621</v>
      </c>
      <c r="C92" s="2717"/>
      <c r="D92" s="2713"/>
      <c r="E92" s="74" t="str">
        <f>IF(H90="-","土地取得成本中已包含该笔费用"," ")</f>
        <v xml:space="preserve"> </v>
      </c>
      <c r="F92" s="2010"/>
      <c r="G92" s="3469" t="s">
        <v>2494</v>
      </c>
      <c r="H92" s="3549"/>
      <c r="I92" s="607"/>
      <c r="J92" s="2793"/>
      <c r="K92" s="2888" t="s">
        <v>2578</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1622</v>
      </c>
      <c r="C93" s="2712">
        <f>IF(H93="——",成本法!C33,I93)</f>
        <v>0</v>
      </c>
      <c r="D93" s="2713"/>
      <c r="E93" s="3429" t="s">
        <v>1623</v>
      </c>
      <c r="F93" s="3430"/>
      <c r="G93" s="3430"/>
      <c r="H93" s="1416" t="s">
        <v>1624</v>
      </c>
      <c r="I93" s="2718"/>
      <c r="J93" s="279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1625</v>
      </c>
      <c r="C94" s="2712">
        <f>ROUND((C89+C92+C93)*D94,0)</f>
        <v>0</v>
      </c>
      <c r="D94" s="2713">
        <v>0.1</v>
      </c>
      <c r="E94" s="3429" t="s">
        <v>1626</v>
      </c>
      <c r="F94" s="3430"/>
      <c r="G94" s="3430"/>
      <c r="H94" s="3450"/>
      <c r="I94" s="607"/>
      <c r="J94" s="2793"/>
      <c r="K94" s="2889" t="s">
        <v>2579</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1610</v>
      </c>
      <c r="C95" s="2712">
        <f ca="1">ROUND(D47*D95/(1+'数据-取费表'!F30),0)</f>
        <v>17</v>
      </c>
      <c r="D95" s="2713">
        <f>'数据-取费表'!E31</f>
        <v>6.000000000000001E-3</v>
      </c>
      <c r="E95" s="3429" t="s">
        <v>1611</v>
      </c>
      <c r="F95" s="3430"/>
      <c r="G95" s="3430"/>
      <c r="H95" s="3450"/>
      <c r="I95" s="607"/>
      <c r="J95" s="2793"/>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1627</v>
      </c>
      <c r="C96" s="2712">
        <f>ROUND((C89+C92+C93)*D96,0)</f>
        <v>0</v>
      </c>
      <c r="D96" s="2713">
        <v>0.2</v>
      </c>
      <c r="E96" s="3429" t="s">
        <v>1628</v>
      </c>
      <c r="F96" s="3430"/>
      <c r="G96" s="3430"/>
      <c r="H96" s="3450"/>
      <c r="I96" s="607"/>
      <c r="J96" s="2793"/>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1612</v>
      </c>
      <c r="C97" s="2704">
        <f ca="1">ROUND(C87-C88,0)</f>
        <v>2783</v>
      </c>
      <c r="D97" s="50" t="s">
        <v>41</v>
      </c>
      <c r="E97" s="2012"/>
      <c r="F97" s="2013"/>
      <c r="G97" s="2013"/>
      <c r="H97" s="73"/>
      <c r="I97" s="607"/>
      <c r="J97" s="2793"/>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1613</v>
      </c>
      <c r="C98" s="2714">
        <f ca="1">IF(C97&lt;=0,0,C97/C88)</f>
        <v>163.70588235294119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3"/>
      <c r="G98" s="2013"/>
      <c r="H98" s="73"/>
      <c r="I98" s="607"/>
      <c r="J98" s="2793"/>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1664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2"/>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1629</v>
      </c>
      <c r="B100" s="1388"/>
      <c r="C100" s="1388"/>
      <c r="D100" s="1388"/>
      <c r="E100" s="769"/>
      <c r="F100" s="769"/>
      <c r="G100" s="769"/>
      <c r="H100" s="1397"/>
      <c r="I100" s="1388"/>
    </row>
    <row r="101" spans="1:36" ht="15">
      <c r="A101" s="3447" t="s">
        <v>1630</v>
      </c>
      <c r="B101" s="3448"/>
      <c r="C101" s="3448"/>
      <c r="D101" s="3449"/>
      <c r="E101" s="1388"/>
      <c r="F101" s="3544" t="s">
        <v>2536</v>
      </c>
      <c r="G101" s="3545"/>
      <c r="H101" s="3545"/>
      <c r="I101" s="3546"/>
      <c r="J101" s="2796"/>
    </row>
    <row r="102" spans="1:36" ht="15">
      <c r="A102" s="3464" t="s">
        <v>1632</v>
      </c>
      <c r="B102" s="3465"/>
      <c r="C102" s="2719" t="str">
        <f>C4</f>
        <v>典型户型修正</v>
      </c>
      <c r="D102" s="2720" t="str">
        <f>D4</f>
        <v>典型户型修正</v>
      </c>
      <c r="E102" s="1388"/>
      <c r="F102" s="3466" t="s">
        <v>2537</v>
      </c>
      <c r="G102" s="3468"/>
      <c r="H102" s="3479" t="s">
        <v>2538</v>
      </c>
      <c r="I102" s="3467"/>
      <c r="J102" s="2776"/>
    </row>
    <row r="103" spans="1:36" ht="12.75">
      <c r="A103" s="3550" t="s">
        <v>2532</v>
      </c>
      <c r="B103" s="2231" t="str">
        <f>IF(H19="元","总价（元）","总价（万元）")</f>
        <v>总价（万元）</v>
      </c>
      <c r="C103" s="1234">
        <f ca="1">C19</f>
        <v>2940</v>
      </c>
      <c r="D103" s="2723">
        <f ca="1">D19</f>
        <v>2940</v>
      </c>
      <c r="E103" s="1388"/>
      <c r="F103" s="3551"/>
      <c r="G103" s="3552"/>
      <c r="H103" s="3470">
        <f>典型户型修正!B25</f>
        <v>770.88</v>
      </c>
      <c r="I103" s="3467"/>
      <c r="J103" s="2776"/>
    </row>
    <row r="104" spans="1:36" ht="12.75">
      <c r="A104" s="3550"/>
      <c r="B104" s="2231" t="s">
        <v>2533</v>
      </c>
      <c r="C104" s="2724">
        <f ca="1">C20</f>
        <v>38138</v>
      </c>
      <c r="D104" s="2725">
        <f ca="1">D20</f>
        <v>38138</v>
      </c>
      <c r="E104" s="1388"/>
      <c r="F104" s="3453" t="s">
        <v>2539</v>
      </c>
      <c r="G104" s="3454"/>
      <c r="H104" s="2733" t="str">
        <f>C110</f>
        <v>总价（万元）</v>
      </c>
      <c r="I104" s="2734">
        <f ca="1">H125</f>
        <v>2940</v>
      </c>
      <c r="J104" s="2776"/>
    </row>
    <row r="105" spans="1:36" ht="12.75">
      <c r="A105" s="3550" t="s">
        <v>2534</v>
      </c>
      <c r="B105" s="2169" t="str">
        <f>B103</f>
        <v>总价（万元）</v>
      </c>
      <c r="C105" s="12">
        <f ca="1">ROUND(IF('数据-取费表'!B4="总价",G19,IF(H19="元",G20*'数据-取费表'!E5,G20*'数据-取费表'!E5/10000)),0)</f>
        <v>1937</v>
      </c>
      <c r="D105" s="2726"/>
      <c r="E105" s="1388"/>
      <c r="F105" s="3453"/>
      <c r="G105" s="3454"/>
      <c r="H105" s="2733" t="s">
        <v>2540</v>
      </c>
      <c r="I105" s="52">
        <f ca="1">I125</f>
        <v>38138</v>
      </c>
      <c r="J105" s="2760"/>
    </row>
    <row r="106" spans="1:36" ht="12.75">
      <c r="A106" s="3550"/>
      <c r="B106" s="2231" t="s">
        <v>2533</v>
      </c>
      <c r="C106" s="1408">
        <f ca="1">ROUND(IF('数据-取费表'!B4="楼面单价",G20,IF(H19="元",G19/'数据-取费表'!E5,G19*10000/'数据-取费表'!E5)),0)</f>
        <v>38138</v>
      </c>
      <c r="D106" s="2726"/>
      <c r="E106" s="1388"/>
      <c r="F106" s="3453"/>
      <c r="G106" s="3454"/>
      <c r="H106" s="3485"/>
      <c r="I106" s="3486"/>
      <c r="J106" s="2777"/>
    </row>
    <row r="107" spans="1:36" ht="12.75">
      <c r="A107" s="3557" t="s">
        <v>2535</v>
      </c>
      <c r="B107" s="2727" t="str">
        <f>B103</f>
        <v>总价（万元）</v>
      </c>
      <c r="C107" s="2728">
        <f ca="1">H125</f>
        <v>2940</v>
      </c>
      <c r="D107" s="2729"/>
      <c r="E107" s="1388"/>
      <c r="F107" s="3489" t="s">
        <v>2541</v>
      </c>
      <c r="G107" s="3490"/>
      <c r="H107" s="2735" t="str">
        <f>C112</f>
        <v>总额（万元）</v>
      </c>
      <c r="I107" s="2734">
        <f>SUMIF(I108:I110,"&lt;9E307")</f>
        <v>0</v>
      </c>
      <c r="J107" s="2776"/>
    </row>
    <row r="108" spans="1:36" ht="15" thickBot="1">
      <c r="A108" s="3484"/>
      <c r="B108" s="2730" t="s">
        <v>2533</v>
      </c>
      <c r="C108" s="2731">
        <f ca="1">I125</f>
        <v>38138</v>
      </c>
      <c r="D108" s="2732"/>
      <c r="E108" s="1388"/>
      <c r="F108" s="3455" t="s">
        <v>2542</v>
      </c>
      <c r="G108" s="3456"/>
      <c r="H108" s="2735" t="str">
        <f>C113</f>
        <v>总额（万元）</v>
      </c>
      <c r="I108" s="2736">
        <f>IF(D38="同一抵押权人同一抵押物续贷",C38&amp;"（续贷，未扣减，详见特别提示）",C38)</f>
        <v>0</v>
      </c>
      <c r="J108" s="2760"/>
      <c r="L108" s="1391" t="str">
        <f>IF(D125=0,"本次评估不存在"&amp;A125&amp;"。","本次评估"&amp;A125&amp;"为"&amp;D125&amp;"元人民币。")</f>
        <v>本次评估不存在北京市房地产。</v>
      </c>
      <c r="M108" s="1388"/>
      <c r="N108" s="1388"/>
      <c r="O108" s="1388"/>
      <c r="P108" s="1388"/>
      <c r="Q108" s="1388"/>
    </row>
    <row r="109" spans="1:36" ht="15">
      <c r="A109" s="3553" t="s">
        <v>1633</v>
      </c>
      <c r="B109" s="3554"/>
      <c r="C109" s="3554"/>
      <c r="D109" s="3555"/>
      <c r="E109" s="1388"/>
      <c r="F109" s="3455" t="s">
        <v>2543</v>
      </c>
      <c r="G109" s="3456"/>
      <c r="H109" s="2735" t="str">
        <f>C114</f>
        <v>总额（万元）</v>
      </c>
      <c r="I109" s="52">
        <f>C39</f>
        <v>0</v>
      </c>
      <c r="J109" s="2760"/>
    </row>
    <row r="110" spans="1:36" ht="12.75">
      <c r="A110" s="3453" t="s">
        <v>2546</v>
      </c>
      <c r="B110" s="3454"/>
      <c r="C110" s="2733" t="str">
        <f>B103</f>
        <v>总价（万元）</v>
      </c>
      <c r="D110" s="2734">
        <f ca="1">H125</f>
        <v>2940</v>
      </c>
      <c r="E110" s="1388"/>
      <c r="F110" s="3455" t="s">
        <v>2544</v>
      </c>
      <c r="G110" s="3456"/>
      <c r="H110" s="2735" t="str">
        <f>C115</f>
        <v>总额（万元）</v>
      </c>
      <c r="I110" s="52">
        <f>C40</f>
        <v>0</v>
      </c>
      <c r="J110" s="2760"/>
    </row>
    <row r="111" spans="1:36" ht="12.75">
      <c r="A111" s="3453"/>
      <c r="B111" s="3454"/>
      <c r="C111" s="2733" t="s">
        <v>2547</v>
      </c>
      <c r="D111" s="52">
        <f ca="1">I125</f>
        <v>38138</v>
      </c>
      <c r="E111" s="1388"/>
      <c r="F111" s="3453"/>
      <c r="G111" s="3454"/>
      <c r="H111" s="3487"/>
      <c r="I111" s="3488"/>
      <c r="J111" s="2778"/>
    </row>
    <row r="112" spans="1:36" ht="28.5" customHeight="1">
      <c r="A112" s="3524" t="s">
        <v>2541</v>
      </c>
      <c r="B112" s="3525"/>
      <c r="C112" s="2735" t="str">
        <f>IF(H19="元","总额（元）","总额（万元）")</f>
        <v>总额（万元）</v>
      </c>
      <c r="D112" s="2734">
        <f>IF(D38="正常操作",I108+I109+I110,I109+I110)</f>
        <v>0</v>
      </c>
      <c r="E112" s="1388"/>
      <c r="F112" s="3436" t="str">
        <f>IF(项目基本情况!F5="已注销","——","3.房地产抵押价值")</f>
        <v>3.房地产抵押价值</v>
      </c>
      <c r="G112" s="3437"/>
      <c r="H112" s="1408" t="str">
        <f>C116</f>
        <v>总价（万元）</v>
      </c>
      <c r="I112" s="2734">
        <f ca="1">IF(F112="——","——",I104-I107)</f>
        <v>2940</v>
      </c>
      <c r="J112" s="2776"/>
    </row>
    <row r="113" spans="1:27" ht="12.75">
      <c r="A113" s="3455" t="s">
        <v>2548</v>
      </c>
      <c r="B113" s="3456"/>
      <c r="C113" s="2735" t="str">
        <f>C112</f>
        <v>总额（万元）</v>
      </c>
      <c r="D113" s="52">
        <f>IF(D38="同一抵押权人同一抵押物续贷",C38&amp;"（未扣减，详见特别提示）",C38)</f>
        <v>0</v>
      </c>
      <c r="E113" s="1388"/>
      <c r="F113" s="3438"/>
      <c r="G113" s="3439"/>
      <c r="H113" s="2733" t="s">
        <v>2540</v>
      </c>
      <c r="I113" s="2737">
        <f ca="1">D117</f>
        <v>38138</v>
      </c>
      <c r="J113" s="2779"/>
    </row>
    <row r="114" spans="1:27" ht="12.75">
      <c r="A114" s="3455" t="s">
        <v>2549</v>
      </c>
      <c r="B114" s="3456"/>
      <c r="C114" s="2735" t="str">
        <f>C112</f>
        <v>总额（万元）</v>
      </c>
      <c r="D114" s="52">
        <f>C39</f>
        <v>0</v>
      </c>
      <c r="E114" s="1388"/>
      <c r="F114" s="3436" t="str">
        <f>IF(项目基本情况!F5="已注销及未注销","4.抵押担保权已注销时的房地产抵押价值",IF(项目基本情况!F5="已注销","3.抵押担保权已注销时的房地产抵押价值","——"))</f>
        <v>——</v>
      </c>
      <c r="G114" s="3437"/>
      <c r="H114" s="1408" t="str">
        <f>C118</f>
        <v>总价（万元）</v>
      </c>
      <c r="I114" s="2734" t="str">
        <f>IF(F114="——","——",I104-I109-I110)</f>
        <v>——</v>
      </c>
      <c r="J114" s="2776"/>
    </row>
    <row r="115" spans="1:27" ht="12.75">
      <c r="A115" s="3455" t="s">
        <v>2550</v>
      </c>
      <c r="B115" s="3456"/>
      <c r="C115" s="2735" t="str">
        <f>C112</f>
        <v>总额（万元）</v>
      </c>
      <c r="D115" s="52">
        <f>C40</f>
        <v>0</v>
      </c>
      <c r="E115" s="1388"/>
      <c r="F115" s="3438"/>
      <c r="G115" s="3439"/>
      <c r="H115" s="2733" t="s">
        <v>2540</v>
      </c>
      <c r="I115" s="52" t="str">
        <f>D119</f>
        <v>——</v>
      </c>
      <c r="J115" s="2760"/>
    </row>
    <row r="116" spans="1:27" ht="12.75">
      <c r="A116" s="3453" t="str">
        <f>IF(项目基本情况!F5="已注销","——","3.房地产抵押价值")</f>
        <v>3.房地产抵押价值</v>
      </c>
      <c r="B116" s="3454"/>
      <c r="C116" s="2733" t="str">
        <f>B103</f>
        <v>总价（万元）</v>
      </c>
      <c r="D116" s="2734">
        <f ca="1">IF(A116="——","——",D110-D112)</f>
        <v>2940</v>
      </c>
      <c r="E116" s="1388"/>
      <c r="F116" s="3436" t="str">
        <f>IF(项目基本情况!G5="抵押净值",IF(OR(项目基本情况!F5="已注销",项目基本情况!F5="房地产抵押价值"),"4.抵押净值","5.抵押净值"),"——")</f>
        <v>——</v>
      </c>
      <c r="G116" s="3437"/>
      <c r="H116" s="2733" t="str">
        <f>C120</f>
        <v>总价（万元）</v>
      </c>
      <c r="I116" s="2734" t="str">
        <f>IF(F116="——","——",O61)</f>
        <v>——</v>
      </c>
      <c r="J116" s="2776"/>
    </row>
    <row r="117" spans="1:27" ht="13.5" thickBot="1">
      <c r="A117" s="3453"/>
      <c r="B117" s="3454"/>
      <c r="C117" s="2733" t="s">
        <v>2547</v>
      </c>
      <c r="D117" s="52">
        <f ca="1">ROUND(IF(D116=D110,D111,IF(H19="元",D116/B125,D116*10000/B125)),0)</f>
        <v>38138</v>
      </c>
      <c r="E117" s="1388"/>
      <c r="F117" s="3516"/>
      <c r="G117" s="3517"/>
      <c r="H117" s="2738" t="s">
        <v>2540</v>
      </c>
      <c r="I117" s="2722" t="str">
        <f ca="1">D121</f>
        <v>——</v>
      </c>
      <c r="J117" s="2760"/>
    </row>
    <row r="118" spans="1:27" ht="15.75">
      <c r="A118" s="3453" t="str">
        <f>IF(项目基本情况!F5="已注销及未注销","4.抵押担保权已注销时的房地产抵押价值",IF(项目基本情况!F5="已注销","3.抵押担保权已注销时的房地产抵押价值","——"))</f>
        <v>——</v>
      </c>
      <c r="B118" s="3454"/>
      <c r="C118" s="2733" t="str">
        <f>B103</f>
        <v>总价（万元）</v>
      </c>
      <c r="D118" s="2734" t="str">
        <f>IF(A118="——","——",D110-D114-D115)</f>
        <v>——</v>
      </c>
      <c r="E118" s="1388"/>
      <c r="F118" s="3431"/>
      <c r="G118" s="3431"/>
      <c r="H118" s="3472"/>
      <c r="I118" s="3472"/>
      <c r="J118" s="2780"/>
      <c r="O118" s="32"/>
      <c r="P118" s="32"/>
    </row>
    <row r="119" spans="1:27" s="1235" customFormat="1" ht="12.75">
      <c r="A119" s="3453"/>
      <c r="B119" s="3454"/>
      <c r="C119" s="2733" t="s">
        <v>2547</v>
      </c>
      <c r="D119" s="52" t="str">
        <f>IF(A118="——","——",IF(H19="元",ROUND(D118/B125,0),ROUND(D118*10000/B125,0)))</f>
        <v>——</v>
      </c>
      <c r="E119" s="1388"/>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1"/>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53" t="str">
        <f>IF(项目基本情况!G5="抵押净值",IF(OR(项目基本情况!F5="已注销",项目基本情况!F5="房地产抵押价值"),"4.抵押净值","5.抵押净值"),"——")</f>
        <v>——</v>
      </c>
      <c r="B120" s="3454"/>
      <c r="C120" s="2733" t="str">
        <f>B103</f>
        <v>总价（万元）</v>
      </c>
      <c r="D120" s="2734" t="str">
        <f>IF(A120="——","——",O61)</f>
        <v>——</v>
      </c>
      <c r="E120" s="1388"/>
      <c r="F120" s="1442"/>
      <c r="G120" s="1442"/>
      <c r="H120" s="1442"/>
      <c r="I120" s="1442"/>
      <c r="J120" s="2781"/>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522"/>
      <c r="B121" s="3523"/>
      <c r="C121" s="2738" t="s">
        <v>2547</v>
      </c>
      <c r="D121" s="2722" t="str">
        <f ca="1">IF(D120=D110,D111,IF(A120="——","——",O63))</f>
        <v>——</v>
      </c>
      <c r="E121" s="1388"/>
      <c r="F121" s="1442"/>
      <c r="G121" s="1442"/>
      <c r="H121" s="1442"/>
      <c r="I121" s="1442"/>
      <c r="J121" s="2781"/>
      <c r="K121" s="658"/>
      <c r="L121" s="658"/>
      <c r="M121" s="658"/>
      <c r="N121" s="658"/>
      <c r="O121" s="32"/>
      <c r="P121" s="32"/>
      <c r="Q121" s="658"/>
      <c r="R121" s="658"/>
      <c r="S121" s="658"/>
      <c r="T121" s="658"/>
      <c r="U121" s="658"/>
      <c r="V121" s="658"/>
      <c r="W121" s="658"/>
      <c r="X121" s="658"/>
      <c r="Y121" s="658"/>
      <c r="Z121" s="658"/>
      <c r="AA121" s="658"/>
    </row>
    <row r="122" spans="1:27" s="1235" customFormat="1" ht="15">
      <c r="A122" s="3473" t="s">
        <v>1672</v>
      </c>
      <c r="B122" s="3474"/>
      <c r="C122" s="3474"/>
      <c r="D122" s="3474"/>
      <c r="E122" s="3474"/>
      <c r="F122" s="3474"/>
      <c r="G122" s="3474"/>
      <c r="H122" s="3474"/>
      <c r="I122" s="3474"/>
      <c r="J122" s="2782"/>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46" t="s">
        <v>2551</v>
      </c>
      <c r="B123" s="3444" t="s">
        <v>2552</v>
      </c>
      <c r="C123" s="3444" t="s">
        <v>2558</v>
      </c>
      <c r="D123" s="3451" t="s">
        <v>2553</v>
      </c>
      <c r="E123" s="3452"/>
      <c r="F123" s="3442" t="s">
        <v>2559</v>
      </c>
      <c r="G123" s="3442"/>
      <c r="H123" s="3442" t="s">
        <v>2554</v>
      </c>
      <c r="I123" s="3443"/>
      <c r="J123" s="2760"/>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46"/>
      <c r="B124" s="3445"/>
      <c r="C124" s="3445"/>
      <c r="D124" s="2016" t="s">
        <v>2555</v>
      </c>
      <c r="E124" s="2016" t="s">
        <v>2560</v>
      </c>
      <c r="F124" s="2016" t="s">
        <v>2555</v>
      </c>
      <c r="G124" s="2016" t="s">
        <v>2556</v>
      </c>
      <c r="H124" s="2016" t="s">
        <v>2555</v>
      </c>
      <c r="I124" s="52" t="s">
        <v>2556</v>
      </c>
      <c r="J124" s="2760"/>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6" t="str">
        <f>项目基本情况!I1</f>
        <v>北京市房地产</v>
      </c>
      <c r="B125" s="2016">
        <f>典型户型修正!B25</f>
        <v>770.88</v>
      </c>
      <c r="C125" s="1383"/>
      <c r="D125" s="2016">
        <f>C36</f>
        <v>0</v>
      </c>
      <c r="E125" s="2016">
        <f>ROUND(IF(H19="元",D125/B125,D125*10000/B125),0)</f>
        <v>0</v>
      </c>
      <c r="F125" s="2016">
        <f>C37</f>
        <v>0</v>
      </c>
      <c r="G125" s="2016">
        <f>ROUND(IF(H19="元",F125/B125,F125*10000/B125),0)</f>
        <v>0</v>
      </c>
      <c r="H125" s="2016">
        <f ca="1">C34</f>
        <v>2940</v>
      </c>
      <c r="I125" s="52">
        <f ca="1">C35</f>
        <v>38138</v>
      </c>
      <c r="J125" s="2760"/>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 ca="1">IF(H19="元",NUMBERSTRING(INT(H125),2)&amp;"元整",NUMBERSTRING(INT(H125*10000),2)&amp;"元整")</f>
        <v>贰仟玖佰肆拾万元整</v>
      </c>
      <c r="I126" s="3526"/>
      <c r="J126" s="2783"/>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66" t="str">
        <f>IF(项目基本情况!D5="房地产市场价值","——",MID(A112,3,LEN(A112)-2))</f>
        <v>估价师所知悉的法定优先受偿款</v>
      </c>
      <c r="B127" s="3479"/>
      <c r="C127" s="3468"/>
      <c r="D127" s="3470">
        <f>I107</f>
        <v>0</v>
      </c>
      <c r="E127" s="3479"/>
      <c r="F127" s="3479"/>
      <c r="G127" s="3479"/>
      <c r="H127" s="3479"/>
      <c r="I127" s="3467"/>
      <c r="J127" s="2776"/>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80" t="s">
        <v>2557</v>
      </c>
      <c r="B128" s="3481"/>
      <c r="C128" s="3482"/>
      <c r="D128" s="3518">
        <f>H111</f>
        <v>0</v>
      </c>
      <c r="E128" s="3519"/>
      <c r="F128" s="3519"/>
      <c r="G128" s="3519"/>
      <c r="H128" s="3519"/>
      <c r="I128" s="3520"/>
      <c r="J128" s="2784"/>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53" t="str">
        <f>IF(项目基本情况!D5="房地产市场价值","——",MID(A116,3,LEN(A116)-2))</f>
        <v>房地产抵押价值</v>
      </c>
      <c r="B129" s="3454"/>
      <c r="C129" s="3454"/>
      <c r="D129" s="3470">
        <f ca="1">I112</f>
        <v>2940</v>
      </c>
      <c r="E129" s="3479"/>
      <c r="F129" s="3479"/>
      <c r="G129" s="3479"/>
      <c r="H129" s="3479"/>
      <c r="I129" s="3467"/>
      <c r="J129" s="2776"/>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46" t="s">
        <v>2557</v>
      </c>
      <c r="B130" s="3442"/>
      <c r="C130" s="3442"/>
      <c r="D130" s="3518">
        <f ca="1">I113</f>
        <v>38138</v>
      </c>
      <c r="E130" s="3519"/>
      <c r="F130" s="3519"/>
      <c r="G130" s="3519"/>
      <c r="H130" s="3519"/>
      <c r="I130" s="3520"/>
      <c r="J130" s="2784"/>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53" t="str">
        <f>IF(项目基本情况!D5="房地产市场价值","——",MID(A118,3,LEN(A118)-2))</f>
        <v/>
      </c>
      <c r="B131" s="3454"/>
      <c r="C131" s="3454"/>
      <c r="D131" s="3426" t="str">
        <f>I114</f>
        <v>——</v>
      </c>
      <c r="E131" s="3427"/>
      <c r="F131" s="3427"/>
      <c r="G131" s="3427"/>
      <c r="H131" s="3427"/>
      <c r="I131" s="3428"/>
      <c r="J131" s="2776"/>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46" t="s">
        <v>2557</v>
      </c>
      <c r="B132" s="3442"/>
      <c r="C132" s="3493"/>
      <c r="D132" s="3471" t="str">
        <f>I115</f>
        <v>——</v>
      </c>
      <c r="E132" s="3471"/>
      <c r="F132" s="3471"/>
      <c r="G132" s="3471"/>
      <c r="H132" s="3471"/>
      <c r="I132" s="3471"/>
      <c r="J132" s="2784"/>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53" t="str">
        <f>IF(项目基本情况!D5="房地产市场价值","——",MID(F116,3,LEN(F116)-2))</f>
        <v/>
      </c>
      <c r="B133" s="3454"/>
      <c r="C133" s="3470"/>
      <c r="D133" s="3521" t="str">
        <f>I116</f>
        <v>——</v>
      </c>
      <c r="E133" s="3521"/>
      <c r="F133" s="3521"/>
      <c r="G133" s="3521"/>
      <c r="H133" s="3521"/>
      <c r="I133" s="3521"/>
      <c r="J133" s="2776"/>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509" t="s">
        <v>2557</v>
      </c>
      <c r="B134" s="3510"/>
      <c r="C134" s="3510"/>
      <c r="D134" s="3527">
        <f>H118</f>
        <v>0</v>
      </c>
      <c r="E134" s="3528"/>
      <c r="F134" s="3528"/>
      <c r="G134" s="3528"/>
      <c r="H134" s="3528"/>
      <c r="I134" s="3529"/>
      <c r="J134" s="2784"/>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5"/>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78"/>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1635</v>
      </c>
      <c r="B137" s="1419"/>
      <c r="C137" s="1420" t="s">
        <v>1636</v>
      </c>
      <c r="D137" s="1421"/>
      <c r="E137" s="1421"/>
      <c r="F137" s="1421"/>
      <c r="G137" s="1421"/>
      <c r="H137" s="1422"/>
      <c r="I137" s="1423"/>
      <c r="J137" s="2786"/>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6"/>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6"/>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87"/>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6"/>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87"/>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1637</v>
      </c>
      <c r="G143" s="1432"/>
      <c r="H143" s="1432"/>
      <c r="I143" s="1433" t="s">
        <v>1638</v>
      </c>
      <c r="J143" s="2788"/>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1639</v>
      </c>
      <c r="C144" s="658"/>
      <c r="D144" s="658"/>
      <c r="E144" s="658"/>
      <c r="F144" s="658"/>
      <c r="G144" s="658"/>
      <c r="H144" s="658"/>
      <c r="I144" s="658"/>
      <c r="J144" s="2787"/>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87"/>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1640</v>
      </c>
      <c r="J146" s="2788"/>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1641</v>
      </c>
      <c r="C147" s="658"/>
      <c r="D147" s="658"/>
      <c r="E147" s="658"/>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1640</v>
      </c>
      <c r="J149" s="2788"/>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8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87"/>
    </row>
    <row r="152" spans="1:27" s="658" customFormat="1" ht="21.75" customHeight="1">
      <c r="J152" s="2787"/>
    </row>
    <row r="153" spans="1:27" s="658" customFormat="1" ht="21.75" customHeight="1">
      <c r="J153" s="2787"/>
    </row>
    <row r="154" spans="1:27" s="658" customFormat="1" ht="21.75" customHeight="1">
      <c r="J154" s="2787"/>
    </row>
    <row r="155" spans="1:27" s="658" customFormat="1" ht="21.75" customHeight="1">
      <c r="J155" s="2787"/>
    </row>
    <row r="156" spans="1:27" s="658" customFormat="1" ht="21.75" customHeight="1">
      <c r="J156" s="2787"/>
    </row>
    <row r="157" spans="1:27" s="658" customFormat="1" ht="21.75" customHeight="1">
      <c r="J157" s="2787"/>
    </row>
    <row r="158" spans="1:27" s="658" customFormat="1" ht="21.75" customHeight="1">
      <c r="J158" s="2787"/>
    </row>
    <row r="159" spans="1:27" s="658" customFormat="1" ht="21.75" customHeight="1">
      <c r="J159" s="2787"/>
    </row>
    <row r="160" spans="1:27"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27" s="658" customFormat="1" ht="21.75" customHeight="1">
      <c r="J369" s="2787"/>
    </row>
    <row r="370" spans="10:27" s="658" customFormat="1" ht="21.75" customHeight="1">
      <c r="J370" s="2787"/>
    </row>
    <row r="371" spans="10:27" s="658" customFormat="1" ht="21.75" customHeight="1">
      <c r="J371" s="2787"/>
    </row>
    <row r="372" spans="10:27" s="658" customFormat="1" ht="21.75" customHeight="1">
      <c r="J372" s="2787"/>
    </row>
    <row r="373" spans="10:27" s="658" customFormat="1" ht="21.75" customHeight="1">
      <c r="J373" s="2787"/>
    </row>
    <row r="374" spans="10:27" s="658" customFormat="1" ht="21.75" customHeight="1">
      <c r="J374" s="2787"/>
    </row>
    <row r="375" spans="10:27" s="658" customFormat="1" ht="21.75" customHeight="1">
      <c r="J375" s="2787"/>
    </row>
    <row r="376" spans="10:27" s="658" customFormat="1" ht="21.75" customHeight="1">
      <c r="J376" s="2787"/>
    </row>
    <row r="377" spans="10:27" s="658" customFormat="1" ht="21.75" customHeight="1">
      <c r="J377" s="2787"/>
    </row>
    <row r="378" spans="10:27" s="658" customFormat="1" ht="21.75" customHeight="1">
      <c r="J378" s="2787"/>
    </row>
    <row r="379" spans="10:27" s="658" customFormat="1" ht="21.75" customHeight="1">
      <c r="J379" s="2787"/>
    </row>
    <row r="380" spans="10:27" s="658" customFormat="1" ht="21.75" customHeight="1">
      <c r="J380" s="2787"/>
    </row>
    <row r="381" spans="10:27" s="658" customFormat="1" ht="21.75" customHeight="1">
      <c r="J381" s="2787"/>
    </row>
    <row r="382" spans="10:27" s="658" customFormat="1" ht="21.75" customHeight="1">
      <c r="J382" s="2787"/>
    </row>
    <row r="383" spans="10:27" s="1235" customFormat="1" ht="21.75" customHeight="1">
      <c r="J383" s="2757"/>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57"/>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57"/>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57"/>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57"/>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57"/>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57"/>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57"/>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57"/>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57"/>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57"/>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57"/>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57"/>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57"/>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57"/>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57"/>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57"/>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57"/>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57"/>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57"/>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57"/>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57"/>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57"/>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57"/>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5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569</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7386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1184676</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154176</v>
      </c>
      <c r="D8" s="1098"/>
      <c r="E8" s="115"/>
      <c r="F8" s="1097"/>
      <c r="G8" s="1445"/>
    </row>
    <row r="9" spans="1:123" s="91" customFormat="1" ht="13.5" customHeight="1">
      <c r="A9" s="950"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1690</v>
      </c>
      <c r="C10" s="1099">
        <f>ROUND(D10*E10,0)</f>
        <v>154176</v>
      </c>
      <c r="D10" s="1100">
        <f>IF('数据-取费表'!B10&lt;&gt;"住宅",IF(B1="仅计算典型户型",'数据-取费表'!E5,'数据-取费表'!B5),0)</f>
        <v>770.88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154176</v>
      </c>
      <c r="D19" s="1103">
        <f>IF(B1="仅计算典型户型",'数据-取费表'!E5,'数据-取费表'!B5)</f>
        <v>770.88</v>
      </c>
      <c r="E19" s="111">
        <f>'数据-取费表'!E15</f>
        <v>200</v>
      </c>
      <c r="F19" s="112"/>
      <c r="G19" s="1445"/>
    </row>
    <row r="20" spans="1:123" s="91" customFormat="1" ht="13.5" customHeight="1">
      <c r="A20" s="120" t="s">
        <v>1702</v>
      </c>
      <c r="B20" s="89" t="s">
        <v>1703</v>
      </c>
      <c r="C20" s="99">
        <f>ROUND((C5+C19)*F20,0)</f>
        <v>26777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114541</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100368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13062</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1111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1720</v>
      </c>
      <c r="B27" s="110" t="s">
        <v>1721</v>
      </c>
      <c r="C27" s="111">
        <f>C28</f>
        <v>204844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204844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1825782</v>
      </c>
      <c r="D31" s="1103"/>
      <c r="E31" s="111"/>
      <c r="F31" s="1104"/>
      <c r="G31" s="100" t="s">
        <v>1729</v>
      </c>
    </row>
    <row r="32" spans="1:123" s="88" customFormat="1" ht="15.75">
      <c r="A32" s="117" t="s">
        <v>1730</v>
      </c>
      <c r="B32" s="118"/>
      <c r="C32" s="1105"/>
      <c r="D32" s="1105"/>
      <c r="E32" s="1105"/>
      <c r="F32" s="1105"/>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3376455</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3083520</v>
      </c>
      <c r="D34" s="1095"/>
      <c r="E34" s="115"/>
      <c r="F34" s="1106" t="str">
        <f>IF('数据-取费表'!B26=0,"",'数据-取费表'!E20)</f>
        <v/>
      </c>
      <c r="G34" s="95"/>
    </row>
    <row r="35" spans="1:123" ht="13.5" customHeight="1">
      <c r="A35" s="92" t="s">
        <v>1685</v>
      </c>
      <c r="B35" s="93" t="s">
        <v>1734</v>
      </c>
      <c r="C35" s="115">
        <f>ROUND(C34*F35,0)</f>
        <v>92506</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154176</v>
      </c>
      <c r="D37" s="1095">
        <f>IF(B1="仅计算典型户型",'数据-取费表'!E5,'数据-取费表'!B5)</f>
        <v>770.88</v>
      </c>
      <c r="E37" s="115">
        <f>'数据-取费表'!E23</f>
        <v>200</v>
      </c>
      <c r="F37" s="1107"/>
      <c r="G37" s="124" t="s">
        <v>1739</v>
      </c>
    </row>
    <row r="38" spans="1:123" ht="13.5" customHeight="1">
      <c r="A38" s="92" t="s">
        <v>1740</v>
      </c>
      <c r="B38" s="93" t="s">
        <v>1741</v>
      </c>
      <c r="C38" s="115">
        <f>ROUND(C34*F38,0)</f>
        <v>46253</v>
      </c>
      <c r="D38" s="115"/>
      <c r="E38" s="115"/>
      <c r="F38" s="1107">
        <f>'数据-取费表'!E24</f>
        <v>1.4999999999999999E-2</v>
      </c>
      <c r="G38" s="95" t="s">
        <v>1735</v>
      </c>
    </row>
    <row r="39" spans="1:123" s="91" customFormat="1" ht="13.5" customHeight="1">
      <c r="A39" s="120" t="s">
        <v>1700</v>
      </c>
      <c r="B39" s="89" t="s">
        <v>1703</v>
      </c>
      <c r="C39" s="99">
        <f>ROUND(C33*F20,0)</f>
        <v>67529</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142925</v>
      </c>
      <c r="D41" s="101">
        <f ca="1">C44</f>
        <v>8.0000000000000004E-4</v>
      </c>
      <c r="E41" s="102" t="s">
        <v>1743</v>
      </c>
      <c r="F41" s="280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140123</v>
      </c>
      <c r="D42" s="104"/>
      <c r="E42" s="104"/>
      <c r="F42" s="105"/>
      <c r="G42" s="3559" t="s">
        <v>1745</v>
      </c>
    </row>
    <row r="43" spans="1:123" ht="13.5" customHeight="1">
      <c r="A43" s="92" t="s">
        <v>1685</v>
      </c>
      <c r="B43" s="93" t="s">
        <v>1714</v>
      </c>
      <c r="C43" s="104">
        <f ca="1">ROUND(IF('数据-取费表'!B24&lt;=1,C39*F22*'数据-取费表'!B23/2,C39*(POWER((1+F22),'数据-取费表'!B23/2)-1)),0)</f>
        <v>2802</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516598</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516598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1720</v>
      </c>
      <c r="B48" s="89" t="s">
        <v>1749</v>
      </c>
      <c r="C48" s="1230">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1751</v>
      </c>
      <c r="B49" s="89" t="s">
        <v>1752</v>
      </c>
      <c r="C49" s="99">
        <f ca="1">ROUND((C33+C39+C41+C45)/(1-C40-D41-D45-C48),0)</f>
        <v>4446318</v>
      </c>
      <c r="D49" s="99"/>
      <c r="E49" s="99"/>
      <c r="F49" s="126"/>
      <c r="G49" s="100" t="s">
        <v>1753</v>
      </c>
    </row>
    <row r="50" spans="1:123" s="122" customFormat="1" ht="24">
      <c r="A50" s="951" t="s">
        <v>1754</v>
      </c>
      <c r="B50" s="89" t="s">
        <v>1755</v>
      </c>
      <c r="C50" s="99"/>
      <c r="D50" s="99"/>
      <c r="E50" s="99"/>
      <c r="F50" s="126">
        <f>IF('数据-取费表'!B26=0,'数据-取费表'!E20,1)</f>
        <v>0.87</v>
      </c>
      <c r="G50" s="113" t="s">
        <v>1756</v>
      </c>
    </row>
    <row r="51" spans="1:123" ht="16.5" customHeight="1">
      <c r="A51" s="951" t="s">
        <v>1757</v>
      </c>
      <c r="B51" s="89" t="s">
        <v>1758</v>
      </c>
      <c r="C51" s="99">
        <f ca="1">ROUND(C49*F50,0)</f>
        <v>3868297</v>
      </c>
      <c r="D51" s="99"/>
      <c r="E51" s="99"/>
      <c r="F51" s="126"/>
      <c r="G51" s="100" t="s">
        <v>1759</v>
      </c>
    </row>
    <row r="52" spans="1:123" s="88" customFormat="1" ht="16.5" thickBot="1">
      <c r="A52" s="127" t="s">
        <v>1760</v>
      </c>
      <c r="B52" s="128"/>
      <c r="C52" s="129">
        <f ca="1">C31+C51</f>
        <v>5694079</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0.67900000000000005</v>
      </c>
    </row>
    <row r="57" spans="1:123">
      <c r="B57" s="135" t="s">
        <v>1763</v>
      </c>
      <c r="C57" s="137">
        <f ca="1">1-C56</f>
        <v>0.32099999999999995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1211</v>
      </c>
      <c r="C2" s="1328" t="str">
        <f>'数据-取费表'!B3</f>
        <v>万元</v>
      </c>
      <c r="D2" s="881"/>
      <c r="E2" s="881"/>
      <c r="F2" s="881"/>
      <c r="G2" s="881"/>
      <c r="H2" s="881"/>
      <c r="I2" s="881"/>
      <c r="J2" s="881"/>
      <c r="K2" s="881"/>
    </row>
    <row r="3" spans="1:33" s="139" customFormat="1" ht="18" customHeight="1" thickBot="1">
      <c r="A3" s="83" t="s">
        <v>1049</v>
      </c>
      <c r="B3" s="84">
        <f ca="1">ROUND(C32/IF(C1="仅计算典型户型",'数据-取费表'!E5,'数据-取费表'!B5),0)</f>
        <v>23844</v>
      </c>
      <c r="C3" s="1328" t="s">
        <v>1050</v>
      </c>
      <c r="D3" s="881"/>
      <c r="E3" s="881"/>
      <c r="F3" s="881"/>
      <c r="G3" s="881"/>
      <c r="H3" s="881"/>
      <c r="I3" s="881"/>
      <c r="J3" s="881"/>
      <c r="K3" s="881"/>
    </row>
    <row r="4" spans="1:33" s="143" customFormat="1" ht="16.5" customHeight="1">
      <c r="A4" s="140" t="s">
        <v>1051</v>
      </c>
      <c r="B4" s="141"/>
      <c r="C4" s="1051">
        <f>SUM(C8:K8)</f>
        <v>17776500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507.9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17776500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2031600</v>
      </c>
      <c r="D11" s="164"/>
      <c r="E11" s="34"/>
      <c r="F11" s="165">
        <f>1-'数据-取费表'!E20</f>
        <v>0.13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60948</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13205</v>
      </c>
      <c r="D14" s="164">
        <f>IF(C1="仅计算典型户型",'数据-取费表'!E5,'数据-取费表'!B5)</f>
        <v>507.9</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30474</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2136227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507.9</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-52596</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101580</v>
      </c>
      <c r="D20" s="164">
        <f>IF('数据-取费表'!B10&lt;&gt;"住宅",IF(C1="仅计算典型户型",'数据-取费表'!E5,'数据-取费表'!B5),0)</f>
        <v>507.9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2083631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41673</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46219</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325728</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325728</v>
      </c>
      <c r="D30" s="193"/>
      <c r="E30" s="206"/>
      <c r="F30" s="203"/>
      <c r="G30" s="147"/>
      <c r="H30" s="170"/>
      <c r="I30" s="170"/>
      <c r="J30" s="170"/>
      <c r="K30" s="171"/>
    </row>
    <row r="31" spans="1:33" s="182" customFormat="1" ht="13.5" customHeight="1" thickBot="1">
      <c r="A31" s="1330" t="s">
        <v>1107</v>
      </c>
      <c r="B31" s="177" t="s">
        <v>1108</v>
      </c>
      <c r="C31" s="207">
        <f>ROUND(C4*F31/(1+'数据-取费表'!F30),0)</f>
        <v>948080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12110165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C1" sqref="C1"/>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t="s">
        <v>3094</v>
      </c>
      <c r="D1" s="1565"/>
      <c r="E1" s="1568" t="s">
        <v>2504</v>
      </c>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1"/>
      <c r="AC1" s="1574"/>
    </row>
    <row r="2" spans="1:29" s="1884" customFormat="1" ht="28.5" customHeight="1" thickTop="1">
      <c r="A2" s="1576" t="s">
        <v>1674</v>
      </c>
      <c r="B2" s="1577">
        <f>IF(D2="——",IF(C2="元",ROUND(C50*D3,0),ROUND(C50*D3/10000,0)),IF(C2="元",ROUND(C50*D3,0),ROUND(C50*D3/10000,0))-E2)</f>
        <v>2128</v>
      </c>
      <c r="C2" s="1578" t="str">
        <f>'数据-取费表'!B3</f>
        <v>万元</v>
      </c>
      <c r="D2" s="1579" t="s">
        <v>1001</v>
      </c>
      <c r="E2" s="2402" t="e">
        <f ca="1">SUMIF(INDIRECT("'"&amp;G2&amp;"'"&amp;"!A:A"),"承租人权益价值",INDIRECT("'"&amp;G2&amp;"'"&amp;"!c:c"))</f>
        <v>#REF!</v>
      </c>
      <c r="F2" s="1581" t="str">
        <f>C2</f>
        <v>万元</v>
      </c>
      <c r="G2" s="1582"/>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6" t="s">
        <v>1675</v>
      </c>
      <c r="B3" s="1887">
        <f>ROUND(IF(D2="——",C50,IF(C2="万元",B2*10000/D3,B2/D3)),0)</f>
        <v>41889</v>
      </c>
      <c r="C3" s="1587" t="s">
        <v>2005</v>
      </c>
      <c r="D3" s="1587">
        <f>IF(C1="仅计算典型户型",'数据-取费表'!E5,'数据-取费表'!B5)</f>
        <v>507.9</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0" t="s">
        <v>2006</v>
      </c>
      <c r="B4" s="1591"/>
      <c r="C4" s="3574" t="s">
        <v>2007</v>
      </c>
      <c r="D4" s="3575"/>
      <c r="E4" s="3576" t="s">
        <v>2008</v>
      </c>
      <c r="F4" s="3577"/>
      <c r="G4" s="3574" t="s">
        <v>2009</v>
      </c>
      <c r="H4" s="3575"/>
      <c r="I4" s="3574" t="s">
        <v>2010</v>
      </c>
      <c r="J4" s="3575"/>
      <c r="K4" s="1890" t="s">
        <v>2011</v>
      </c>
      <c r="L4" s="2911"/>
      <c r="M4" s="2912"/>
      <c r="N4" s="2912"/>
      <c r="O4" s="2912"/>
      <c r="P4" s="3578" t="s">
        <v>2012</v>
      </c>
      <c r="Q4" s="3579"/>
      <c r="R4" s="3584" t="s">
        <v>2008</v>
      </c>
      <c r="S4" s="3585"/>
      <c r="T4" s="3584" t="s">
        <v>2009</v>
      </c>
      <c r="U4" s="3585"/>
      <c r="V4" s="3590" t="s">
        <v>2010</v>
      </c>
      <c r="W4" s="3590"/>
      <c r="X4" s="1999"/>
      <c r="Y4" s="3584" t="s">
        <v>2012</v>
      </c>
      <c r="Z4" s="3585"/>
      <c r="AA4" s="3571" t="s">
        <v>2008</v>
      </c>
      <c r="AB4" s="3571" t="s">
        <v>2009</v>
      </c>
      <c r="AC4" s="3571" t="s">
        <v>2010</v>
      </c>
    </row>
    <row r="5" spans="1:29" ht="15">
      <c r="A5" s="1595"/>
      <c r="B5" s="1596"/>
      <c r="C5" s="3567" t="s">
        <v>2013</v>
      </c>
      <c r="D5" s="3568"/>
      <c r="E5" s="3591" t="s">
        <v>2014</v>
      </c>
      <c r="F5" s="3592"/>
      <c r="G5" s="3567" t="s">
        <v>2015</v>
      </c>
      <c r="H5" s="3568"/>
      <c r="I5" s="3567" t="s">
        <v>2016</v>
      </c>
      <c r="J5" s="3568"/>
      <c r="K5" s="1890"/>
      <c r="L5" s="2911"/>
      <c r="M5" s="2912"/>
      <c r="N5" s="2912"/>
      <c r="O5" s="2912"/>
      <c r="P5" s="3580"/>
      <c r="Q5" s="3581"/>
      <c r="R5" s="3586"/>
      <c r="S5" s="3587"/>
      <c r="T5" s="3586"/>
      <c r="U5" s="3587"/>
      <c r="V5" s="3590"/>
      <c r="W5" s="3590"/>
      <c r="X5" s="1999"/>
      <c r="Y5" s="3586"/>
      <c r="Z5" s="3587"/>
      <c r="AA5" s="3572"/>
      <c r="AB5" s="3572"/>
      <c r="AC5" s="3572"/>
    </row>
    <row r="6" spans="1:29" ht="15.75" thickBot="1">
      <c r="A6" s="1598"/>
      <c r="B6" s="1599"/>
      <c r="C6" s="3564" t="s">
        <v>2017</v>
      </c>
      <c r="D6" s="3565"/>
      <c r="E6" s="3562" t="s">
        <v>2017</v>
      </c>
      <c r="F6" s="3563"/>
      <c r="G6" s="3564" t="s">
        <v>2017</v>
      </c>
      <c r="H6" s="3565"/>
      <c r="I6" s="3564" t="s">
        <v>2017</v>
      </c>
      <c r="J6" s="3565"/>
      <c r="K6" s="1890" t="s">
        <v>2018</v>
      </c>
      <c r="L6" s="2911"/>
      <c r="M6" s="2912"/>
      <c r="N6" s="2912"/>
      <c r="O6" s="2912"/>
      <c r="P6" s="3582"/>
      <c r="Q6" s="3583"/>
      <c r="R6" s="3586"/>
      <c r="S6" s="3587"/>
      <c r="T6" s="3588"/>
      <c r="U6" s="3589"/>
      <c r="V6" s="3590"/>
      <c r="W6" s="3590"/>
      <c r="X6" s="1999"/>
      <c r="Y6" s="3588"/>
      <c r="Z6" s="3589"/>
      <c r="AA6" s="3573"/>
      <c r="AB6" s="3573"/>
      <c r="AC6" s="3573"/>
    </row>
    <row r="7" spans="1:29" s="1612" customFormat="1" ht="15.75" thickBot="1">
      <c r="A7" s="1600" t="s">
        <v>2019</v>
      </c>
      <c r="B7" s="1601"/>
      <c r="C7" s="1602">
        <f>'数据-取费表'!B2</f>
        <v>44858</v>
      </c>
      <c r="D7" s="1603">
        <v>100</v>
      </c>
      <c r="E7" s="1604">
        <f>C7</f>
        <v>44858</v>
      </c>
      <c r="F7" s="1605">
        <f>SUMIF(59:59,YEAR(E7)&amp;"-"&amp;MONTH(E7),60:60)</f>
        <v>100</v>
      </c>
      <c r="G7" s="1891">
        <f>E7</f>
        <v>44858</v>
      </c>
      <c r="H7" s="1603">
        <f>SUMIF(59:59,YEAR(G7)&amp;"-"&amp;MONTH(G7),60:60)</f>
        <v>100</v>
      </c>
      <c r="I7" s="1891">
        <f>G7</f>
        <v>44858</v>
      </c>
      <c r="J7" s="1603">
        <f>SUMIF(59:59,YEAR(I7)&amp;"-"&amp;MONTH(I7),60:60)</f>
        <v>100</v>
      </c>
      <c r="K7" s="1892"/>
      <c r="L7" s="2911"/>
      <c r="M7" s="2884"/>
      <c r="N7" s="2884"/>
      <c r="O7" s="2884"/>
      <c r="P7" s="3569" t="s">
        <v>2020</v>
      </c>
      <c r="Q7" s="3593"/>
      <c r="R7" s="1608" t="s">
        <v>25</v>
      </c>
      <c r="S7" s="1609">
        <f t="shared" ref="S7:S15" si="0">F7</f>
        <v>100</v>
      </c>
      <c r="T7" s="1608" t="s">
        <v>25</v>
      </c>
      <c r="U7" s="1609">
        <f t="shared" ref="U7:U15" si="1">H7</f>
        <v>100</v>
      </c>
      <c r="V7" s="1608" t="s">
        <v>25</v>
      </c>
      <c r="W7" s="1609">
        <f t="shared" ref="W7:W15" si="2">J7</f>
        <v>100</v>
      </c>
      <c r="X7" s="1610"/>
      <c r="Y7" s="3569" t="s">
        <v>2020</v>
      </c>
      <c r="Z7" s="3570"/>
      <c r="AA7" s="1611">
        <f>D7/F7</f>
        <v>1</v>
      </c>
      <c r="AB7" s="1611">
        <f>D7/H7</f>
        <v>1</v>
      </c>
      <c r="AC7" s="1611">
        <f>D7/J7</f>
        <v>1</v>
      </c>
    </row>
    <row r="8" spans="1:29" s="1612" customFormat="1" ht="15.75" thickBot="1">
      <c r="A8" s="1600" t="s">
        <v>2021</v>
      </c>
      <c r="B8" s="1601"/>
      <c r="C8" s="1613" t="s">
        <v>2022</v>
      </c>
      <c r="D8" s="1603">
        <v>100</v>
      </c>
      <c r="E8" s="1613" t="s">
        <v>2639</v>
      </c>
      <c r="F8" s="1605">
        <f>SUMIF(62:62,E8,63:63)-SUMIF(62:62,C8,63:63)+100</f>
        <v>100</v>
      </c>
      <c r="G8" s="1613" t="s">
        <v>2639</v>
      </c>
      <c r="H8" s="1603">
        <f>SUMIF(62:62,G8,63:63)-SUMIF(62:62,C8,63:63)+100</f>
        <v>100</v>
      </c>
      <c r="I8" s="1613" t="s">
        <v>2639</v>
      </c>
      <c r="J8" s="1603">
        <f>SUMIF(62:62,I8,63:63)-SUMIF(62:62,C8,63:63)+100</f>
        <v>100</v>
      </c>
      <c r="K8" s="1892"/>
      <c r="L8" s="2911"/>
      <c r="M8" s="2884"/>
      <c r="N8" s="2884"/>
      <c r="O8" s="2884"/>
      <c r="P8" s="3569" t="s">
        <v>2023</v>
      </c>
      <c r="Q8" s="3570"/>
      <c r="R8" s="1608" t="s">
        <v>25</v>
      </c>
      <c r="S8" s="1609">
        <f t="shared" si="0"/>
        <v>100</v>
      </c>
      <c r="T8" s="1608" t="s">
        <v>25</v>
      </c>
      <c r="U8" s="1609">
        <f t="shared" si="1"/>
        <v>100</v>
      </c>
      <c r="V8" s="1608" t="s">
        <v>25</v>
      </c>
      <c r="W8" s="1609">
        <f t="shared" si="2"/>
        <v>100</v>
      </c>
      <c r="X8" s="1610"/>
      <c r="Y8" s="3569" t="s">
        <v>2023</v>
      </c>
      <c r="Z8" s="3570"/>
      <c r="AA8" s="1611">
        <f t="shared" ref="AA8:AA47" si="3">D8/F8</f>
        <v>1</v>
      </c>
      <c r="AB8" s="1611">
        <f t="shared" ref="AB8:AB47" si="4">D8/H8</f>
        <v>1</v>
      </c>
      <c r="AC8" s="1611">
        <f t="shared" ref="AC8:AC47" si="5">D8/J8</f>
        <v>1</v>
      </c>
    </row>
    <row r="9" spans="1:29" s="1612" customFormat="1">
      <c r="A9" s="1991" t="s">
        <v>2024</v>
      </c>
      <c r="B9" s="1615" t="s">
        <v>2025</v>
      </c>
      <c r="C9" s="3322" t="s">
        <v>3067</v>
      </c>
      <c r="D9" s="1617">
        <v>100</v>
      </c>
      <c r="E9" s="1620" t="s">
        <v>3037</v>
      </c>
      <c r="F9" s="1617">
        <f>SUMIF(64:64,E9,65:65)-SUMIF(64:64,C9,65:65)+100</f>
        <v>100</v>
      </c>
      <c r="G9" s="1620" t="s">
        <v>3037</v>
      </c>
      <c r="H9" s="1617">
        <f>SUMIF(64:64,G9,65:65)-SUMIF(64:64,C9,65:65)+100</f>
        <v>100</v>
      </c>
      <c r="I9" s="1620" t="s">
        <v>3037</v>
      </c>
      <c r="J9" s="1617">
        <f>SUMIF(64:64,I9,65:65)-SUMIF(64:64,C9,65:65)+100</f>
        <v>100</v>
      </c>
      <c r="K9" s="1892"/>
      <c r="L9" s="2911"/>
      <c r="M9" s="2884"/>
      <c r="N9" s="2884"/>
      <c r="O9" s="2884"/>
      <c r="P9" s="3566" t="s">
        <v>2026</v>
      </c>
      <c r="Q9" s="2829" t="str">
        <f t="shared" ref="Q9:Q15" si="6">B9</f>
        <v>用途</v>
      </c>
      <c r="R9" s="1608" t="s">
        <v>25</v>
      </c>
      <c r="S9" s="1609">
        <f t="shared" si="0"/>
        <v>100</v>
      </c>
      <c r="T9" s="1608" t="s">
        <v>25</v>
      </c>
      <c r="U9" s="1609">
        <f t="shared" si="1"/>
        <v>100</v>
      </c>
      <c r="V9" s="1608" t="s">
        <v>25</v>
      </c>
      <c r="W9" s="1609">
        <f t="shared" si="2"/>
        <v>100</v>
      </c>
      <c r="X9" s="1610"/>
      <c r="Y9" s="3492" t="s">
        <v>2027</v>
      </c>
      <c r="Z9" s="1621" t="str">
        <f t="shared" ref="Z9:Z15" si="7">Q9</f>
        <v>用途</v>
      </c>
      <c r="AA9" s="1611">
        <f t="shared" si="3"/>
        <v>1</v>
      </c>
      <c r="AB9" s="1611">
        <f t="shared" si="4"/>
        <v>1</v>
      </c>
      <c r="AC9" s="1611">
        <f t="shared" si="5"/>
        <v>1</v>
      </c>
    </row>
    <row r="10" spans="1:29" s="1629" customFormat="1" ht="27">
      <c r="A10" s="1622"/>
      <c r="B10" s="1623" t="s">
        <v>2028</v>
      </c>
      <c r="C10" s="1624" t="s">
        <v>3076</v>
      </c>
      <c r="D10" s="1625">
        <v>100</v>
      </c>
      <c r="E10" s="1624" t="s">
        <v>3076</v>
      </c>
      <c r="F10" s="1625">
        <f>SUMIF(66:66,E10,67:67)-SUMIF(66:66,C10,67:67)+100</f>
        <v>100</v>
      </c>
      <c r="G10" s="1624" t="s">
        <v>3076</v>
      </c>
      <c r="H10" s="1625">
        <f>SUMIF(66:66,G10,67:67)-SUMIF(66:66,C10,67:67)+100</f>
        <v>100</v>
      </c>
      <c r="I10" s="1624" t="s">
        <v>3076</v>
      </c>
      <c r="J10" s="1625">
        <f>SUMIF(66:66,I10,67:67)-SUMIF(66:66,C10,67:67)+100</f>
        <v>100</v>
      </c>
      <c r="K10" s="1917"/>
      <c r="L10" s="2913"/>
      <c r="M10" s="2914"/>
      <c r="N10" s="2914"/>
      <c r="O10" s="2914"/>
      <c r="P10" s="3566"/>
      <c r="Q10" s="2829" t="str">
        <f t="shared" si="6"/>
        <v>土地使用年限（年）</v>
      </c>
      <c r="R10" s="1608" t="s">
        <v>25</v>
      </c>
      <c r="S10" s="1609">
        <f t="shared" si="0"/>
        <v>100</v>
      </c>
      <c r="T10" s="1608" t="s">
        <v>25</v>
      </c>
      <c r="U10" s="1609">
        <f t="shared" si="1"/>
        <v>100</v>
      </c>
      <c r="V10" s="1608" t="s">
        <v>25</v>
      </c>
      <c r="W10" s="1609">
        <f t="shared" si="2"/>
        <v>100</v>
      </c>
      <c r="X10" s="1610"/>
      <c r="Y10" s="3492"/>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f>LOOKUP(E11,69:69,70:70)-LOOKUP(C11,69:69,70:70)+100</f>
        <v>100</v>
      </c>
      <c r="G11" s="1632"/>
      <c r="H11" s="1625">
        <f>LOOKUP(G11,69:69,70:70)-LOOKUP(C11,69:69,70:70)+100</f>
        <v>100</v>
      </c>
      <c r="I11" s="1631"/>
      <c r="J11" s="1625">
        <f>LOOKUP(I11,69:69,70:70)-LOOKUP(C11,69:69,70:70)+100</f>
        <v>100</v>
      </c>
      <c r="K11" s="1917"/>
      <c r="L11" s="2915"/>
      <c r="M11" s="2912"/>
      <c r="N11" s="2912"/>
      <c r="O11" s="2912"/>
      <c r="P11" s="3566"/>
      <c r="Q11" s="2829" t="str">
        <f t="shared" si="6"/>
        <v>容积率</v>
      </c>
      <c r="R11" s="1608" t="s">
        <v>25</v>
      </c>
      <c r="S11" s="1609">
        <f t="shared" si="0"/>
        <v>100</v>
      </c>
      <c r="T11" s="1608" t="s">
        <v>25</v>
      </c>
      <c r="U11" s="1609">
        <f t="shared" si="1"/>
        <v>100</v>
      </c>
      <c r="V11" s="1608" t="s">
        <v>25</v>
      </c>
      <c r="W11" s="1609">
        <f t="shared" si="2"/>
        <v>100</v>
      </c>
      <c r="X11" s="1610"/>
      <c r="Y11" s="3492"/>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566"/>
      <c r="Q12" s="2829">
        <f t="shared" si="6"/>
        <v>111</v>
      </c>
      <c r="R12" s="1608" t="s">
        <v>25</v>
      </c>
      <c r="S12" s="1609">
        <f t="shared" si="0"/>
        <v>100</v>
      </c>
      <c r="T12" s="1608" t="s">
        <v>25</v>
      </c>
      <c r="U12" s="1609">
        <f t="shared" si="1"/>
        <v>100</v>
      </c>
      <c r="V12" s="1608" t="s">
        <v>25</v>
      </c>
      <c r="W12" s="1609">
        <f t="shared" si="2"/>
        <v>100</v>
      </c>
      <c r="X12" s="1610"/>
      <c r="Y12" s="3492"/>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566"/>
      <c r="Q13" s="2829">
        <f t="shared" si="6"/>
        <v>111</v>
      </c>
      <c r="R13" s="1608" t="s">
        <v>25</v>
      </c>
      <c r="S13" s="1609">
        <f t="shared" si="0"/>
        <v>100</v>
      </c>
      <c r="T13" s="1608" t="s">
        <v>25</v>
      </c>
      <c r="U13" s="1609">
        <f t="shared" si="1"/>
        <v>100</v>
      </c>
      <c r="V13" s="1608" t="s">
        <v>25</v>
      </c>
      <c r="W13" s="1609">
        <f t="shared" si="2"/>
        <v>100</v>
      </c>
      <c r="X13" s="1610"/>
      <c r="Y13" s="3492"/>
      <c r="Z13" s="1621">
        <f t="shared" si="7"/>
        <v>111</v>
      </c>
      <c r="AA13" s="1611">
        <f t="shared" si="3"/>
        <v>1</v>
      </c>
      <c r="AB13" s="1611">
        <f t="shared" si="4"/>
        <v>1</v>
      </c>
      <c r="AC13" s="1611">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566"/>
      <c r="Q14" s="2829">
        <f t="shared" si="6"/>
        <v>111</v>
      </c>
      <c r="R14" s="1608" t="s">
        <v>25</v>
      </c>
      <c r="S14" s="1609">
        <f t="shared" si="0"/>
        <v>100</v>
      </c>
      <c r="T14" s="1608" t="s">
        <v>25</v>
      </c>
      <c r="U14" s="1609">
        <f t="shared" si="1"/>
        <v>100</v>
      </c>
      <c r="V14" s="1608" t="s">
        <v>25</v>
      </c>
      <c r="W14" s="1609">
        <f t="shared" si="2"/>
        <v>100</v>
      </c>
      <c r="X14" s="1610"/>
      <c r="Y14" s="3492"/>
      <c r="Z14" s="1621">
        <f t="shared" si="7"/>
        <v>111</v>
      </c>
      <c r="AA14" s="1611">
        <f t="shared" si="3"/>
        <v>1</v>
      </c>
      <c r="AB14" s="1611">
        <f t="shared" si="4"/>
        <v>1</v>
      </c>
      <c r="AC14" s="1611">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v>2</v>
      </c>
      <c r="L15" s="2916"/>
      <c r="M15" s="2912"/>
      <c r="N15" s="2912"/>
      <c r="O15" s="2912"/>
      <c r="P15" s="3594" t="s">
        <v>2031</v>
      </c>
      <c r="Q15" s="2830" t="str">
        <f t="shared" si="6"/>
        <v>办公集聚程度</v>
      </c>
      <c r="R15" s="1653" t="s">
        <v>25</v>
      </c>
      <c r="S15" s="1654">
        <f t="shared" si="0"/>
        <v>100</v>
      </c>
      <c r="T15" s="1653" t="s">
        <v>25</v>
      </c>
      <c r="U15" s="1654">
        <f t="shared" si="1"/>
        <v>100</v>
      </c>
      <c r="V15" s="1653" t="s">
        <v>25</v>
      </c>
      <c r="W15" s="1654">
        <f t="shared" si="2"/>
        <v>100</v>
      </c>
      <c r="X15" s="1999"/>
      <c r="Y15" s="3594" t="s">
        <v>2031</v>
      </c>
      <c r="Z15" s="2003" t="str">
        <f t="shared" si="7"/>
        <v>办公集聚程度</v>
      </c>
      <c r="AA15" s="1994">
        <f t="shared" si="3"/>
        <v>1</v>
      </c>
      <c r="AB15" s="1994">
        <f t="shared" si="4"/>
        <v>1</v>
      </c>
      <c r="AC15" s="1994">
        <f t="shared" si="5"/>
        <v>1</v>
      </c>
    </row>
    <row r="16" spans="1:29" ht="15">
      <c r="A16" s="1630"/>
      <c r="B16" s="2408"/>
      <c r="C16" s="1900" t="s">
        <v>30</v>
      </c>
      <c r="D16" s="1659"/>
      <c r="E16" s="1900" t="s">
        <v>30</v>
      </c>
      <c r="F16" s="1659"/>
      <c r="G16" s="1900" t="s">
        <v>30</v>
      </c>
      <c r="H16" s="1663"/>
      <c r="I16" s="1900" t="s">
        <v>30</v>
      </c>
      <c r="J16" s="1659"/>
      <c r="K16" s="2388"/>
      <c r="L16" s="2916"/>
      <c r="M16" s="2912"/>
      <c r="N16" s="2912"/>
      <c r="O16" s="2912"/>
      <c r="P16" s="3595"/>
      <c r="Q16" s="2830"/>
      <c r="R16" s="1653"/>
      <c r="S16" s="1654"/>
      <c r="T16" s="1653"/>
      <c r="U16" s="1654"/>
      <c r="V16" s="1653"/>
      <c r="W16" s="1654"/>
      <c r="X16" s="1999"/>
      <c r="Y16" s="3595"/>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v>2</v>
      </c>
      <c r="L17" s="2916"/>
      <c r="M17" s="2912"/>
      <c r="N17" s="2912"/>
      <c r="O17" s="2912"/>
      <c r="P17" s="3595"/>
      <c r="Q17" s="2830" t="str">
        <f>B17</f>
        <v>交通便捷度</v>
      </c>
      <c r="R17" s="1653" t="s">
        <v>25</v>
      </c>
      <c r="S17" s="1654">
        <f>F17</f>
        <v>100</v>
      </c>
      <c r="T17" s="1653" t="s">
        <v>25</v>
      </c>
      <c r="U17" s="1654">
        <f>H17</f>
        <v>100</v>
      </c>
      <c r="V17" s="1653" t="s">
        <v>25</v>
      </c>
      <c r="W17" s="1654">
        <f>J17</f>
        <v>100</v>
      </c>
      <c r="X17" s="1999"/>
      <c r="Y17" s="3595"/>
      <c r="Z17" s="2003" t="str">
        <f>Q17</f>
        <v>交通便捷度</v>
      </c>
      <c r="AA17" s="1994">
        <f t="shared" si="3"/>
        <v>1</v>
      </c>
      <c r="AB17" s="1994">
        <f t="shared" si="4"/>
        <v>1</v>
      </c>
      <c r="AC17" s="1994">
        <f t="shared" si="5"/>
        <v>1</v>
      </c>
    </row>
    <row r="18" spans="1:29" ht="15">
      <c r="A18" s="1630"/>
      <c r="B18" s="2410"/>
      <c r="C18" s="1900" t="s">
        <v>30</v>
      </c>
      <c r="D18" s="1663"/>
      <c r="E18" s="1900" t="s">
        <v>30</v>
      </c>
      <c r="F18" s="1663"/>
      <c r="G18" s="1900" t="s">
        <v>30</v>
      </c>
      <c r="H18" s="1659"/>
      <c r="I18" s="1900" t="s">
        <v>30</v>
      </c>
      <c r="J18" s="1659"/>
      <c r="K18" s="2388"/>
      <c r="L18" s="2916"/>
      <c r="M18" s="2912"/>
      <c r="N18" s="2912"/>
      <c r="O18" s="2912"/>
      <c r="P18" s="3595"/>
      <c r="Q18" s="2830"/>
      <c r="R18" s="1653"/>
      <c r="S18" s="1654"/>
      <c r="T18" s="1653"/>
      <c r="U18" s="1654"/>
      <c r="V18" s="1653"/>
      <c r="W18" s="1654"/>
      <c r="X18" s="1999"/>
      <c r="Y18" s="3595"/>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v>2</v>
      </c>
      <c r="L19" s="2916"/>
      <c r="M19" s="2912"/>
      <c r="N19" s="2912"/>
      <c r="O19" s="2912"/>
      <c r="P19" s="3595"/>
      <c r="Q19" s="2830" t="str">
        <f>B19</f>
        <v>公共配套设施</v>
      </c>
      <c r="R19" s="1653" t="s">
        <v>25</v>
      </c>
      <c r="S19" s="1654">
        <f>F19</f>
        <v>100</v>
      </c>
      <c r="T19" s="1653" t="s">
        <v>25</v>
      </c>
      <c r="U19" s="1654">
        <f>H19</f>
        <v>100</v>
      </c>
      <c r="V19" s="1653" t="s">
        <v>25</v>
      </c>
      <c r="W19" s="1654">
        <f>J19</f>
        <v>100</v>
      </c>
      <c r="X19" s="1999"/>
      <c r="Y19" s="3595"/>
      <c r="Z19" s="2003" t="str">
        <f>Q19</f>
        <v>公共配套设施</v>
      </c>
      <c r="AA19" s="1994">
        <f t="shared" si="3"/>
        <v>1</v>
      </c>
      <c r="AB19" s="1994">
        <f t="shared" si="4"/>
        <v>1</v>
      </c>
      <c r="AC19" s="1994">
        <f t="shared" si="5"/>
        <v>1</v>
      </c>
    </row>
    <row r="20" spans="1:29" ht="15">
      <c r="A20" s="1630"/>
      <c r="B20" s="2410"/>
      <c r="C20" s="1900" t="s">
        <v>30</v>
      </c>
      <c r="D20" s="1659"/>
      <c r="E20" s="1900" t="s">
        <v>30</v>
      </c>
      <c r="F20" s="1659"/>
      <c r="G20" s="1900" t="s">
        <v>30</v>
      </c>
      <c r="H20" s="1659"/>
      <c r="I20" s="1900" t="s">
        <v>30</v>
      </c>
      <c r="J20" s="1659"/>
      <c r="K20" s="2388"/>
      <c r="L20" s="2916"/>
      <c r="M20" s="2912"/>
      <c r="N20" s="2912"/>
      <c r="O20" s="2912"/>
      <c r="P20" s="3595"/>
      <c r="Q20" s="2830"/>
      <c r="R20" s="1653"/>
      <c r="S20" s="1654"/>
      <c r="T20" s="1653"/>
      <c r="U20" s="1654"/>
      <c r="V20" s="1653"/>
      <c r="W20" s="1654"/>
      <c r="X20" s="1999"/>
      <c r="Y20" s="3595"/>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v>2</v>
      </c>
      <c r="L21" s="2916"/>
      <c r="M21" s="2912"/>
      <c r="N21" s="2912"/>
      <c r="O21" s="2912"/>
      <c r="P21" s="3595"/>
      <c r="Q21" s="2830" t="str">
        <f>B21</f>
        <v>基础设施水平</v>
      </c>
      <c r="R21" s="1653" t="s">
        <v>25</v>
      </c>
      <c r="S21" s="1654">
        <f>F21</f>
        <v>100</v>
      </c>
      <c r="T21" s="1653" t="s">
        <v>25</v>
      </c>
      <c r="U21" s="1654">
        <f>H21</f>
        <v>100</v>
      </c>
      <c r="V21" s="1653" t="s">
        <v>25</v>
      </c>
      <c r="W21" s="1654">
        <f>J21</f>
        <v>100</v>
      </c>
      <c r="X21" s="1999"/>
      <c r="Y21" s="3595"/>
      <c r="Z21" s="2003" t="str">
        <f>Q21</f>
        <v>基础设施水平</v>
      </c>
      <c r="AA21" s="1994">
        <f t="shared" ref="AA21" si="8">D21/F21</f>
        <v>1</v>
      </c>
      <c r="AB21" s="1994">
        <f t="shared" ref="AB21" si="9">D21/H21</f>
        <v>1</v>
      </c>
      <c r="AC21" s="1994">
        <f t="shared" ref="AC21" si="10">D21/J21</f>
        <v>1</v>
      </c>
    </row>
    <row r="22" spans="1:29" ht="15">
      <c r="A22" s="1630"/>
      <c r="B22" s="2411"/>
      <c r="C22" s="1904" t="s">
        <v>3042</v>
      </c>
      <c r="D22" s="1659"/>
      <c r="E22" s="1904" t="s">
        <v>3042</v>
      </c>
      <c r="F22" s="1659"/>
      <c r="G22" s="1904" t="s">
        <v>3042</v>
      </c>
      <c r="H22" s="1659"/>
      <c r="I22" s="1904" t="s">
        <v>3042</v>
      </c>
      <c r="J22" s="1659"/>
      <c r="K22" s="2389"/>
      <c r="L22" s="2916"/>
      <c r="M22" s="2912"/>
      <c r="N22" s="2912"/>
      <c r="O22" s="2912"/>
      <c r="P22" s="3595"/>
      <c r="Q22" s="2830"/>
      <c r="R22" s="1653"/>
      <c r="S22" s="1654"/>
      <c r="T22" s="1653"/>
      <c r="U22" s="1654"/>
      <c r="V22" s="1653"/>
      <c r="W22" s="1654"/>
      <c r="X22" s="1999"/>
      <c r="Y22" s="3595"/>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v>2</v>
      </c>
      <c r="L23" s="2916"/>
      <c r="M23" s="2912"/>
      <c r="N23" s="2912"/>
      <c r="O23" s="2912"/>
      <c r="P23" s="3595"/>
      <c r="Q23" s="2830" t="str">
        <f>B23</f>
        <v>环境质量</v>
      </c>
      <c r="R23" s="1653" t="s">
        <v>25</v>
      </c>
      <c r="S23" s="1654">
        <f>F23</f>
        <v>100</v>
      </c>
      <c r="T23" s="1653" t="s">
        <v>25</v>
      </c>
      <c r="U23" s="1654">
        <f>H23</f>
        <v>100</v>
      </c>
      <c r="V23" s="1653" t="s">
        <v>25</v>
      </c>
      <c r="W23" s="1654">
        <f>J23</f>
        <v>100</v>
      </c>
      <c r="X23" s="1999"/>
      <c r="Y23" s="3595"/>
      <c r="Z23" s="2003" t="str">
        <f>Q23</f>
        <v>环境质量</v>
      </c>
      <c r="AA23" s="1994">
        <f t="shared" si="3"/>
        <v>1</v>
      </c>
      <c r="AB23" s="1994">
        <f t="shared" si="4"/>
        <v>1</v>
      </c>
      <c r="AC23" s="1994">
        <f t="shared" si="5"/>
        <v>1</v>
      </c>
    </row>
    <row r="24" spans="1:29" ht="15">
      <c r="A24" s="1630"/>
      <c r="B24" s="2411"/>
      <c r="C24" s="1900" t="s">
        <v>30</v>
      </c>
      <c r="D24" s="1659"/>
      <c r="E24" s="1900" t="s">
        <v>30</v>
      </c>
      <c r="F24" s="1659"/>
      <c r="G24" s="1900" t="s">
        <v>30</v>
      </c>
      <c r="H24" s="1659"/>
      <c r="I24" s="1900" t="s">
        <v>30</v>
      </c>
      <c r="J24" s="1659"/>
      <c r="K24" s="2388"/>
      <c r="L24" s="2916"/>
      <c r="M24" s="2912"/>
      <c r="N24" s="2912"/>
      <c r="O24" s="2912"/>
      <c r="P24" s="3595"/>
      <c r="Q24" s="2830"/>
      <c r="R24" s="1653"/>
      <c r="S24" s="1654"/>
      <c r="T24" s="1653"/>
      <c r="U24" s="1654"/>
      <c r="V24" s="1653"/>
      <c r="W24" s="1654"/>
      <c r="X24" s="1999"/>
      <c r="Y24" s="3595"/>
      <c r="Z24" s="2003"/>
      <c r="AA24" s="1994">
        <v>1</v>
      </c>
      <c r="AB24" s="1994">
        <v>1</v>
      </c>
      <c r="AC24" s="1994">
        <v>1</v>
      </c>
    </row>
    <row r="25" spans="1:29" ht="27">
      <c r="A25" s="1595"/>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v>2</v>
      </c>
      <c r="L25" s="2916"/>
      <c r="M25" s="2912"/>
      <c r="N25" s="2912"/>
      <c r="O25" s="2912"/>
      <c r="P25" s="3595"/>
      <c r="Q25" s="2830" t="str">
        <f>B25</f>
        <v>毗邻道路的类型与等级</v>
      </c>
      <c r="R25" s="1653" t="s">
        <v>25</v>
      </c>
      <c r="S25" s="1654">
        <f>F25</f>
        <v>100</v>
      </c>
      <c r="T25" s="1653" t="s">
        <v>25</v>
      </c>
      <c r="U25" s="1654">
        <f>H25</f>
        <v>100</v>
      </c>
      <c r="V25" s="1653" t="s">
        <v>25</v>
      </c>
      <c r="W25" s="1654">
        <f>J25</f>
        <v>100</v>
      </c>
      <c r="X25" s="1999"/>
      <c r="Y25" s="3595"/>
      <c r="Z25" s="2003" t="str">
        <f>Q25</f>
        <v>毗邻道路的类型与等级</v>
      </c>
      <c r="AA25" s="1994">
        <f t="shared" si="3"/>
        <v>1</v>
      </c>
      <c r="AB25" s="1994">
        <f t="shared" si="4"/>
        <v>1</v>
      </c>
      <c r="AC25" s="1994">
        <f t="shared" si="5"/>
        <v>1</v>
      </c>
    </row>
    <row r="26" spans="1:29" ht="15">
      <c r="A26" s="1595"/>
      <c r="B26" s="2410"/>
      <c r="C26" s="1908"/>
      <c r="D26" s="1639"/>
      <c r="E26" s="1916"/>
      <c r="F26" s="1639"/>
      <c r="G26" s="1908"/>
      <c r="H26" s="1639"/>
      <c r="I26" s="1916"/>
      <c r="J26" s="1639"/>
      <c r="K26" s="2388"/>
      <c r="L26" s="2916"/>
      <c r="M26" s="2912"/>
      <c r="N26" s="2912"/>
      <c r="O26" s="2912"/>
      <c r="P26" s="3595"/>
      <c r="Q26" s="2830"/>
      <c r="R26" s="1653"/>
      <c r="S26" s="1654"/>
      <c r="T26" s="1653"/>
      <c r="U26" s="1654"/>
      <c r="V26" s="1653"/>
      <c r="W26" s="1654"/>
      <c r="X26" s="1999"/>
      <c r="Y26" s="3595"/>
      <c r="Z26" s="2003"/>
      <c r="AA26" s="1994">
        <v>1</v>
      </c>
      <c r="AB26" s="1994">
        <v>1</v>
      </c>
      <c r="AC26" s="1994">
        <v>1</v>
      </c>
    </row>
    <row r="27" spans="1:29" ht="15">
      <c r="A27" s="1630"/>
      <c r="B27" s="2410" t="s">
        <v>2122</v>
      </c>
      <c r="C27" s="1908" t="s">
        <v>3069</v>
      </c>
      <c r="D27" s="1639">
        <v>100</v>
      </c>
      <c r="E27" s="1916" t="s">
        <v>3071</v>
      </c>
      <c r="F27" s="1639">
        <f>SUMIF(89:89,E27,90:90)-SUMIF(89:89,C27,90:90)+100</f>
        <v>98</v>
      </c>
      <c r="G27" s="1916" t="s">
        <v>3071</v>
      </c>
      <c r="H27" s="1639">
        <f>SUMIF(89:89,G27,90:90)-SUMIF(89:89,C27,90:90)+100</f>
        <v>98</v>
      </c>
      <c r="I27" s="1916" t="s">
        <v>3071</v>
      </c>
      <c r="J27" s="1639">
        <f>SUMIF(89:89,I27,90:90)-SUMIF(89:89,C27,90:90)+100</f>
        <v>98</v>
      </c>
      <c r="K27" s="1917">
        <v>2</v>
      </c>
      <c r="L27" s="2916"/>
      <c r="M27" s="2912"/>
      <c r="N27" s="2912"/>
      <c r="O27" s="2912"/>
      <c r="P27" s="3595"/>
      <c r="Q27" s="2830" t="str">
        <f t="shared" ref="Q27:Q47" si="11">B27</f>
        <v>楼层</v>
      </c>
      <c r="R27" s="1653" t="s">
        <v>25</v>
      </c>
      <c r="S27" s="1654">
        <f>F27</f>
        <v>98</v>
      </c>
      <c r="T27" s="1653" t="s">
        <v>25</v>
      </c>
      <c r="U27" s="1654">
        <f>H27</f>
        <v>98</v>
      </c>
      <c r="V27" s="1653" t="s">
        <v>25</v>
      </c>
      <c r="W27" s="1654">
        <f>J27</f>
        <v>98</v>
      </c>
      <c r="X27" s="1999"/>
      <c r="Y27" s="3595"/>
      <c r="Z27" s="2003" t="str">
        <f>Q27</f>
        <v>楼层</v>
      </c>
      <c r="AA27" s="1994">
        <f t="shared" si="3"/>
        <v>1.0204081632653061</v>
      </c>
      <c r="AB27" s="1994">
        <f t="shared" si="4"/>
        <v>1.0204081632653061</v>
      </c>
      <c r="AC27" s="1994">
        <f t="shared" si="5"/>
        <v>1.0204081632653061</v>
      </c>
    </row>
    <row r="28" spans="1:29" s="1612"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595"/>
      <c r="Q28" s="2829" t="str">
        <f t="shared" si="11"/>
        <v>朝向</v>
      </c>
      <c r="R28" s="1608" t="s">
        <v>25</v>
      </c>
      <c r="S28" s="1609">
        <f>F28</f>
        <v>100</v>
      </c>
      <c r="T28" s="1608" t="s">
        <v>25</v>
      </c>
      <c r="U28" s="1609">
        <f>H28</f>
        <v>100</v>
      </c>
      <c r="V28" s="1608" t="s">
        <v>25</v>
      </c>
      <c r="W28" s="1609">
        <f>J28</f>
        <v>100</v>
      </c>
      <c r="X28" s="1610"/>
      <c r="Y28" s="3595"/>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595"/>
      <c r="Q29" s="2830">
        <f t="shared" si="11"/>
        <v>111</v>
      </c>
      <c r="R29" s="1653" t="s">
        <v>25</v>
      </c>
      <c r="S29" s="1654">
        <f t="shared" ref="S29:S47" si="12">F29</f>
        <v>100</v>
      </c>
      <c r="T29" s="1653" t="s">
        <v>25</v>
      </c>
      <c r="U29" s="1654">
        <f t="shared" ref="U29:U47" si="13">H29</f>
        <v>100</v>
      </c>
      <c r="V29" s="1653" t="s">
        <v>25</v>
      </c>
      <c r="W29" s="1654">
        <f t="shared" ref="W29:W47" si="14">J29</f>
        <v>100</v>
      </c>
      <c r="X29" s="1999"/>
      <c r="Y29" s="3595"/>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595"/>
      <c r="Q30" s="2830">
        <f t="shared" si="11"/>
        <v>111</v>
      </c>
      <c r="R30" s="1653" t="s">
        <v>25</v>
      </c>
      <c r="S30" s="1654">
        <f t="shared" si="12"/>
        <v>100</v>
      </c>
      <c r="T30" s="1653" t="s">
        <v>25</v>
      </c>
      <c r="U30" s="1654">
        <f t="shared" si="13"/>
        <v>100</v>
      </c>
      <c r="V30" s="1653" t="s">
        <v>25</v>
      </c>
      <c r="W30" s="1654">
        <f t="shared" si="14"/>
        <v>100</v>
      </c>
      <c r="X30" s="1999"/>
      <c r="Y30" s="3595"/>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595"/>
      <c r="Q31" s="2830">
        <f t="shared" si="11"/>
        <v>111</v>
      </c>
      <c r="R31" s="1653" t="s">
        <v>25</v>
      </c>
      <c r="S31" s="1654">
        <f t="shared" si="12"/>
        <v>100</v>
      </c>
      <c r="T31" s="1653" t="s">
        <v>25</v>
      </c>
      <c r="U31" s="1654">
        <f t="shared" si="13"/>
        <v>100</v>
      </c>
      <c r="V31" s="1653" t="s">
        <v>25</v>
      </c>
      <c r="W31" s="1654">
        <f t="shared" si="14"/>
        <v>100</v>
      </c>
      <c r="X31" s="1999"/>
      <c r="Y31" s="3595"/>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595"/>
      <c r="Q32" s="2830">
        <f t="shared" si="11"/>
        <v>111</v>
      </c>
      <c r="R32" s="1653" t="s">
        <v>25</v>
      </c>
      <c r="S32" s="1654">
        <f t="shared" si="12"/>
        <v>100</v>
      </c>
      <c r="T32" s="1653" t="s">
        <v>25</v>
      </c>
      <c r="U32" s="1654">
        <f t="shared" si="13"/>
        <v>100</v>
      </c>
      <c r="V32" s="1653" t="s">
        <v>25</v>
      </c>
      <c r="W32" s="1654">
        <f t="shared" si="14"/>
        <v>100</v>
      </c>
      <c r="X32" s="1999"/>
      <c r="Y32" s="3595"/>
      <c r="Z32" s="2003">
        <f t="shared" si="15"/>
        <v>111</v>
      </c>
      <c r="AA32" s="1994">
        <f t="shared" si="3"/>
        <v>1</v>
      </c>
      <c r="AB32" s="1994">
        <f t="shared" si="4"/>
        <v>1</v>
      </c>
      <c r="AC32" s="1994">
        <f t="shared" si="5"/>
        <v>1</v>
      </c>
    </row>
    <row r="33" spans="1:29" ht="15">
      <c r="A33" s="1645" t="s">
        <v>2035</v>
      </c>
      <c r="B33" s="1615" t="s">
        <v>2151</v>
      </c>
      <c r="C33" s="2417" t="s">
        <v>3073</v>
      </c>
      <c r="D33" s="1690">
        <v>100</v>
      </c>
      <c r="E33" s="2417" t="s">
        <v>3073</v>
      </c>
      <c r="F33" s="1682">
        <f>SUMIF(101:101,E33,102:102)-SUMIF(101:101,C33,102:102)+100</f>
        <v>100</v>
      </c>
      <c r="G33" s="2417" t="s">
        <v>3073</v>
      </c>
      <c r="H33" s="1639">
        <f>SUMIF(101:101,G33,102:102)-SUMIF(101:101,C33,102:102)+100</f>
        <v>100</v>
      </c>
      <c r="I33" s="2417" t="s">
        <v>3073</v>
      </c>
      <c r="J33" s="1690">
        <f>SUMIF(101:101,I33,102:102)-SUMIF(101:101,C33,102:102)+100</f>
        <v>100</v>
      </c>
      <c r="K33" s="1917"/>
      <c r="L33" s="2916"/>
      <c r="M33" s="2912"/>
      <c r="N33" s="2912"/>
      <c r="O33" s="2912"/>
      <c r="P33" s="3596" t="s">
        <v>2037</v>
      </c>
      <c r="Q33" s="2830" t="str">
        <f t="shared" si="11"/>
        <v>建筑类型</v>
      </c>
      <c r="R33" s="1653" t="s">
        <v>25</v>
      </c>
      <c r="S33" s="1654">
        <f t="shared" si="12"/>
        <v>100</v>
      </c>
      <c r="T33" s="1653" t="s">
        <v>25</v>
      </c>
      <c r="U33" s="1654">
        <f t="shared" si="13"/>
        <v>100</v>
      </c>
      <c r="V33" s="1653" t="s">
        <v>25</v>
      </c>
      <c r="W33" s="1654">
        <f t="shared" si="14"/>
        <v>100</v>
      </c>
      <c r="X33" s="1999"/>
      <c r="Y33" s="3597" t="s">
        <v>2037</v>
      </c>
      <c r="Z33" s="2003" t="str">
        <f t="shared" si="15"/>
        <v>建筑类型</v>
      </c>
      <c r="AA33" s="1994">
        <f t="shared" si="3"/>
        <v>1</v>
      </c>
      <c r="AB33" s="1994">
        <f t="shared" si="4"/>
        <v>1</v>
      </c>
      <c r="AC33" s="1994">
        <f t="shared" si="5"/>
        <v>1</v>
      </c>
    </row>
    <row r="34" spans="1:29" s="1698" customFormat="1" ht="15">
      <c r="A34" s="1691"/>
      <c r="B34" s="1623" t="s">
        <v>2038</v>
      </c>
      <c r="C34" s="1692">
        <f>项目基本情况!C12</f>
        <v>770.88</v>
      </c>
      <c r="D34" s="1625">
        <v>100</v>
      </c>
      <c r="E34" s="1632">
        <v>263.11</v>
      </c>
      <c r="F34" s="1627">
        <f>LOOKUP(E34,104:104,105:105)-LOOKUP(C34,104:104,105:105)+100</f>
        <v>100</v>
      </c>
      <c r="G34" s="1631">
        <v>233.52</v>
      </c>
      <c r="H34" s="1625">
        <f>LOOKUP(G34,104:104,105:105)-LOOKUP(C34,104:104,105:105)+100</f>
        <v>100</v>
      </c>
      <c r="I34" s="1631">
        <v>263.11</v>
      </c>
      <c r="J34" s="1625">
        <f>LOOKUP(I34,104:104,105:105)-LOOKUP(C34,104:104,105:105)+100</f>
        <v>100</v>
      </c>
      <c r="K34" s="1914"/>
      <c r="L34" s="2915"/>
      <c r="M34" s="1984"/>
      <c r="N34" s="1984"/>
      <c r="O34" s="1984"/>
      <c r="P34" s="3597"/>
      <c r="Q34" s="1693" t="str">
        <f t="shared" si="11"/>
        <v>项目建筑规模</v>
      </c>
      <c r="R34" s="1694" t="s">
        <v>25</v>
      </c>
      <c r="S34" s="1695">
        <f t="shared" si="12"/>
        <v>100</v>
      </c>
      <c r="T34" s="1694" t="s">
        <v>25</v>
      </c>
      <c r="U34" s="1695">
        <f t="shared" si="13"/>
        <v>100</v>
      </c>
      <c r="V34" s="1694" t="s">
        <v>25</v>
      </c>
      <c r="W34" s="1695">
        <f t="shared" si="14"/>
        <v>100</v>
      </c>
      <c r="X34" s="1696"/>
      <c r="Y34" s="3597"/>
      <c r="Z34" s="1697" t="str">
        <f t="shared" si="15"/>
        <v>项目建筑规模</v>
      </c>
      <c r="AA34" s="1994">
        <f t="shared" si="3"/>
        <v>1</v>
      </c>
      <c r="AB34" s="1994">
        <f t="shared" si="4"/>
        <v>1</v>
      </c>
      <c r="AC34" s="1994">
        <f t="shared" si="5"/>
        <v>1</v>
      </c>
    </row>
    <row r="35" spans="1:29" ht="15">
      <c r="A35" s="1699"/>
      <c r="B35" s="1623" t="s">
        <v>2039</v>
      </c>
      <c r="C35" s="3328" t="s">
        <v>3075</v>
      </c>
      <c r="D35" s="1639">
        <v>100</v>
      </c>
      <c r="E35" s="3328" t="s">
        <v>3075</v>
      </c>
      <c r="F35" s="1682">
        <f>SUMIF(106:106,E35,107:107)-SUMIF(106:106,C35,107:107)+100</f>
        <v>100</v>
      </c>
      <c r="G35" s="3328" t="s">
        <v>3075</v>
      </c>
      <c r="H35" s="1639">
        <f>SUMIF(106:106,G35,107:107)-SUMIF(106:106,C35,107:107)+100</f>
        <v>100</v>
      </c>
      <c r="I35" s="3328" t="s">
        <v>3075</v>
      </c>
      <c r="J35" s="1639">
        <f>SUMIF(106:106,I35,107:107)-SUMIF(106:106,C35,107:107)+100</f>
        <v>100</v>
      </c>
      <c r="K35" s="1917">
        <v>2</v>
      </c>
      <c r="L35" s="2916"/>
      <c r="M35" s="2912"/>
      <c r="N35" s="2912"/>
      <c r="O35" s="2912"/>
      <c r="P35" s="3597"/>
      <c r="Q35" s="2830" t="str">
        <f t="shared" si="11"/>
        <v>建筑结构</v>
      </c>
      <c r="R35" s="1653" t="s">
        <v>25</v>
      </c>
      <c r="S35" s="1654">
        <f t="shared" si="12"/>
        <v>100</v>
      </c>
      <c r="T35" s="1653" t="s">
        <v>25</v>
      </c>
      <c r="U35" s="1654">
        <f t="shared" si="13"/>
        <v>100</v>
      </c>
      <c r="V35" s="1653" t="s">
        <v>25</v>
      </c>
      <c r="W35" s="1654">
        <f t="shared" si="14"/>
        <v>100</v>
      </c>
      <c r="X35" s="1999"/>
      <c r="Y35" s="3597"/>
      <c r="Z35" s="2003" t="str">
        <f t="shared" si="15"/>
        <v>建筑结构</v>
      </c>
      <c r="AA35" s="1994">
        <f t="shared" si="3"/>
        <v>1</v>
      </c>
      <c r="AB35" s="1994">
        <f t="shared" si="4"/>
        <v>1</v>
      </c>
      <c r="AC35" s="1994">
        <f t="shared" si="5"/>
        <v>1</v>
      </c>
    </row>
    <row r="36" spans="1:29" ht="15">
      <c r="A36" s="1699"/>
      <c r="B36" s="1623" t="s">
        <v>2124</v>
      </c>
      <c r="C36" s="1680" t="s">
        <v>3051</v>
      </c>
      <c r="D36" s="1639">
        <v>100</v>
      </c>
      <c r="E36" s="1680" t="s">
        <v>3051</v>
      </c>
      <c r="F36" s="1682">
        <f>SUMIF(108:108,E36,109:109)-SUMIF(108:108,C36,109:109)+100</f>
        <v>100</v>
      </c>
      <c r="G36" s="1680" t="s">
        <v>3051</v>
      </c>
      <c r="H36" s="1639">
        <f>SUMIF(108:108,G36,109:109)-SUMIF(108:108,C36,109:109)+100</f>
        <v>100</v>
      </c>
      <c r="I36" s="1680" t="s">
        <v>3051</v>
      </c>
      <c r="J36" s="1639">
        <f>SUMIF(108:108,I36,109:109)-SUMIF(108:108,C36,109:109)+100</f>
        <v>100</v>
      </c>
      <c r="K36" s="1917">
        <v>2</v>
      </c>
      <c r="L36" s="2916"/>
      <c r="M36" s="2912"/>
      <c r="N36" s="2912"/>
      <c r="O36" s="2912"/>
      <c r="P36" s="3597"/>
      <c r="Q36" s="2830" t="str">
        <f t="shared" si="11"/>
        <v>公共部分装修</v>
      </c>
      <c r="R36" s="1653" t="s">
        <v>25</v>
      </c>
      <c r="S36" s="1654">
        <f t="shared" si="12"/>
        <v>100</v>
      </c>
      <c r="T36" s="1653" t="s">
        <v>25</v>
      </c>
      <c r="U36" s="1654">
        <f t="shared" si="13"/>
        <v>100</v>
      </c>
      <c r="V36" s="1653" t="s">
        <v>25</v>
      </c>
      <c r="W36" s="1654">
        <f t="shared" si="14"/>
        <v>100</v>
      </c>
      <c r="X36" s="1999"/>
      <c r="Y36" s="3597"/>
      <c r="Z36" s="2003" t="str">
        <f t="shared" si="15"/>
        <v>公共部分装修</v>
      </c>
      <c r="AA36" s="1994">
        <f t="shared" si="3"/>
        <v>1</v>
      </c>
      <c r="AB36" s="1994">
        <f t="shared" si="4"/>
        <v>1</v>
      </c>
      <c r="AC36" s="1994">
        <f t="shared" si="5"/>
        <v>1</v>
      </c>
    </row>
    <row r="37" spans="1:29" ht="15">
      <c r="A37" s="1699"/>
      <c r="B37" s="1623" t="s">
        <v>2125</v>
      </c>
      <c r="C37" s="1703">
        <f>'数据-取费表'!E20</f>
        <v>0.87</v>
      </c>
      <c r="D37" s="1639">
        <v>100</v>
      </c>
      <c r="E37" s="1703">
        <f>C37</f>
        <v>0.87</v>
      </c>
      <c r="F37" s="1682">
        <f>LOOKUP(E37,111:111,112:112)-LOOKUP(C37,111:111,112:112)+100</f>
        <v>100</v>
      </c>
      <c r="G37" s="1703">
        <f>E37</f>
        <v>0.87</v>
      </c>
      <c r="H37" s="1682">
        <f>LOOKUP(G37,111:111,112:112)-LOOKUP(C37,111:111,112:112)+100</f>
        <v>100</v>
      </c>
      <c r="I37" s="1703">
        <f>G37</f>
        <v>0.87</v>
      </c>
      <c r="J37" s="1639">
        <f>LOOKUP(I37,111:111,112:112)-LOOKUP(C37,111:111,112:112)+100</f>
        <v>100</v>
      </c>
      <c r="K37" s="1917">
        <v>2</v>
      </c>
      <c r="L37" s="2916"/>
      <c r="M37" s="2912"/>
      <c r="N37" s="2912"/>
      <c r="O37" s="2912"/>
      <c r="P37" s="3597"/>
      <c r="Q37" s="2830" t="str">
        <f t="shared" si="11"/>
        <v>成新度</v>
      </c>
      <c r="R37" s="1653" t="s">
        <v>25</v>
      </c>
      <c r="S37" s="1654">
        <f t="shared" si="12"/>
        <v>100</v>
      </c>
      <c r="T37" s="1653" t="s">
        <v>25</v>
      </c>
      <c r="U37" s="1654">
        <f t="shared" si="13"/>
        <v>100</v>
      </c>
      <c r="V37" s="1653" t="s">
        <v>25</v>
      </c>
      <c r="W37" s="1654">
        <f t="shared" si="14"/>
        <v>100</v>
      </c>
      <c r="X37" s="1999"/>
      <c r="Y37" s="3597"/>
      <c r="Z37" s="2003" t="str">
        <f t="shared" si="15"/>
        <v>成新度</v>
      </c>
      <c r="AA37" s="1994">
        <f t="shared" si="3"/>
        <v>1</v>
      </c>
      <c r="AB37" s="1994">
        <f t="shared" si="4"/>
        <v>1</v>
      </c>
      <c r="AC37" s="1994">
        <f t="shared" si="5"/>
        <v>1</v>
      </c>
    </row>
    <row r="38" spans="1:29" s="1612" customFormat="1" ht="15">
      <c r="A38" s="1702"/>
      <c r="B38" s="1623" t="s">
        <v>2152</v>
      </c>
      <c r="C38" s="1680" t="s">
        <v>3080</v>
      </c>
      <c r="D38" s="1625">
        <v>100</v>
      </c>
      <c r="E38" s="1680" t="s">
        <v>3080</v>
      </c>
      <c r="F38" s="1682">
        <f>SUMIF(113:113,E38,114:114)-SUMIF(113:113,C38,114:114)+100</f>
        <v>100</v>
      </c>
      <c r="G38" s="1680" t="s">
        <v>3080</v>
      </c>
      <c r="H38" s="1639">
        <f>SUMIF(113:113,G38,114:114)-SUMIF(113:113,C38,114:114)+100</f>
        <v>100</v>
      </c>
      <c r="I38" s="1680" t="s">
        <v>3080</v>
      </c>
      <c r="J38" s="1639">
        <f>SUMIF(113:113,I38,114:114)-SUMIF(113:113,C38,114:114)+100</f>
        <v>100</v>
      </c>
      <c r="K38" s="1917">
        <v>2</v>
      </c>
      <c r="L38" s="2911"/>
      <c r="M38" s="2884"/>
      <c r="N38" s="2884"/>
      <c r="O38" s="2884"/>
      <c r="P38" s="3597"/>
      <c r="Q38" s="2829" t="str">
        <f t="shared" si="11"/>
        <v>写字楼等级</v>
      </c>
      <c r="R38" s="1608" t="s">
        <v>25</v>
      </c>
      <c r="S38" s="1609">
        <f t="shared" si="12"/>
        <v>100</v>
      </c>
      <c r="T38" s="1608" t="s">
        <v>25</v>
      </c>
      <c r="U38" s="1609">
        <f t="shared" si="13"/>
        <v>100</v>
      </c>
      <c r="V38" s="1608" t="s">
        <v>25</v>
      </c>
      <c r="W38" s="1609">
        <f t="shared" si="14"/>
        <v>100</v>
      </c>
      <c r="X38" s="1610"/>
      <c r="Y38" s="3597"/>
      <c r="Z38" s="1621" t="str">
        <f t="shared" si="15"/>
        <v>写字楼等级</v>
      </c>
      <c r="AA38" s="1611">
        <f t="shared" si="3"/>
        <v>1</v>
      </c>
      <c r="AB38" s="1611">
        <f t="shared" si="4"/>
        <v>1</v>
      </c>
      <c r="AC38" s="1611">
        <f t="shared" si="5"/>
        <v>1</v>
      </c>
    </row>
    <row r="39" spans="1:29" ht="15">
      <c r="A39" s="1699"/>
      <c r="B39" s="1623" t="s">
        <v>2153</v>
      </c>
      <c r="C39" s="1680" t="s">
        <v>3060</v>
      </c>
      <c r="D39" s="1639">
        <v>100</v>
      </c>
      <c r="E39" s="1680" t="s">
        <v>3060</v>
      </c>
      <c r="F39" s="1682">
        <f>SUMIF(115:115,E39,116:116)-SUMIF(115:115,C39,116:116)+100</f>
        <v>100</v>
      </c>
      <c r="G39" s="1680" t="s">
        <v>3060</v>
      </c>
      <c r="H39" s="1639">
        <f>SUMIF(115:115,G39,116:116)-SUMIF(115:115,C39,116:116)+100</f>
        <v>100</v>
      </c>
      <c r="I39" s="1680" t="s">
        <v>3060</v>
      </c>
      <c r="J39" s="1639">
        <f>SUMIF(115:115,I39,116:116)-SUMIF(115:115,C39,116:116)+100</f>
        <v>100</v>
      </c>
      <c r="K39" s="1917">
        <v>1</v>
      </c>
      <c r="L39" s="2916"/>
      <c r="M39" s="2912"/>
      <c r="N39" s="2912"/>
      <c r="O39" s="2912"/>
      <c r="P39" s="3597" t="s">
        <v>2037</v>
      </c>
      <c r="Q39" s="2830" t="str">
        <f t="shared" si="11"/>
        <v>物业管理</v>
      </c>
      <c r="R39" s="1653" t="s">
        <v>25</v>
      </c>
      <c r="S39" s="1654">
        <f t="shared" si="12"/>
        <v>100</v>
      </c>
      <c r="T39" s="1653" t="s">
        <v>25</v>
      </c>
      <c r="U39" s="1654">
        <f t="shared" si="13"/>
        <v>100</v>
      </c>
      <c r="V39" s="1653" t="s">
        <v>25</v>
      </c>
      <c r="W39" s="1654">
        <f t="shared" si="14"/>
        <v>100</v>
      </c>
      <c r="X39" s="1999"/>
      <c r="Y39" s="3597" t="s">
        <v>2037</v>
      </c>
      <c r="Z39" s="2003" t="str">
        <f t="shared" si="15"/>
        <v>物业管理</v>
      </c>
      <c r="AA39" s="1994">
        <f t="shared" si="3"/>
        <v>1</v>
      </c>
      <c r="AB39" s="1994">
        <f t="shared" si="4"/>
        <v>1</v>
      </c>
      <c r="AC39" s="1994">
        <f t="shared" si="5"/>
        <v>1</v>
      </c>
    </row>
    <row r="40" spans="1:29" ht="15">
      <c r="A40" s="1699"/>
      <c r="B40" s="1623" t="s">
        <v>2126</v>
      </c>
      <c r="C40" s="1680" t="s">
        <v>3057</v>
      </c>
      <c r="D40" s="1639">
        <v>100</v>
      </c>
      <c r="E40" s="1680" t="s">
        <v>3057</v>
      </c>
      <c r="F40" s="1682">
        <f>SUMIF(117:117,E40,118:118)-SUMIF(117:117,C40,118:118)+100</f>
        <v>100</v>
      </c>
      <c r="G40" s="1680" t="s">
        <v>3057</v>
      </c>
      <c r="H40" s="1639">
        <f>SUMIF(117:117,G40,118:118)-SUMIF(117:117,C40,118:118)+100</f>
        <v>100</v>
      </c>
      <c r="I40" s="1680" t="s">
        <v>3057</v>
      </c>
      <c r="J40" s="1639">
        <f>SUMIF(117:117,I40,118:118)-SUMIF(117:117,C40,118:118)+100</f>
        <v>100</v>
      </c>
      <c r="K40" s="1917">
        <v>2</v>
      </c>
      <c r="L40" s="2916"/>
      <c r="M40" s="2912"/>
      <c r="N40" s="2912"/>
      <c r="O40" s="2912"/>
      <c r="P40" s="3597"/>
      <c r="Q40" s="2830" t="str">
        <f t="shared" si="11"/>
        <v>市政基础设施</v>
      </c>
      <c r="R40" s="1653" t="s">
        <v>25</v>
      </c>
      <c r="S40" s="1654">
        <f t="shared" si="12"/>
        <v>100</v>
      </c>
      <c r="T40" s="1653" t="s">
        <v>25</v>
      </c>
      <c r="U40" s="1654">
        <f t="shared" si="13"/>
        <v>100</v>
      </c>
      <c r="V40" s="1653" t="s">
        <v>25</v>
      </c>
      <c r="W40" s="1654">
        <f t="shared" si="14"/>
        <v>100</v>
      </c>
      <c r="X40" s="1999"/>
      <c r="Y40" s="3597"/>
      <c r="Z40" s="2003" t="str">
        <f t="shared" si="15"/>
        <v>市政基础设施</v>
      </c>
      <c r="AA40" s="1994">
        <f t="shared" si="3"/>
        <v>1</v>
      </c>
      <c r="AB40" s="1994">
        <f t="shared" si="4"/>
        <v>1</v>
      </c>
      <c r="AC40" s="1994">
        <f t="shared" si="5"/>
        <v>1</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597"/>
      <c r="Q41" s="2830" t="str">
        <f t="shared" si="11"/>
        <v>层高</v>
      </c>
      <c r="R41" s="1653" t="s">
        <v>25</v>
      </c>
      <c r="S41" s="1654">
        <f t="shared" si="12"/>
        <v>100</v>
      </c>
      <c r="T41" s="1653" t="s">
        <v>25</v>
      </c>
      <c r="U41" s="1654">
        <f t="shared" si="13"/>
        <v>100</v>
      </c>
      <c r="V41" s="1653" t="s">
        <v>25</v>
      </c>
      <c r="W41" s="1654">
        <f t="shared" si="14"/>
        <v>100</v>
      </c>
      <c r="X41" s="1999"/>
      <c r="Y41" s="3597"/>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597"/>
      <c r="Q42" s="1693" t="str">
        <f t="shared" si="11"/>
        <v>单套建筑面积</v>
      </c>
      <c r="R42" s="1694" t="s">
        <v>25</v>
      </c>
      <c r="S42" s="1695">
        <f t="shared" si="12"/>
        <v>100</v>
      </c>
      <c r="T42" s="1694" t="s">
        <v>25</v>
      </c>
      <c r="U42" s="1695">
        <f t="shared" si="13"/>
        <v>100</v>
      </c>
      <c r="V42" s="1694" t="s">
        <v>25</v>
      </c>
      <c r="W42" s="1695">
        <f t="shared" si="14"/>
        <v>100</v>
      </c>
      <c r="X42" s="1696"/>
      <c r="Y42" s="3597"/>
      <c r="Z42" s="1697" t="str">
        <f t="shared" si="15"/>
        <v>单套建筑面积</v>
      </c>
      <c r="AA42" s="1994">
        <f t="shared" si="3"/>
        <v>1</v>
      </c>
      <c r="AB42" s="1994">
        <f t="shared" si="4"/>
        <v>1</v>
      </c>
      <c r="AC42" s="1994">
        <f t="shared" si="5"/>
        <v>1</v>
      </c>
    </row>
    <row r="43" spans="1:29" ht="15">
      <c r="A43" s="1699"/>
      <c r="B43" s="1623" t="s">
        <v>2131</v>
      </c>
      <c r="C43" s="1680" t="s">
        <v>3078</v>
      </c>
      <c r="D43" s="1639">
        <v>100</v>
      </c>
      <c r="E43" s="1680" t="s">
        <v>3086</v>
      </c>
      <c r="F43" s="1682">
        <f>SUMIF(123:123,E43,124:124)-SUMIF(123:123,C43,124:124)+100</f>
        <v>98</v>
      </c>
      <c r="G43" s="1680" t="s">
        <v>3086</v>
      </c>
      <c r="H43" s="1639">
        <f>SUMIF(123:123,G43,124:124)-SUMIF(123:123,C43,124:124)+100</f>
        <v>98</v>
      </c>
      <c r="I43" s="1680" t="s">
        <v>3088</v>
      </c>
      <c r="J43" s="1639">
        <f>SUMIF(123:123,I43,124:124)-SUMIF(123:123,C43,124:124)+100</f>
        <v>96</v>
      </c>
      <c r="K43" s="1917">
        <v>2</v>
      </c>
      <c r="L43" s="2916"/>
      <c r="M43" s="2912"/>
      <c r="N43" s="2912"/>
      <c r="O43" s="2912"/>
      <c r="P43" s="3597"/>
      <c r="Q43" s="2830" t="str">
        <f t="shared" si="11"/>
        <v>内部装修</v>
      </c>
      <c r="R43" s="1653" t="s">
        <v>25</v>
      </c>
      <c r="S43" s="1654">
        <f t="shared" si="12"/>
        <v>98</v>
      </c>
      <c r="T43" s="1653" t="s">
        <v>25</v>
      </c>
      <c r="U43" s="1654">
        <f t="shared" si="13"/>
        <v>98</v>
      </c>
      <c r="V43" s="1653" t="s">
        <v>25</v>
      </c>
      <c r="W43" s="1654">
        <f t="shared" si="14"/>
        <v>96</v>
      </c>
      <c r="X43" s="1999"/>
      <c r="Y43" s="3597"/>
      <c r="Z43" s="2003" t="str">
        <f t="shared" si="15"/>
        <v>内部装修</v>
      </c>
      <c r="AA43" s="1994">
        <f t="shared" si="3"/>
        <v>1.0204081632653061</v>
      </c>
      <c r="AB43" s="1994">
        <f t="shared" si="4"/>
        <v>1.0204081632653061</v>
      </c>
      <c r="AC43" s="1994">
        <f t="shared" si="5"/>
        <v>1.0416666666666667</v>
      </c>
    </row>
    <row r="44" spans="1:29" ht="15">
      <c r="A44" s="1699"/>
      <c r="B44" s="1623" t="s">
        <v>2048</v>
      </c>
      <c r="C44" s="1680" t="s">
        <v>30</v>
      </c>
      <c r="D44" s="1639">
        <v>100</v>
      </c>
      <c r="E44" s="1680" t="s">
        <v>30</v>
      </c>
      <c r="F44" s="1682">
        <f>SUMIF(125:125,E44,126:126)-SUMIF(125:125,C44,126:126)+100</f>
        <v>100</v>
      </c>
      <c r="G44" s="1680" t="s">
        <v>30</v>
      </c>
      <c r="H44" s="1639">
        <f>SUMIF(125:125,G44,126:126)-SUMIF(125:125,C44,126:126)+100</f>
        <v>100</v>
      </c>
      <c r="I44" s="1680" t="s">
        <v>30</v>
      </c>
      <c r="J44" s="1639">
        <f>SUMIF(125:125,I44,126:126)-SUMIF(125:125,C44,126:126)+100</f>
        <v>100</v>
      </c>
      <c r="K44" s="1917">
        <v>2</v>
      </c>
      <c r="L44" s="2916"/>
      <c r="M44" s="2912"/>
      <c r="N44" s="2912"/>
      <c r="O44" s="2912"/>
      <c r="P44" s="3597"/>
      <c r="Q44" s="2830" t="str">
        <f t="shared" si="11"/>
        <v>内部装修维护情况</v>
      </c>
      <c r="R44" s="1653" t="s">
        <v>25</v>
      </c>
      <c r="S44" s="1654">
        <f t="shared" si="12"/>
        <v>100</v>
      </c>
      <c r="T44" s="1653" t="s">
        <v>25</v>
      </c>
      <c r="U44" s="1654">
        <f t="shared" si="13"/>
        <v>100</v>
      </c>
      <c r="V44" s="1653" t="s">
        <v>25</v>
      </c>
      <c r="W44" s="1654">
        <f t="shared" si="14"/>
        <v>100</v>
      </c>
      <c r="X44" s="1999"/>
      <c r="Y44" s="3597"/>
      <c r="Z44" s="2003" t="str">
        <f t="shared" si="15"/>
        <v>内部装修维护情况</v>
      </c>
      <c r="AA44" s="1994">
        <f t="shared" si="3"/>
        <v>1</v>
      </c>
      <c r="AB44" s="1994">
        <f t="shared" si="4"/>
        <v>1</v>
      </c>
      <c r="AC44" s="1994">
        <f t="shared" si="5"/>
        <v>1</v>
      </c>
    </row>
    <row r="45" spans="1:29" s="1612"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597"/>
      <c r="Q45" s="2829">
        <f t="shared" si="11"/>
        <v>111</v>
      </c>
      <c r="R45" s="1608" t="s">
        <v>25</v>
      </c>
      <c r="S45" s="1609">
        <f t="shared" si="12"/>
        <v>100</v>
      </c>
      <c r="T45" s="1608" t="s">
        <v>25</v>
      </c>
      <c r="U45" s="1609">
        <f t="shared" si="13"/>
        <v>100</v>
      </c>
      <c r="V45" s="1608" t="s">
        <v>25</v>
      </c>
      <c r="W45" s="1609">
        <f t="shared" si="14"/>
        <v>100</v>
      </c>
      <c r="X45" s="1610"/>
      <c r="Y45" s="3597"/>
      <c r="Z45" s="1621">
        <f t="shared" si="15"/>
        <v>111</v>
      </c>
      <c r="AA45" s="1611">
        <f t="shared" si="3"/>
        <v>1</v>
      </c>
      <c r="AB45" s="1611">
        <f t="shared" si="4"/>
        <v>1</v>
      </c>
      <c r="AC45" s="1611">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597"/>
      <c r="Q46" s="2830">
        <f t="shared" si="11"/>
        <v>111</v>
      </c>
      <c r="R46" s="1653" t="s">
        <v>25</v>
      </c>
      <c r="S46" s="1654">
        <f t="shared" si="12"/>
        <v>100</v>
      </c>
      <c r="T46" s="1653" t="s">
        <v>25</v>
      </c>
      <c r="U46" s="1654">
        <f t="shared" si="13"/>
        <v>100</v>
      </c>
      <c r="V46" s="1653" t="s">
        <v>25</v>
      </c>
      <c r="W46" s="1654">
        <f t="shared" si="14"/>
        <v>100</v>
      </c>
      <c r="X46" s="1999"/>
      <c r="Y46" s="3597"/>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598"/>
      <c r="Q47" s="2830">
        <f t="shared" si="11"/>
        <v>111</v>
      </c>
      <c r="R47" s="1653" t="s">
        <v>25</v>
      </c>
      <c r="S47" s="1654">
        <f t="shared" si="12"/>
        <v>100</v>
      </c>
      <c r="T47" s="1653" t="s">
        <v>25</v>
      </c>
      <c r="U47" s="1654">
        <f t="shared" si="13"/>
        <v>100</v>
      </c>
      <c r="V47" s="1653" t="s">
        <v>25</v>
      </c>
      <c r="W47" s="1654">
        <f t="shared" si="14"/>
        <v>100</v>
      </c>
      <c r="X47" s="1999"/>
      <c r="Y47" s="3598"/>
      <c r="Z47" s="2003">
        <f t="shared" si="15"/>
        <v>111</v>
      </c>
      <c r="AA47" s="1994">
        <f t="shared" si="3"/>
        <v>1</v>
      </c>
      <c r="AB47" s="1994">
        <f t="shared" si="4"/>
        <v>1</v>
      </c>
      <c r="AC47" s="1994">
        <f t="shared" si="5"/>
        <v>1</v>
      </c>
    </row>
    <row r="48" spans="1:29" ht="15">
      <c r="A48" s="1706" t="s">
        <v>2049</v>
      </c>
      <c r="B48" s="1707"/>
      <c r="C48" s="1708" t="s">
        <v>1</v>
      </c>
      <c r="D48" s="1709"/>
      <c r="E48" s="1710">
        <f>ROUND(40288*E51,0)</f>
        <v>39482</v>
      </c>
      <c r="F48" s="1711"/>
      <c r="G48" s="1712">
        <f>ROUND(38969*E51,0)</f>
        <v>38190</v>
      </c>
      <c r="H48" s="1713"/>
      <c r="I48" s="1710">
        <f>ROUND(43001*E51,0)</f>
        <v>42141</v>
      </c>
      <c r="J48" s="1713"/>
      <c r="K48" s="1938"/>
      <c r="L48" s="2917"/>
      <c r="M48" s="2912"/>
      <c r="N48" s="2912"/>
      <c r="O48" s="2912"/>
      <c r="P48" s="3566" t="str">
        <f>A48</f>
        <v>成交单价（元/平方米）</v>
      </c>
      <c r="Q48" s="3566"/>
      <c r="R48" s="3599">
        <f>E48</f>
        <v>39482</v>
      </c>
      <c r="S48" s="3599"/>
      <c r="T48" s="3599">
        <f>G48</f>
        <v>38190</v>
      </c>
      <c r="U48" s="3599"/>
      <c r="V48" s="3599">
        <f>I48</f>
        <v>42141</v>
      </c>
      <c r="W48" s="3599"/>
      <c r="X48" s="1716"/>
      <c r="Y48" s="1998"/>
      <c r="Z48" s="1716"/>
      <c r="AA48" s="1716"/>
      <c r="AB48" s="1716"/>
      <c r="AC48" s="1716"/>
    </row>
    <row r="49" spans="1:29" ht="15.75" thickBot="1">
      <c r="A49" s="1718" t="s">
        <v>2132</v>
      </c>
      <c r="B49" s="1719"/>
      <c r="C49" s="1720">
        <f>R50</f>
        <v>41889</v>
      </c>
      <c r="D49" s="1721" t="s">
        <v>2503</v>
      </c>
      <c r="E49" s="1722">
        <f>R49</f>
        <v>41110</v>
      </c>
      <c r="F49" s="1723"/>
      <c r="G49" s="1720">
        <f>T49</f>
        <v>39765</v>
      </c>
      <c r="H49" s="1723"/>
      <c r="I49" s="1722">
        <f>V49</f>
        <v>44793</v>
      </c>
      <c r="J49" s="1723"/>
      <c r="K49" s="2425">
        <f>F49+H49+J49</f>
        <v>0</v>
      </c>
      <c r="L49" s="2917"/>
      <c r="M49" s="2912"/>
      <c r="N49" s="2912"/>
      <c r="O49" s="2912"/>
      <c r="P49" s="3566" t="str">
        <f>A49</f>
        <v>比较价值（元/平方米）</v>
      </c>
      <c r="Q49" s="3566"/>
      <c r="R49" s="3599">
        <f>IF(E1="售价",ROUND(PRODUCT(R48,AA7:AA47),0),ROUND(PRODUCT(R48,AA7:AA47),1))</f>
        <v>41110</v>
      </c>
      <c r="S49" s="3599"/>
      <c r="T49" s="3599">
        <f>IF(E1="售价",ROUND(PRODUCT(T48,AB7:AB47),0),ROUND(PRODUCT(T48,AB7:AB47),1))</f>
        <v>39765</v>
      </c>
      <c r="U49" s="3599"/>
      <c r="V49" s="3599">
        <f>IF(E1="售价",ROUND(PRODUCT(V48,AC7:AC47),0),ROUND(PRODUCT(V48,AC7:AC47),1))</f>
        <v>44793</v>
      </c>
      <c r="W49" s="3599"/>
      <c r="X49" s="1716"/>
      <c r="Y49" s="1716"/>
      <c r="Z49" s="1716"/>
      <c r="AA49" s="1716"/>
      <c r="AB49" s="1716"/>
      <c r="AC49" s="1716"/>
    </row>
    <row r="50" spans="1:29" ht="15.75" thickBot="1">
      <c r="A50" s="1724" t="s">
        <v>2155</v>
      </c>
      <c r="B50" s="1725"/>
      <c r="C50" s="1727">
        <f>R50</f>
        <v>41889</v>
      </c>
      <c r="D50" s="1727"/>
      <c r="E50" s="1727"/>
      <c r="F50" s="1727"/>
      <c r="G50" s="1727"/>
      <c r="H50" s="1727"/>
      <c r="I50" s="1727"/>
      <c r="J50" s="1727"/>
      <c r="K50" s="1943"/>
      <c r="L50" s="2917"/>
      <c r="M50" s="2912"/>
      <c r="N50" s="2912"/>
      <c r="O50" s="2912"/>
      <c r="P50" s="3600" t="str">
        <f>A50</f>
        <v>估价对象XX用房的比较价值（楼面单价，元/平方米）</v>
      </c>
      <c r="Q50" s="3601"/>
      <c r="R50" s="3602">
        <f>IF(E1="售价",ROUND(IF(D49="简单平均",AVERAGE(R49:V49),R49*F49+T49*H49+V49*J49),0),ROUND(IF(D49="简单平均",AVERAGE(R49:V49),R49*F49+T49*H49+V49*J49),1))</f>
        <v>41889</v>
      </c>
      <c r="S50" s="3602"/>
      <c r="T50" s="3602"/>
      <c r="U50" s="3602"/>
      <c r="V50" s="3602"/>
      <c r="W50" s="3602"/>
      <c r="X50" s="1716"/>
      <c r="Y50" s="1716"/>
      <c r="Z50" s="1716"/>
      <c r="AA50" s="1716"/>
      <c r="AB50" s="1716"/>
      <c r="AC50" s="1716"/>
    </row>
    <row r="51" spans="1:29">
      <c r="E51" s="1594">
        <v>0.98</v>
      </c>
      <c r="G51" s="2921"/>
    </row>
    <row r="53" spans="1:29" ht="13.5" customHeight="1">
      <c r="C53" s="383" t="s">
        <v>2134</v>
      </c>
      <c r="D53" s="1732"/>
      <c r="E53" s="1733">
        <f>IF(E48&lt;E49,E49/E48-1,E48/E49-1)</f>
        <v>4.1233980041537999E-2</v>
      </c>
      <c r="F53" s="1734" t="str">
        <f>IF(OR(E53&gt;=0.3,E53&lt;=-0.3),"超过30%","")</f>
        <v/>
      </c>
      <c r="G53" s="1733">
        <f>IF(G48&lt;G49,G49/G48-1,G48/G49-1)</f>
        <v>4.1241162608012472E-2</v>
      </c>
      <c r="H53" s="1734" t="str">
        <f>IF(OR(G53&gt;=0.3,G53&lt;=-0.3),"超过30%","")</f>
        <v/>
      </c>
      <c r="I53" s="1733">
        <f>IF(I48&lt;I49,I49/I48-1,I48/I49-1)</f>
        <v>6.293158681569011E-2</v>
      </c>
      <c r="J53" s="1734" t="str">
        <f>IF(OR(I53&gt;=0.3,I53&lt;=-0.3),"超过30%","")</f>
        <v/>
      </c>
    </row>
    <row r="54" spans="1:29" ht="13.5" customHeight="1">
      <c r="C54" s="383" t="s">
        <v>2135</v>
      </c>
      <c r="D54" s="1735"/>
      <c r="E54" s="1733">
        <f>IF(E49&lt;G49,G49/E49-1,E49/G49-1)</f>
        <v>3.3823714321639553E-2</v>
      </c>
      <c r="F54" s="1734" t="str">
        <f>IF(OR(E54&gt;=0.2,E54&lt;=-0.2),"超过20%","")</f>
        <v/>
      </c>
      <c r="G54" s="1733">
        <f>IF(G49&lt;I49,I49/G49-1,G49/I49-1)</f>
        <v>0.12644285175405501</v>
      </c>
      <c r="H54" s="1734" t="str">
        <f>IF(OR(G54&gt;=0.2,G54&lt;=-0.2),"超过20%","")</f>
        <v/>
      </c>
      <c r="I54" s="1733">
        <f>IF(I49&lt;E49,E49/I49-1,I49/E49-1)</f>
        <v>8.9588907808319185E-2</v>
      </c>
      <c r="J54" s="1734" t="str">
        <f>IF(OR(I54&gt;=0.2,I54&lt;=-0.2),"超过20%","")</f>
        <v/>
      </c>
    </row>
    <row r="55" spans="1:29" s="1738" customFormat="1" ht="13.5" customHeight="1">
      <c r="C55" s="383" t="s">
        <v>2136</v>
      </c>
      <c r="D55" s="1735"/>
      <c r="E55" s="1733">
        <f>IF(E48&lt;G48,G48/E48-1,E48/G48-1)</f>
        <v>3.3830845771144258E-2</v>
      </c>
      <c r="F55" s="1734" t="str">
        <f>IF(OR(E55&gt;=0.3,E55&lt;=-0.3),"超过30%","")</f>
        <v/>
      </c>
      <c r="G55" s="1733">
        <f>IF(G48&lt;I48,I48/G48-1,G48/I48-1)</f>
        <v>0.10345640219952856</v>
      </c>
      <c r="H55" s="1734" t="str">
        <f>IF(OR(G55&gt;=0.3,G55&lt;=-0.3),"超过30%","")</f>
        <v/>
      </c>
      <c r="I55" s="1733">
        <f>IF(I48&lt;E48,E48/I48-1,I48/E48-1)</f>
        <v>6.7347145534674135E-2</v>
      </c>
      <c r="J55" s="1734" t="str">
        <f>IF(OR(I55&gt;=0.3,I55&lt;=-0.3),"超过30%","")</f>
        <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2022-10</v>
      </c>
      <c r="D59" s="1750">
        <f>EDATE(C59,-1)</f>
        <v>44805</v>
      </c>
      <c r="E59" s="1750">
        <f t="shared" ref="E59:O59" si="16">EDATE(D59,-1)</f>
        <v>44774</v>
      </c>
      <c r="F59" s="1750">
        <f t="shared" si="16"/>
        <v>44743</v>
      </c>
      <c r="G59" s="1750">
        <f t="shared" si="16"/>
        <v>44713</v>
      </c>
      <c r="H59" s="1750">
        <f t="shared" si="16"/>
        <v>44682</v>
      </c>
      <c r="I59" s="1750">
        <f t="shared" si="16"/>
        <v>44652</v>
      </c>
      <c r="J59" s="1750">
        <f t="shared" si="16"/>
        <v>44621</v>
      </c>
      <c r="K59" s="1750">
        <f t="shared" si="16"/>
        <v>44593</v>
      </c>
      <c r="L59" s="1750">
        <f t="shared" si="16"/>
        <v>44562</v>
      </c>
      <c r="M59" s="1750">
        <f t="shared" si="16"/>
        <v>44531</v>
      </c>
      <c r="N59" s="1750">
        <f t="shared" si="16"/>
        <v>44501</v>
      </c>
      <c r="O59" s="1750">
        <f t="shared" si="16"/>
        <v>44470</v>
      </c>
      <c r="P59" s="2418"/>
    </row>
    <row r="60" spans="1:29" s="1612" customFormat="1" ht="15">
      <c r="A60" s="1753"/>
      <c r="B60" s="1754"/>
      <c r="C60" s="1755">
        <v>100</v>
      </c>
      <c r="D60" s="1756"/>
      <c r="E60" s="1756"/>
      <c r="F60" s="1756"/>
      <c r="G60" s="1756"/>
      <c r="H60" s="1756"/>
      <c r="I60" s="1756"/>
      <c r="J60" s="1756"/>
      <c r="K60" s="1756"/>
      <c r="L60" s="1756"/>
      <c r="M60" s="1757"/>
      <c r="N60" s="1756"/>
      <c r="O60" s="1770"/>
      <c r="P60" s="1746"/>
    </row>
    <row r="61" spans="1:29" s="1612"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2"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2"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t="str">
        <f>C9</f>
        <v>办公</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0（含）-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v>0</v>
      </c>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98</v>
      </c>
      <c r="E78" s="1787">
        <f>D78-$K15</f>
        <v>96</v>
      </c>
      <c r="F78" s="1787">
        <f>E78-$K15</f>
        <v>94</v>
      </c>
      <c r="G78" s="1787">
        <f>F78-$K15</f>
        <v>92</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98</v>
      </c>
      <c r="E80" s="1787">
        <f>D80-$K17</f>
        <v>96</v>
      </c>
      <c r="F80" s="1787">
        <f>E80-$K17</f>
        <v>94</v>
      </c>
      <c r="G80" s="1787">
        <f>F80-$K17</f>
        <v>92</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98</v>
      </c>
      <c r="E82" s="1787">
        <f>D82-$K19</f>
        <v>96</v>
      </c>
      <c r="F82" s="1787">
        <f>E82-$K19</f>
        <v>94</v>
      </c>
      <c r="G82" s="1787">
        <f>F82-$K19</f>
        <v>92</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98</v>
      </c>
      <c r="E84" s="1787">
        <f>D84-$K21</f>
        <v>96</v>
      </c>
      <c r="F84" s="1787">
        <f>E84-$K21</f>
        <v>94</v>
      </c>
      <c r="G84" s="1787">
        <f>F84-$K21</f>
        <v>92</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98</v>
      </c>
      <c r="E86" s="1787">
        <f>D86-$K23</f>
        <v>96</v>
      </c>
      <c r="F86" s="1787">
        <f>E86-$K23</f>
        <v>94</v>
      </c>
      <c r="G86" s="1787">
        <f>F86-$K23</f>
        <v>92</v>
      </c>
      <c r="H86" s="1787"/>
      <c r="I86" s="1787"/>
      <c r="J86" s="1787"/>
      <c r="K86" s="1787"/>
      <c r="L86" s="1787"/>
      <c r="M86" s="1788"/>
      <c r="N86" s="2931"/>
      <c r="O86" s="2931"/>
      <c r="P86" s="1982"/>
      <c r="Q86" s="1746"/>
    </row>
    <row r="87" spans="1:17" s="1612"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2" customFormat="1" ht="15.75" thickBot="1">
      <c r="A88" s="1814"/>
      <c r="B88" s="1786"/>
      <c r="C88" s="1816">
        <v>100</v>
      </c>
      <c r="D88" s="1787">
        <f t="shared" ref="D88:M88" si="19">C88-$K25</f>
        <v>98</v>
      </c>
      <c r="E88" s="1787">
        <f t="shared" si="19"/>
        <v>96</v>
      </c>
      <c r="F88" s="1787">
        <f t="shared" si="19"/>
        <v>94</v>
      </c>
      <c r="G88" s="1787">
        <f t="shared" si="19"/>
        <v>92</v>
      </c>
      <c r="H88" s="1787">
        <f t="shared" si="19"/>
        <v>90</v>
      </c>
      <c r="I88" s="1787">
        <f t="shared" si="19"/>
        <v>88</v>
      </c>
      <c r="J88" s="1787">
        <f t="shared" si="19"/>
        <v>86</v>
      </c>
      <c r="K88" s="1787">
        <f t="shared" si="19"/>
        <v>84</v>
      </c>
      <c r="L88" s="1787">
        <f t="shared" si="19"/>
        <v>82</v>
      </c>
      <c r="M88" s="1787">
        <f t="shared" si="19"/>
        <v>80</v>
      </c>
      <c r="N88" s="2931"/>
      <c r="O88" s="2931"/>
      <c r="P88" s="1982"/>
      <c r="Q88" s="1746"/>
    </row>
    <row r="89" spans="1:17" s="1612" customFormat="1" ht="15.75" thickTop="1">
      <c r="A89" s="1814"/>
      <c r="B89" s="1783" t="str">
        <f>B27</f>
        <v>楼层</v>
      </c>
      <c r="C89" s="3323" t="s">
        <v>3068</v>
      </c>
      <c r="D89" s="3323" t="s">
        <v>3070</v>
      </c>
      <c r="E89" s="3323" t="s">
        <v>3072</v>
      </c>
      <c r="F89" s="1817"/>
      <c r="G89" s="468"/>
      <c r="H89" s="468"/>
      <c r="I89" s="468"/>
      <c r="J89" s="468"/>
      <c r="K89" s="468"/>
      <c r="L89" s="468"/>
      <c r="M89" s="1815"/>
      <c r="N89" s="2929"/>
      <c r="O89" s="2929"/>
      <c r="P89" s="1982"/>
      <c r="Q89" s="1746"/>
    </row>
    <row r="90" spans="1:17" s="1612" customFormat="1" ht="15.75" thickBot="1">
      <c r="A90" s="1814"/>
      <c r="B90" s="1786"/>
      <c r="C90" s="1816">
        <v>100</v>
      </c>
      <c r="D90" s="1787">
        <f>C90-$K27</f>
        <v>98</v>
      </c>
      <c r="E90" s="1787">
        <f t="shared" ref="E90:M90" si="20">D90-$K27</f>
        <v>96</v>
      </c>
      <c r="F90" s="1787">
        <f t="shared" si="20"/>
        <v>94</v>
      </c>
      <c r="G90" s="1787">
        <f t="shared" si="20"/>
        <v>92</v>
      </c>
      <c r="H90" s="1787">
        <f t="shared" si="20"/>
        <v>90</v>
      </c>
      <c r="I90" s="1787">
        <f t="shared" si="20"/>
        <v>88</v>
      </c>
      <c r="J90" s="1787">
        <f t="shared" si="20"/>
        <v>86</v>
      </c>
      <c r="K90" s="1787">
        <f t="shared" si="20"/>
        <v>84</v>
      </c>
      <c r="L90" s="1787">
        <f t="shared" si="20"/>
        <v>82</v>
      </c>
      <c r="M90" s="1787">
        <f t="shared" si="20"/>
        <v>80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5"/>
      <c r="H95" s="1505"/>
      <c r="I95" s="1505"/>
      <c r="J95" s="1505"/>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5"/>
      <c r="H97" s="1505"/>
      <c r="I97" s="1505"/>
      <c r="J97" s="1505"/>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3324" t="s">
        <v>3074</v>
      </c>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v>0</v>
      </c>
      <c r="D104" s="1826">
        <v>300</v>
      </c>
      <c r="E104" s="1826">
        <v>500</v>
      </c>
      <c r="F104" s="1826">
        <v>800</v>
      </c>
      <c r="G104" s="1826">
        <v>1500</v>
      </c>
      <c r="H104" s="1826"/>
      <c r="I104" s="1826"/>
      <c r="J104" s="485"/>
      <c r="K104" s="485"/>
      <c r="L104" s="485"/>
      <c r="M104" s="1827"/>
      <c r="N104" s="2932"/>
      <c r="O104" s="2932"/>
      <c r="P104" s="1983"/>
      <c r="Q104" s="1798"/>
    </row>
    <row r="105" spans="1:17" s="1698" customFormat="1" ht="15.75" thickBot="1">
      <c r="A105" s="1794"/>
      <c r="B105" s="1786"/>
      <c r="C105" s="1799">
        <v>98</v>
      </c>
      <c r="D105" s="1780">
        <v>100</v>
      </c>
      <c r="E105" s="1780">
        <v>98</v>
      </c>
      <c r="F105" s="1780">
        <v>96</v>
      </c>
      <c r="G105" s="1780"/>
      <c r="H105" s="1780"/>
      <c r="I105" s="1780"/>
      <c r="J105" s="1780"/>
      <c r="K105" s="1780"/>
      <c r="L105" s="1780"/>
      <c r="M105" s="1781"/>
      <c r="N105" s="2931"/>
      <c r="O105" s="2931"/>
      <c r="P105" s="1983"/>
      <c r="Q105" s="1798"/>
    </row>
    <row r="106" spans="1:17" ht="15" thickTop="1">
      <c r="A106" s="1828"/>
      <c r="B106" s="1783" t="s">
        <v>2086</v>
      </c>
      <c r="C106" s="3323" t="s">
        <v>3075</v>
      </c>
      <c r="D106" s="468"/>
      <c r="E106" s="1505"/>
      <c r="F106" s="1505"/>
      <c r="G106" s="1505"/>
      <c r="H106" s="1505"/>
      <c r="I106" s="1505"/>
      <c r="J106" s="1505"/>
      <c r="K106" s="473"/>
      <c r="L106" s="473"/>
      <c r="M106" s="1818"/>
      <c r="N106" s="2930"/>
      <c r="O106" s="2930"/>
      <c r="P106" s="1982"/>
      <c r="Q106" s="1746"/>
    </row>
    <row r="107" spans="1:17" ht="15.75" thickBot="1">
      <c r="A107" s="1778"/>
      <c r="B107" s="1786"/>
      <c r="C107" s="1787">
        <v>100</v>
      </c>
      <c r="D107" s="1787">
        <f t="shared" ref="D107:M107" si="24">C107-$K35</f>
        <v>98</v>
      </c>
      <c r="E107" s="1787">
        <f t="shared" si="24"/>
        <v>96</v>
      </c>
      <c r="F107" s="1787">
        <f t="shared" si="24"/>
        <v>94</v>
      </c>
      <c r="G107" s="1787">
        <f t="shared" si="24"/>
        <v>92</v>
      </c>
      <c r="H107" s="1787">
        <f t="shared" si="24"/>
        <v>90</v>
      </c>
      <c r="I107" s="1787">
        <f t="shared" si="24"/>
        <v>88</v>
      </c>
      <c r="J107" s="1787">
        <f t="shared" si="24"/>
        <v>86</v>
      </c>
      <c r="K107" s="1787">
        <f t="shared" si="24"/>
        <v>84</v>
      </c>
      <c r="L107" s="1787">
        <f t="shared" si="24"/>
        <v>82</v>
      </c>
      <c r="M107" s="1788">
        <f t="shared" si="24"/>
        <v>80</v>
      </c>
      <c r="N107" s="2931"/>
      <c r="O107" s="2931"/>
      <c r="P107" s="1982"/>
      <c r="Q107" s="1746"/>
    </row>
    <row r="108" spans="1:17" ht="15" thickTop="1">
      <c r="A108" s="1828"/>
      <c r="B108" s="1783" t="s">
        <v>2088</v>
      </c>
      <c r="C108" s="3323" t="s">
        <v>3084</v>
      </c>
      <c r="D108" s="468"/>
      <c r="E108" s="468"/>
      <c r="F108" s="1505"/>
      <c r="G108" s="1505"/>
      <c r="H108" s="1505"/>
      <c r="I108" s="1505"/>
      <c r="J108" s="1505"/>
      <c r="K108" s="473"/>
      <c r="L108" s="473"/>
      <c r="M108" s="1818"/>
      <c r="N108" s="2930"/>
      <c r="O108" s="2930"/>
      <c r="P108" s="1982"/>
      <c r="Q108" s="1746"/>
    </row>
    <row r="109" spans="1:17" ht="15.75" thickBot="1">
      <c r="A109" s="1778"/>
      <c r="B109" s="1786"/>
      <c r="C109" s="1787">
        <v>100</v>
      </c>
      <c r="D109" s="1787">
        <f t="shared" ref="D109:M109" si="25">C109-$K36</f>
        <v>98</v>
      </c>
      <c r="E109" s="1787">
        <f t="shared" si="25"/>
        <v>96</v>
      </c>
      <c r="F109" s="1787">
        <f t="shared" si="25"/>
        <v>94</v>
      </c>
      <c r="G109" s="1787">
        <f t="shared" si="25"/>
        <v>92</v>
      </c>
      <c r="H109" s="1787">
        <f t="shared" si="25"/>
        <v>90</v>
      </c>
      <c r="I109" s="1787">
        <f t="shared" si="25"/>
        <v>88</v>
      </c>
      <c r="J109" s="1787">
        <f t="shared" si="25"/>
        <v>86</v>
      </c>
      <c r="K109" s="1787">
        <f t="shared" si="25"/>
        <v>84</v>
      </c>
      <c r="L109" s="1787">
        <f t="shared" si="25"/>
        <v>82</v>
      </c>
      <c r="M109" s="1788">
        <f t="shared" si="25"/>
        <v>80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102</v>
      </c>
      <c r="E112" s="1787">
        <f t="shared" ref="E112:M112" si="26">D112+$K37</f>
        <v>104</v>
      </c>
      <c r="F112" s="1787">
        <f t="shared" si="26"/>
        <v>106</v>
      </c>
      <c r="G112" s="1787">
        <f t="shared" si="26"/>
        <v>108</v>
      </c>
      <c r="H112" s="1787">
        <f t="shared" si="26"/>
        <v>110</v>
      </c>
      <c r="I112" s="1787">
        <f t="shared" si="26"/>
        <v>112</v>
      </c>
      <c r="J112" s="1787">
        <f t="shared" si="26"/>
        <v>114</v>
      </c>
      <c r="K112" s="1787">
        <f t="shared" si="26"/>
        <v>116</v>
      </c>
      <c r="L112" s="1787">
        <f t="shared" si="26"/>
        <v>118</v>
      </c>
      <c r="M112" s="1787">
        <f t="shared" si="26"/>
        <v>120</v>
      </c>
      <c r="N112" s="2931"/>
      <c r="O112" s="2931"/>
      <c r="P112" s="1982"/>
      <c r="Q112" s="1746"/>
    </row>
    <row r="113" spans="1:17" s="1698" customFormat="1" ht="15" thickTop="1">
      <c r="A113" s="1824"/>
      <c r="B113" s="1783" t="s">
        <v>2159</v>
      </c>
      <c r="C113" s="3323" t="s">
        <v>3081</v>
      </c>
      <c r="D113" s="468"/>
      <c r="E113" s="468"/>
      <c r="F113" s="468"/>
      <c r="G113" s="468"/>
      <c r="H113" s="1505"/>
      <c r="I113" s="1505"/>
      <c r="J113" s="1505"/>
      <c r="K113" s="473"/>
      <c r="L113" s="473"/>
      <c r="M113" s="1818"/>
      <c r="N113" s="2932"/>
      <c r="O113" s="2932"/>
      <c r="P113" s="1983"/>
      <c r="Q113" s="1798"/>
    </row>
    <row r="114" spans="1:17" s="1698" customFormat="1" ht="15.75" thickBot="1">
      <c r="A114" s="1794"/>
      <c r="B114" s="1786"/>
      <c r="C114" s="1787">
        <v>100</v>
      </c>
      <c r="D114" s="1787">
        <f>C114-$K38</f>
        <v>98</v>
      </c>
      <c r="E114" s="1787">
        <f t="shared" ref="E114:M114" si="27">D114-$K38</f>
        <v>96</v>
      </c>
      <c r="F114" s="1787">
        <f t="shared" si="27"/>
        <v>94</v>
      </c>
      <c r="G114" s="1787">
        <f t="shared" si="27"/>
        <v>92</v>
      </c>
      <c r="H114" s="1787">
        <f t="shared" si="27"/>
        <v>90</v>
      </c>
      <c r="I114" s="1787">
        <f t="shared" si="27"/>
        <v>88</v>
      </c>
      <c r="J114" s="1787">
        <f t="shared" si="27"/>
        <v>86</v>
      </c>
      <c r="K114" s="1787">
        <f t="shared" si="27"/>
        <v>84</v>
      </c>
      <c r="L114" s="1787">
        <f t="shared" si="27"/>
        <v>82</v>
      </c>
      <c r="M114" s="1787">
        <f t="shared" si="27"/>
        <v>80</v>
      </c>
      <c r="N114" s="2932"/>
      <c r="O114" s="2932"/>
      <c r="P114" s="1983"/>
      <c r="Q114" s="1798"/>
    </row>
    <row r="115" spans="1:17" ht="15" thickTop="1">
      <c r="A115" s="1828"/>
      <c r="B115" s="1783" t="s">
        <v>2090</v>
      </c>
      <c r="C115" s="3323" t="s">
        <v>3082</v>
      </c>
      <c r="D115" s="468"/>
      <c r="E115" s="1505"/>
      <c r="F115" s="1505"/>
      <c r="G115" s="1505"/>
      <c r="H115" s="1505"/>
      <c r="I115" s="1505"/>
      <c r="J115" s="1505"/>
      <c r="K115" s="473"/>
      <c r="L115" s="473"/>
      <c r="M115" s="1818"/>
      <c r="N115" s="2930"/>
      <c r="O115" s="2930"/>
      <c r="P115" s="1982"/>
      <c r="Q115" s="1746"/>
    </row>
    <row r="116" spans="1:17" ht="15.75" thickBot="1">
      <c r="A116" s="1778"/>
      <c r="B116" s="1786"/>
      <c r="C116" s="1787">
        <v>100</v>
      </c>
      <c r="D116" s="1787">
        <f t="shared" ref="D116:M116" si="28">C116-$K39</f>
        <v>99</v>
      </c>
      <c r="E116" s="1787">
        <f t="shared" si="28"/>
        <v>98</v>
      </c>
      <c r="F116" s="1787">
        <f t="shared" si="28"/>
        <v>97</v>
      </c>
      <c r="G116" s="1787">
        <f t="shared" si="28"/>
        <v>96</v>
      </c>
      <c r="H116" s="1787">
        <f t="shared" si="28"/>
        <v>95</v>
      </c>
      <c r="I116" s="1787">
        <f t="shared" si="28"/>
        <v>94</v>
      </c>
      <c r="J116" s="1787">
        <f t="shared" si="28"/>
        <v>93</v>
      </c>
      <c r="K116" s="1787">
        <f t="shared" si="28"/>
        <v>92</v>
      </c>
      <c r="L116" s="1787">
        <f t="shared" si="28"/>
        <v>91</v>
      </c>
      <c r="M116" s="1788">
        <f t="shared" si="28"/>
        <v>90</v>
      </c>
      <c r="N116" s="2931"/>
      <c r="O116" s="2931"/>
      <c r="P116" s="1982"/>
      <c r="Q116" s="1746"/>
    </row>
    <row r="117" spans="1:17" ht="15" thickTop="1">
      <c r="A117" s="1828"/>
      <c r="B117" s="1783" t="s">
        <v>2091</v>
      </c>
      <c r="C117" s="3323" t="s">
        <v>3083</v>
      </c>
      <c r="D117" s="468"/>
      <c r="E117" s="468"/>
      <c r="F117" s="468"/>
      <c r="G117" s="468"/>
      <c r="H117" s="1505"/>
      <c r="I117" s="1505"/>
      <c r="J117" s="1505"/>
      <c r="K117" s="473"/>
      <c r="L117" s="473"/>
      <c r="M117" s="1818"/>
      <c r="N117" s="2930"/>
      <c r="O117" s="2930"/>
      <c r="P117" s="1982"/>
      <c r="Q117" s="1746"/>
    </row>
    <row r="118" spans="1:17" ht="15.75" thickBot="1">
      <c r="A118" s="1778"/>
      <c r="B118" s="1786"/>
      <c r="C118" s="1787">
        <v>100</v>
      </c>
      <c r="D118" s="1787">
        <f>C118-$K40</f>
        <v>98</v>
      </c>
      <c r="E118" s="1787">
        <f>D118-$K40</f>
        <v>96</v>
      </c>
      <c r="F118" s="1787">
        <f>E118-$K40</f>
        <v>94</v>
      </c>
      <c r="G118" s="1787">
        <f>F118-$K40</f>
        <v>92</v>
      </c>
      <c r="H118" s="1787"/>
      <c r="I118" s="1787"/>
      <c r="J118" s="1787"/>
      <c r="K118" s="1787"/>
      <c r="L118" s="1787"/>
      <c r="M118" s="1788"/>
      <c r="N118" s="2931"/>
      <c r="O118" s="2931"/>
      <c r="P118" s="1982"/>
      <c r="Q118" s="1746"/>
    </row>
    <row r="119" spans="1:17" ht="15" thickTop="1">
      <c r="A119" s="1828"/>
      <c r="B119" s="2420" t="s">
        <v>2160</v>
      </c>
      <c r="C119" s="1505"/>
      <c r="D119" s="1505"/>
      <c r="E119" s="1505"/>
      <c r="F119" s="1505"/>
      <c r="G119" s="1505"/>
      <c r="H119" s="1505"/>
      <c r="I119" s="1505"/>
      <c r="J119" s="1505"/>
      <c r="K119" s="1505"/>
      <c r="L119" s="1505"/>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5"/>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3323" t="s">
        <v>3079</v>
      </c>
      <c r="D123" s="3323" t="s">
        <v>3087</v>
      </c>
      <c r="E123" s="3323" t="s">
        <v>3089</v>
      </c>
      <c r="F123" s="3329" t="s">
        <v>3090</v>
      </c>
      <c r="G123" s="1505"/>
      <c r="H123" s="1505"/>
      <c r="I123" s="1505"/>
      <c r="J123" s="1505"/>
      <c r="K123" s="473"/>
      <c r="L123" s="473"/>
      <c r="M123" s="1818"/>
      <c r="N123" s="2930"/>
      <c r="O123" s="2930"/>
      <c r="P123" s="1982"/>
      <c r="Q123" s="1746"/>
    </row>
    <row r="124" spans="1:17" ht="15.75" thickBot="1">
      <c r="A124" s="1778"/>
      <c r="B124" s="1786"/>
      <c r="C124" s="1787">
        <v>100</v>
      </c>
      <c r="D124" s="1787">
        <f t="shared" ref="D124:M124" si="30">C124-$K43</f>
        <v>98</v>
      </c>
      <c r="E124" s="1787">
        <f t="shared" si="30"/>
        <v>96</v>
      </c>
      <c r="F124" s="1787">
        <f t="shared" si="30"/>
        <v>94</v>
      </c>
      <c r="G124" s="1787">
        <f t="shared" si="30"/>
        <v>92</v>
      </c>
      <c r="H124" s="1787">
        <f t="shared" si="30"/>
        <v>90</v>
      </c>
      <c r="I124" s="1787">
        <f t="shared" si="30"/>
        <v>88</v>
      </c>
      <c r="J124" s="1787">
        <f t="shared" si="30"/>
        <v>86</v>
      </c>
      <c r="K124" s="1787">
        <f t="shared" si="30"/>
        <v>84</v>
      </c>
      <c r="L124" s="1787">
        <f t="shared" si="30"/>
        <v>82</v>
      </c>
      <c r="M124" s="1788">
        <f t="shared" si="30"/>
        <v>80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98</v>
      </c>
      <c r="E126" s="1787">
        <f>D126-$K44</f>
        <v>96</v>
      </c>
      <c r="F126" s="1787">
        <f>E126-$K44</f>
        <v>94</v>
      </c>
      <c r="G126" s="1787">
        <f>F126-$K44</f>
        <v>92</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5"/>
      <c r="H129" s="1505"/>
      <c r="I129" s="1505"/>
      <c r="J129" s="1505"/>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 ca="1">CONCATENATE(项目基本情况!B3,"（注册号:",项目基本情况!C3,"）、",项目基本情况!D3,"（注册号:",项目基本情况!E3,")")</f>
        <v>（注册号:0）、吴薇（注册号:1419970001)</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t="s">
        <v>2506</v>
      </c>
      <c r="D1" s="1567"/>
      <c r="E1" s="1568" t="s">
        <v>2504</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f>IF(D2="——",IF(C2="元",ROUND(C49*D3,0),ROUND(C49*D3/10000,0)),IF(C2="元",ROUND(C49*D3,0),ROUND(C49*D3/10000,0))-E2)</f>
        <v>2134</v>
      </c>
      <c r="C2" s="1578" t="str">
        <f>'数据-取费表'!B3</f>
        <v>万元</v>
      </c>
      <c r="D2" s="1579" t="s">
        <v>1001</v>
      </c>
      <c r="E2" s="1580" t="e">
        <f ca="1">SUMIF(INDIRECT("'"&amp;G2&amp;"'"&amp;"!A:A"),"承租人权益价值",INDIRECT("'"&amp;G2&amp;"'"&amp;"!c:c"))</f>
        <v>#REF!</v>
      </c>
      <c r="F2" s="1581" t="str">
        <f>C2</f>
        <v>万元</v>
      </c>
      <c r="G2" s="1582"/>
      <c r="H2" s="2907"/>
      <c r="I2" s="2907"/>
      <c r="J2" s="2907"/>
      <c r="K2" s="2908"/>
      <c r="L2" s="2909"/>
      <c r="M2" s="2907"/>
      <c r="N2" s="2907"/>
      <c r="O2" s="2907"/>
      <c r="P2" s="1583"/>
      <c r="Q2" s="1584"/>
      <c r="R2" s="1584"/>
      <c r="S2" s="1584"/>
      <c r="T2" s="1584"/>
      <c r="U2" s="1584"/>
      <c r="V2" s="1584"/>
      <c r="W2" s="1584"/>
      <c r="X2" s="1584"/>
      <c r="Y2" s="1584"/>
      <c r="Z2" s="1584"/>
      <c r="AA2" s="1584"/>
      <c r="AB2" s="1584"/>
      <c r="AC2" s="1585"/>
    </row>
    <row r="3" spans="1:29" s="277" customFormat="1" ht="28.5" customHeight="1" thickBot="1">
      <c r="A3" s="1586" t="s">
        <v>1675</v>
      </c>
      <c r="B3" s="1587">
        <f>ROUND(IF(D2="——",C49,IF(C2="万元",B2*10000/D3,B2/D3)),0)</f>
        <v>27688</v>
      </c>
      <c r="C3" s="1587" t="s">
        <v>2005</v>
      </c>
      <c r="D3" s="1587">
        <f>IF(C1="仅计算典型户型",'数据-取费表'!E5,'数据-取费表'!B5)</f>
        <v>770.88</v>
      </c>
      <c r="E3" s="2907"/>
      <c r="F3" s="2910"/>
      <c r="G3" s="2907"/>
      <c r="H3" s="2907"/>
      <c r="I3" s="2907"/>
      <c r="J3" s="2907"/>
      <c r="K3" s="2908"/>
      <c r="L3" s="2909"/>
      <c r="M3" s="2907"/>
      <c r="N3" s="2907"/>
      <c r="O3" s="2907"/>
      <c r="P3" s="1588"/>
      <c r="Q3" s="1584"/>
      <c r="R3" s="1584"/>
      <c r="S3" s="1584"/>
      <c r="T3" s="1584"/>
      <c r="U3" s="1584"/>
      <c r="V3" s="1584"/>
      <c r="W3" s="1584"/>
      <c r="X3" s="1584"/>
      <c r="Y3" s="1584"/>
      <c r="Z3" s="1584"/>
      <c r="AA3" s="1584"/>
      <c r="AB3" s="1584"/>
      <c r="AC3" s="1589"/>
    </row>
    <row r="4" spans="1:29" ht="15">
      <c r="A4" s="1590" t="s">
        <v>2006</v>
      </c>
      <c r="B4" s="1591"/>
      <c r="C4" s="3574" t="s">
        <v>2007</v>
      </c>
      <c r="D4" s="3575"/>
      <c r="E4" s="3576" t="s">
        <v>2008</v>
      </c>
      <c r="F4" s="3577"/>
      <c r="G4" s="3574" t="s">
        <v>2009</v>
      </c>
      <c r="H4" s="3575"/>
      <c r="I4" s="3574" t="s">
        <v>2010</v>
      </c>
      <c r="J4" s="3575"/>
      <c r="K4" s="1592" t="s">
        <v>2011</v>
      </c>
      <c r="L4" s="2911"/>
      <c r="M4" s="2912"/>
      <c r="N4" s="2912"/>
      <c r="O4" s="2912"/>
      <c r="P4" s="3578" t="s">
        <v>2012</v>
      </c>
      <c r="Q4" s="3579"/>
      <c r="R4" s="3584" t="s">
        <v>2008</v>
      </c>
      <c r="S4" s="3585"/>
      <c r="T4" s="3584" t="s">
        <v>2009</v>
      </c>
      <c r="U4" s="3585"/>
      <c r="V4" s="3590" t="s">
        <v>2010</v>
      </c>
      <c r="W4" s="3590"/>
      <c r="X4" s="1593"/>
      <c r="Y4" s="3584" t="s">
        <v>2012</v>
      </c>
      <c r="Z4" s="3585"/>
      <c r="AA4" s="3571" t="s">
        <v>2008</v>
      </c>
      <c r="AB4" s="3571" t="s">
        <v>2009</v>
      </c>
      <c r="AC4" s="3571" t="s">
        <v>2010</v>
      </c>
    </row>
    <row r="5" spans="1:29" ht="15">
      <c r="A5" s="1595"/>
      <c r="B5" s="1596"/>
      <c r="C5" s="3603" t="s">
        <v>3064</v>
      </c>
      <c r="D5" s="3568"/>
      <c r="E5" s="3591" t="s">
        <v>2014</v>
      </c>
      <c r="F5" s="3592"/>
      <c r="G5" s="3567" t="s">
        <v>2015</v>
      </c>
      <c r="H5" s="3568"/>
      <c r="I5" s="3567" t="s">
        <v>2016</v>
      </c>
      <c r="J5" s="3568"/>
      <c r="K5" s="1597"/>
      <c r="L5" s="2911"/>
      <c r="M5" s="2912"/>
      <c r="N5" s="2912"/>
      <c r="O5" s="2912"/>
      <c r="P5" s="3580"/>
      <c r="Q5" s="3581"/>
      <c r="R5" s="3586"/>
      <c r="S5" s="3587"/>
      <c r="T5" s="3586"/>
      <c r="U5" s="3587"/>
      <c r="V5" s="3590"/>
      <c r="W5" s="3590"/>
      <c r="X5" s="1593"/>
      <c r="Y5" s="3586"/>
      <c r="Z5" s="3587"/>
      <c r="AA5" s="3572"/>
      <c r="AB5" s="3572"/>
      <c r="AC5" s="3572"/>
    </row>
    <row r="6" spans="1:29" ht="15.75" thickBot="1">
      <c r="A6" s="1598"/>
      <c r="B6" s="1599"/>
      <c r="C6" s="3564" t="s">
        <v>2017</v>
      </c>
      <c r="D6" s="3565"/>
      <c r="E6" s="3562" t="s">
        <v>2017</v>
      </c>
      <c r="F6" s="3563"/>
      <c r="G6" s="3564" t="s">
        <v>2017</v>
      </c>
      <c r="H6" s="3565"/>
      <c r="I6" s="3564" t="s">
        <v>2017</v>
      </c>
      <c r="J6" s="3565"/>
      <c r="K6" s="1597" t="s">
        <v>2018</v>
      </c>
      <c r="L6" s="2911"/>
      <c r="M6" s="2912"/>
      <c r="N6" s="2912"/>
      <c r="O6" s="2912"/>
      <c r="P6" s="3582"/>
      <c r="Q6" s="3583"/>
      <c r="R6" s="3586"/>
      <c r="S6" s="3587"/>
      <c r="T6" s="3588"/>
      <c r="U6" s="3589"/>
      <c r="V6" s="3590"/>
      <c r="W6" s="3590"/>
      <c r="X6" s="1593"/>
      <c r="Y6" s="3588"/>
      <c r="Z6" s="3589"/>
      <c r="AA6" s="3573"/>
      <c r="AB6" s="3573"/>
      <c r="AC6" s="3573"/>
    </row>
    <row r="7" spans="1:29" s="1612" customFormat="1" ht="15.75" thickBot="1">
      <c r="A7" s="1600" t="s">
        <v>2019</v>
      </c>
      <c r="B7" s="1601"/>
      <c r="C7" s="1602">
        <f>'数据-取费表'!B2</f>
        <v>44858</v>
      </c>
      <c r="D7" s="1603">
        <v>100</v>
      </c>
      <c r="E7" s="1604">
        <v>44835</v>
      </c>
      <c r="F7" s="1605">
        <f>SUMIF(58:58,YEAR(E7)&amp;"-"&amp;MONTH(E7),59:59)</f>
        <v>100</v>
      </c>
      <c r="G7" s="1604">
        <f>E7</f>
        <v>44835</v>
      </c>
      <c r="H7" s="1603">
        <f>SUMIF(58:58,YEAR(G7)&amp;"-"&amp;MONTH(G7),59:59)</f>
        <v>100</v>
      </c>
      <c r="I7" s="1604">
        <f>G7</f>
        <v>44835</v>
      </c>
      <c r="J7" s="1603">
        <f>SUMIF(58:58,YEAR(I7)&amp;"-"&amp;MONTH(I7),59:59)</f>
        <v>100</v>
      </c>
      <c r="K7" s="1606"/>
      <c r="L7" s="2911"/>
      <c r="M7" s="2884"/>
      <c r="N7" s="2884"/>
      <c r="O7" s="2884"/>
      <c r="P7" s="3569" t="s">
        <v>2020</v>
      </c>
      <c r="Q7" s="3593"/>
      <c r="R7" s="1608" t="s">
        <v>34</v>
      </c>
      <c r="S7" s="1609">
        <f t="shared" ref="S7:S15" si="0">F7</f>
        <v>100</v>
      </c>
      <c r="T7" s="1608" t="s">
        <v>34</v>
      </c>
      <c r="U7" s="1609">
        <f t="shared" ref="U7:U15" si="1">H7</f>
        <v>100</v>
      </c>
      <c r="V7" s="1608" t="s">
        <v>34</v>
      </c>
      <c r="W7" s="1609">
        <f t="shared" ref="W7:W15" si="2">J7</f>
        <v>100</v>
      </c>
      <c r="X7" s="1610"/>
      <c r="Y7" s="3569" t="s">
        <v>2020</v>
      </c>
      <c r="Z7" s="3570"/>
      <c r="AA7" s="1611">
        <f>D7/F7</f>
        <v>1</v>
      </c>
      <c r="AB7" s="1611">
        <f>D7/H7</f>
        <v>1</v>
      </c>
      <c r="AC7" s="1611">
        <f>D7/J7</f>
        <v>1</v>
      </c>
    </row>
    <row r="8" spans="1:29" s="1612" customFormat="1" ht="15.75" thickBot="1">
      <c r="A8" s="1600" t="s">
        <v>2021</v>
      </c>
      <c r="B8" s="1601"/>
      <c r="C8" s="1613" t="s">
        <v>2022</v>
      </c>
      <c r="D8" s="1603">
        <v>100</v>
      </c>
      <c r="E8" s="1614" t="s">
        <v>2639</v>
      </c>
      <c r="F8" s="1605">
        <f>SUMIF(61:61,E8,62:62)-SUMIF(61:61,C8,62:62)+100</f>
        <v>100</v>
      </c>
      <c r="G8" s="1614" t="s">
        <v>2639</v>
      </c>
      <c r="H8" s="1603">
        <f>SUMIF(61:61,G8,62:62)-SUMIF(61:61,C8,62:62)+100</f>
        <v>100</v>
      </c>
      <c r="I8" s="1614" t="s">
        <v>2639</v>
      </c>
      <c r="J8" s="1603">
        <f>SUMIF(61:61,I8,62:62)-SUMIF(61:61,C8,62:62)+100</f>
        <v>100</v>
      </c>
      <c r="K8" s="1606"/>
      <c r="L8" s="2911"/>
      <c r="M8" s="2884"/>
      <c r="N8" s="2884"/>
      <c r="O8" s="2884"/>
      <c r="P8" s="3569" t="s">
        <v>2023</v>
      </c>
      <c r="Q8" s="3570"/>
      <c r="R8" s="1608" t="s">
        <v>34</v>
      </c>
      <c r="S8" s="1609">
        <f t="shared" si="0"/>
        <v>100</v>
      </c>
      <c r="T8" s="1608" t="s">
        <v>34</v>
      </c>
      <c r="U8" s="1609">
        <f t="shared" si="1"/>
        <v>100</v>
      </c>
      <c r="V8" s="1608" t="s">
        <v>34</v>
      </c>
      <c r="W8" s="1609">
        <f t="shared" si="2"/>
        <v>100</v>
      </c>
      <c r="X8" s="1610"/>
      <c r="Y8" s="3569" t="s">
        <v>2023</v>
      </c>
      <c r="Z8" s="3570"/>
      <c r="AA8" s="1611">
        <f t="shared" ref="AA8:AA46" si="3">D8/F8</f>
        <v>1</v>
      </c>
      <c r="AB8" s="1611">
        <f t="shared" ref="AB8:AB46" si="4">D8/H8</f>
        <v>1</v>
      </c>
      <c r="AC8" s="1611">
        <f t="shared" ref="AC8:AC46" si="5">D8/J8</f>
        <v>1</v>
      </c>
    </row>
    <row r="9" spans="1:29" s="1612" customFormat="1">
      <c r="A9" s="1563" t="s">
        <v>2024</v>
      </c>
      <c r="B9" s="1615" t="s">
        <v>2025</v>
      </c>
      <c r="C9" s="3322" t="s">
        <v>3040</v>
      </c>
      <c r="D9" s="1617">
        <v>100</v>
      </c>
      <c r="E9" s="1618" t="s">
        <v>3037</v>
      </c>
      <c r="F9" s="1619">
        <f>SUMIF(63:63,E9,64:64)-SUMIF(63:63,C9,64:64)+100</f>
        <v>100</v>
      </c>
      <c r="G9" s="1618" t="s">
        <v>3037</v>
      </c>
      <c r="H9" s="1617">
        <f>SUMIF(63:63,G9,64:64)-SUMIF(63:63,C9,64:64)+100</f>
        <v>100</v>
      </c>
      <c r="I9" s="1618" t="s">
        <v>3037</v>
      </c>
      <c r="J9" s="1617">
        <f>SUMIF(63:63,I9,64:64)-SUMIF(63:63,C9,64:64)+100</f>
        <v>100</v>
      </c>
      <c r="K9" s="1606"/>
      <c r="L9" s="2911"/>
      <c r="M9" s="2884"/>
      <c r="N9" s="2884"/>
      <c r="O9" s="2884"/>
      <c r="P9" s="3607" t="s">
        <v>2026</v>
      </c>
      <c r="Q9" s="1562" t="str">
        <f t="shared" ref="Q9:Q15" si="6">B9</f>
        <v>用途</v>
      </c>
      <c r="R9" s="1608" t="s">
        <v>25</v>
      </c>
      <c r="S9" s="1609">
        <f t="shared" si="0"/>
        <v>100</v>
      </c>
      <c r="T9" s="1608" t="s">
        <v>25</v>
      </c>
      <c r="U9" s="1609">
        <f t="shared" si="1"/>
        <v>100</v>
      </c>
      <c r="V9" s="1608" t="s">
        <v>25</v>
      </c>
      <c r="W9" s="1609">
        <f t="shared" si="2"/>
        <v>100</v>
      </c>
      <c r="X9" s="1610"/>
      <c r="Y9" s="3492" t="s">
        <v>2027</v>
      </c>
      <c r="Z9" s="1621" t="str">
        <f t="shared" ref="Z9:Z15" si="7">Q9</f>
        <v>用途</v>
      </c>
      <c r="AA9" s="1611">
        <f t="shared" si="3"/>
        <v>1</v>
      </c>
      <c r="AB9" s="1611">
        <f t="shared" si="4"/>
        <v>1</v>
      </c>
      <c r="AC9" s="1611">
        <f t="shared" si="5"/>
        <v>1</v>
      </c>
    </row>
    <row r="10" spans="1:29" s="1629" customFormat="1" ht="27">
      <c r="A10" s="1622"/>
      <c r="B10" s="1623" t="s">
        <v>2028</v>
      </c>
      <c r="C10" s="1624" t="s">
        <v>3041</v>
      </c>
      <c r="D10" s="1625">
        <v>100</v>
      </c>
      <c r="E10" s="1626" t="s">
        <v>3041</v>
      </c>
      <c r="F10" s="1627">
        <f>SUMIF(65:65,E10,66:66)-SUMIF(65:65,C10,66:66)+100</f>
        <v>100</v>
      </c>
      <c r="G10" s="1626" t="s">
        <v>3041</v>
      </c>
      <c r="H10" s="1625">
        <f>SUMIF(65:65,G10,66:66)-SUMIF(65:65,C10,66:66)+100</f>
        <v>100</v>
      </c>
      <c r="I10" s="1626" t="s">
        <v>3041</v>
      </c>
      <c r="J10" s="1625">
        <f>SUMIF(65:65,I10,66:66)-SUMIF(65:65,C10,66:66)+100</f>
        <v>100</v>
      </c>
      <c r="K10" s="1628"/>
      <c r="L10" s="2913"/>
      <c r="M10" s="2914"/>
      <c r="N10" s="2914"/>
      <c r="O10" s="2914"/>
      <c r="P10" s="3607"/>
      <c r="Q10" s="1562" t="str">
        <f t="shared" si="6"/>
        <v>土地使用年限（年）</v>
      </c>
      <c r="R10" s="1608" t="s">
        <v>25</v>
      </c>
      <c r="S10" s="1609">
        <f t="shared" si="0"/>
        <v>100</v>
      </c>
      <c r="T10" s="1608" t="s">
        <v>25</v>
      </c>
      <c r="U10" s="1609">
        <f t="shared" si="1"/>
        <v>100</v>
      </c>
      <c r="V10" s="1608" t="s">
        <v>25</v>
      </c>
      <c r="W10" s="1609">
        <f t="shared" si="2"/>
        <v>100</v>
      </c>
      <c r="X10" s="1610"/>
      <c r="Y10" s="3492"/>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5"/>
      <c r="M11" s="2912"/>
      <c r="N11" s="2912"/>
      <c r="O11" s="2912"/>
      <c r="P11" s="3607"/>
      <c r="Q11" s="1562" t="str">
        <f t="shared" si="6"/>
        <v>容积率</v>
      </c>
      <c r="R11" s="1608" t="s">
        <v>28</v>
      </c>
      <c r="S11" s="1609">
        <f t="shared" si="0"/>
        <v>100</v>
      </c>
      <c r="T11" s="1608" t="s">
        <v>28</v>
      </c>
      <c r="U11" s="1609">
        <f t="shared" si="1"/>
        <v>100</v>
      </c>
      <c r="V11" s="1608" t="s">
        <v>28</v>
      </c>
      <c r="W11" s="1609">
        <f t="shared" si="2"/>
        <v>100</v>
      </c>
      <c r="X11" s="1610"/>
      <c r="Y11" s="3492"/>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07"/>
      <c r="Q12" s="1562">
        <f t="shared" si="6"/>
        <v>111</v>
      </c>
      <c r="R12" s="1608" t="s">
        <v>28</v>
      </c>
      <c r="S12" s="1609">
        <f t="shared" si="0"/>
        <v>100</v>
      </c>
      <c r="T12" s="1608" t="s">
        <v>28</v>
      </c>
      <c r="U12" s="1609">
        <f t="shared" si="1"/>
        <v>100</v>
      </c>
      <c r="V12" s="1608" t="s">
        <v>28</v>
      </c>
      <c r="W12" s="1609">
        <f t="shared" si="2"/>
        <v>100</v>
      </c>
      <c r="X12" s="1610"/>
      <c r="Y12" s="3492"/>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07"/>
      <c r="Q13" s="1562">
        <f t="shared" si="6"/>
        <v>111</v>
      </c>
      <c r="R13" s="1608" t="s">
        <v>28</v>
      </c>
      <c r="S13" s="1609">
        <f t="shared" si="0"/>
        <v>100</v>
      </c>
      <c r="T13" s="1608" t="s">
        <v>28</v>
      </c>
      <c r="U13" s="1609">
        <f t="shared" si="1"/>
        <v>100</v>
      </c>
      <c r="V13" s="1608" t="s">
        <v>28</v>
      </c>
      <c r="W13" s="1609">
        <f t="shared" si="2"/>
        <v>100</v>
      </c>
      <c r="X13" s="1610"/>
      <c r="Y13" s="3492"/>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07"/>
      <c r="Q14" s="1562">
        <f t="shared" si="6"/>
        <v>111</v>
      </c>
      <c r="R14" s="1608" t="s">
        <v>28</v>
      </c>
      <c r="S14" s="1609">
        <f t="shared" si="0"/>
        <v>100</v>
      </c>
      <c r="T14" s="1608" t="s">
        <v>28</v>
      </c>
      <c r="U14" s="1609">
        <f t="shared" si="1"/>
        <v>100</v>
      </c>
      <c r="V14" s="1608" t="s">
        <v>28</v>
      </c>
      <c r="W14" s="1609">
        <f t="shared" si="2"/>
        <v>100</v>
      </c>
      <c r="X14" s="1610"/>
      <c r="Y14" s="3492"/>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v>2</v>
      </c>
      <c r="L15" s="2916"/>
      <c r="M15" s="2912"/>
      <c r="N15" s="2912"/>
      <c r="O15" s="2912"/>
      <c r="P15" s="3608" t="s">
        <v>2031</v>
      </c>
      <c r="Q15" s="1543" t="str">
        <f t="shared" si="6"/>
        <v>居住社区成熟度</v>
      </c>
      <c r="R15" s="1653" t="s">
        <v>28</v>
      </c>
      <c r="S15" s="1654">
        <f t="shared" si="0"/>
        <v>100</v>
      </c>
      <c r="T15" s="1653" t="s">
        <v>28</v>
      </c>
      <c r="U15" s="1654">
        <f t="shared" si="1"/>
        <v>100</v>
      </c>
      <c r="V15" s="1653" t="s">
        <v>28</v>
      </c>
      <c r="W15" s="1654">
        <f t="shared" si="2"/>
        <v>100</v>
      </c>
      <c r="X15" s="1593"/>
      <c r="Y15" s="3594"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09"/>
      <c r="Q16" s="1543"/>
      <c r="R16" s="1653"/>
      <c r="S16" s="1654"/>
      <c r="T16" s="1653"/>
      <c r="U16" s="1654"/>
      <c r="V16" s="1653"/>
      <c r="W16" s="1654"/>
      <c r="X16" s="1593"/>
      <c r="Y16" s="3595"/>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v>2</v>
      </c>
      <c r="L17" s="2916"/>
      <c r="M17" s="2912"/>
      <c r="N17" s="2912"/>
      <c r="O17" s="2912"/>
      <c r="P17" s="3609"/>
      <c r="Q17" s="1543" t="str">
        <f>B17</f>
        <v>交通便捷度</v>
      </c>
      <c r="R17" s="1653" t="s">
        <v>28</v>
      </c>
      <c r="S17" s="1654">
        <f>F17</f>
        <v>100</v>
      </c>
      <c r="T17" s="1653" t="s">
        <v>28</v>
      </c>
      <c r="U17" s="1654">
        <f>H17</f>
        <v>100</v>
      </c>
      <c r="V17" s="1653" t="s">
        <v>28</v>
      </c>
      <c r="W17" s="1654">
        <f>J17</f>
        <v>100</v>
      </c>
      <c r="X17" s="1593"/>
      <c r="Y17" s="3595"/>
      <c r="Z17" s="1655" t="str">
        <f>Q17</f>
        <v>交通便捷度</v>
      </c>
      <c r="AA17" s="1656">
        <f t="shared" si="3"/>
        <v>1</v>
      </c>
      <c r="AB17" s="1656">
        <f t="shared" si="4"/>
        <v>1</v>
      </c>
      <c r="AC17" s="1656">
        <f t="shared" si="5"/>
        <v>1</v>
      </c>
    </row>
    <row r="18" spans="1:29" ht="15">
      <c r="A18" s="1630"/>
      <c r="B18" s="1671"/>
      <c r="C18" s="1658" t="s">
        <v>31</v>
      </c>
      <c r="D18" s="1663"/>
      <c r="E18" s="1658" t="s">
        <v>31</v>
      </c>
      <c r="F18" s="1668"/>
      <c r="G18" s="1658" t="s">
        <v>31</v>
      </c>
      <c r="H18" s="1659"/>
      <c r="I18" s="1658" t="s">
        <v>31</v>
      </c>
      <c r="J18" s="1659"/>
      <c r="K18" s="1664"/>
      <c r="L18" s="2916"/>
      <c r="M18" s="2912"/>
      <c r="N18" s="2912"/>
      <c r="O18" s="2912"/>
      <c r="P18" s="3609"/>
      <c r="Q18" s="1543"/>
      <c r="R18" s="1653"/>
      <c r="S18" s="1654"/>
      <c r="T18" s="1653"/>
      <c r="U18" s="1654"/>
      <c r="V18" s="1653"/>
      <c r="W18" s="1654"/>
      <c r="X18" s="1593"/>
      <c r="Y18" s="3595"/>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v>2</v>
      </c>
      <c r="L19" s="2916"/>
      <c r="M19" s="2912"/>
      <c r="N19" s="2912"/>
      <c r="O19" s="2912"/>
      <c r="P19" s="3609"/>
      <c r="Q19" s="1543" t="str">
        <f>B19</f>
        <v>公共配套设施</v>
      </c>
      <c r="R19" s="1653" t="s">
        <v>28</v>
      </c>
      <c r="S19" s="1654">
        <f>F19</f>
        <v>100</v>
      </c>
      <c r="T19" s="1653" t="s">
        <v>28</v>
      </c>
      <c r="U19" s="1654">
        <f>H19</f>
        <v>100</v>
      </c>
      <c r="V19" s="1653" t="s">
        <v>28</v>
      </c>
      <c r="W19" s="1654">
        <f>J19</f>
        <v>100</v>
      </c>
      <c r="X19" s="1593"/>
      <c r="Y19" s="3595"/>
      <c r="Z19" s="1655" t="str">
        <f>Q19</f>
        <v>公共配套设施</v>
      </c>
      <c r="AA19" s="1656">
        <f t="shared" si="3"/>
        <v>1</v>
      </c>
      <c r="AB19" s="1656">
        <f t="shared" si="4"/>
        <v>1</v>
      </c>
      <c r="AC19" s="1656">
        <f t="shared" si="5"/>
        <v>1</v>
      </c>
    </row>
    <row r="20" spans="1:29" ht="15">
      <c r="A20" s="1630"/>
      <c r="B20" s="1671"/>
      <c r="C20" s="1658" t="s">
        <v>31</v>
      </c>
      <c r="D20" s="1659"/>
      <c r="E20" s="1658" t="s">
        <v>31</v>
      </c>
      <c r="F20" s="1661"/>
      <c r="G20" s="1658" t="s">
        <v>31</v>
      </c>
      <c r="H20" s="1659"/>
      <c r="I20" s="1658" t="s">
        <v>31</v>
      </c>
      <c r="J20" s="1659"/>
      <c r="K20" s="1664"/>
      <c r="L20" s="2916"/>
      <c r="M20" s="2912"/>
      <c r="N20" s="2912"/>
      <c r="O20" s="2912"/>
      <c r="P20" s="3609"/>
      <c r="Q20" s="1543"/>
      <c r="R20" s="1653"/>
      <c r="S20" s="1654"/>
      <c r="T20" s="1653"/>
      <c r="U20" s="1654"/>
      <c r="V20" s="1653"/>
      <c r="W20" s="1654"/>
      <c r="X20" s="1593"/>
      <c r="Y20" s="3595"/>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v>2</v>
      </c>
      <c r="L21" s="2916"/>
      <c r="M21" s="2912"/>
      <c r="N21" s="2912"/>
      <c r="O21" s="2912"/>
      <c r="P21" s="3609"/>
      <c r="Q21" s="1543" t="str">
        <f>B21</f>
        <v>基础设施水平</v>
      </c>
      <c r="R21" s="1653" t="s">
        <v>28</v>
      </c>
      <c r="S21" s="1654">
        <f>F21</f>
        <v>100</v>
      </c>
      <c r="T21" s="1653" t="s">
        <v>28</v>
      </c>
      <c r="U21" s="1654">
        <f>H21</f>
        <v>100</v>
      </c>
      <c r="V21" s="1653" t="s">
        <v>28</v>
      </c>
      <c r="W21" s="1654">
        <f>J21</f>
        <v>100</v>
      </c>
      <c r="X21" s="1593"/>
      <c r="Y21" s="3595"/>
      <c r="Z21" s="1655" t="str">
        <f>Q21</f>
        <v>基础设施水平</v>
      </c>
      <c r="AA21" s="1656">
        <f t="shared" ref="AA21" si="8">D21/F21</f>
        <v>1</v>
      </c>
      <c r="AB21" s="1656">
        <f t="shared" ref="AB21" si="9">D21/H21</f>
        <v>1</v>
      </c>
      <c r="AC21" s="1656">
        <f t="shared" ref="AC21" si="10">D21/J21</f>
        <v>1</v>
      </c>
    </row>
    <row r="22" spans="1:29" ht="15">
      <c r="A22" s="1630"/>
      <c r="B22" s="1678"/>
      <c r="C22" s="1672" t="s">
        <v>3042</v>
      </c>
      <c r="D22" s="1659"/>
      <c r="E22" s="1672" t="s">
        <v>3042</v>
      </c>
      <c r="F22" s="1661"/>
      <c r="G22" s="1672" t="s">
        <v>3042</v>
      </c>
      <c r="H22" s="1659"/>
      <c r="I22" s="1672" t="s">
        <v>3042</v>
      </c>
      <c r="J22" s="1659"/>
      <c r="K22" s="1679"/>
      <c r="L22" s="2916"/>
      <c r="M22" s="2912"/>
      <c r="N22" s="2912"/>
      <c r="O22" s="2912"/>
      <c r="P22" s="3609"/>
      <c r="Q22" s="1543"/>
      <c r="R22" s="1653"/>
      <c r="S22" s="1654"/>
      <c r="T22" s="1653"/>
      <c r="U22" s="1654"/>
      <c r="V22" s="1653"/>
      <c r="W22" s="1654"/>
      <c r="X22" s="1593"/>
      <c r="Y22" s="3595"/>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v>2</v>
      </c>
      <c r="L23" s="2916"/>
      <c r="M23" s="2912"/>
      <c r="N23" s="2912"/>
      <c r="O23" s="2912"/>
      <c r="P23" s="3609"/>
      <c r="Q23" s="1543" t="str">
        <f>B23</f>
        <v>自然及人文环境</v>
      </c>
      <c r="R23" s="1653" t="s">
        <v>28</v>
      </c>
      <c r="S23" s="1654">
        <f>F23</f>
        <v>100</v>
      </c>
      <c r="T23" s="1653" t="s">
        <v>28</v>
      </c>
      <c r="U23" s="1654">
        <f>H23</f>
        <v>100</v>
      </c>
      <c r="V23" s="1653" t="s">
        <v>28</v>
      </c>
      <c r="W23" s="1654">
        <f>J23</f>
        <v>100</v>
      </c>
      <c r="X23" s="1593"/>
      <c r="Y23" s="3595"/>
      <c r="Z23" s="1655" t="str">
        <f>Q23</f>
        <v>自然及人文环境</v>
      </c>
      <c r="AA23" s="1656">
        <f t="shared" si="3"/>
        <v>1</v>
      </c>
      <c r="AB23" s="1656">
        <f t="shared" si="4"/>
        <v>1</v>
      </c>
      <c r="AC23" s="1656">
        <f t="shared" si="5"/>
        <v>1</v>
      </c>
    </row>
    <row r="24" spans="1:29" ht="15">
      <c r="A24" s="1630"/>
      <c r="B24" s="1671"/>
      <c r="C24" s="1658" t="s">
        <v>30</v>
      </c>
      <c r="D24" s="1659"/>
      <c r="E24" s="1658" t="s">
        <v>30</v>
      </c>
      <c r="F24" s="1661"/>
      <c r="G24" s="1658" t="s">
        <v>30</v>
      </c>
      <c r="H24" s="1659"/>
      <c r="I24" s="1658" t="s">
        <v>30</v>
      </c>
      <c r="J24" s="1659"/>
      <c r="K24" s="1664"/>
      <c r="L24" s="2916"/>
      <c r="M24" s="2912"/>
      <c r="N24" s="2912"/>
      <c r="O24" s="2912"/>
      <c r="P24" s="3609"/>
      <c r="Q24" s="1543"/>
      <c r="R24" s="1653"/>
      <c r="S24" s="1654"/>
      <c r="T24" s="1653"/>
      <c r="U24" s="1654"/>
      <c r="V24" s="1653"/>
      <c r="W24" s="1654"/>
      <c r="X24" s="1593"/>
      <c r="Y24" s="3595"/>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09"/>
      <c r="Q25" s="1543" t="str">
        <f t="shared" ref="Q25:Q46" si="11">B25</f>
        <v>楼层-1</v>
      </c>
      <c r="R25" s="1653" t="s">
        <v>28</v>
      </c>
      <c r="S25" s="1654">
        <f>F25</f>
        <v>100</v>
      </c>
      <c r="T25" s="1653" t="s">
        <v>28</v>
      </c>
      <c r="U25" s="1654">
        <f>H25</f>
        <v>100</v>
      </c>
      <c r="V25" s="1653" t="s">
        <v>28</v>
      </c>
      <c r="W25" s="1654">
        <f>J25</f>
        <v>100</v>
      </c>
      <c r="X25" s="1593"/>
      <c r="Y25" s="3595"/>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09"/>
      <c r="Q26" s="1543" t="str">
        <f t="shared" si="11"/>
        <v>朝向</v>
      </c>
      <c r="R26" s="1653" t="s">
        <v>28</v>
      </c>
      <c r="S26" s="1654">
        <f>F26</f>
        <v>100</v>
      </c>
      <c r="T26" s="1653" t="s">
        <v>28</v>
      </c>
      <c r="U26" s="1654">
        <f>H26</f>
        <v>100</v>
      </c>
      <c r="V26" s="1653" t="s">
        <v>28</v>
      </c>
      <c r="W26" s="1654">
        <f>J26</f>
        <v>100</v>
      </c>
      <c r="X26" s="1593"/>
      <c r="Y26" s="3595"/>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09"/>
      <c r="Q27" s="1562" t="str">
        <f t="shared" si="11"/>
        <v>道路级别</v>
      </c>
      <c r="R27" s="1608" t="s">
        <v>28</v>
      </c>
      <c r="S27" s="1609">
        <f>F27</f>
        <v>100</v>
      </c>
      <c r="T27" s="1608" t="s">
        <v>28</v>
      </c>
      <c r="U27" s="1609">
        <f>H27</f>
        <v>100</v>
      </c>
      <c r="V27" s="1608" t="s">
        <v>28</v>
      </c>
      <c r="W27" s="1609">
        <f>J27</f>
        <v>100</v>
      </c>
      <c r="X27" s="1610"/>
      <c r="Y27" s="3595"/>
      <c r="Z27" s="1621" t="str">
        <f>Q27</f>
        <v>道路级别</v>
      </c>
      <c r="AA27" s="1656">
        <f>D27/F27</f>
        <v>1</v>
      </c>
      <c r="AB27" s="1656">
        <f>D27/H27</f>
        <v>1</v>
      </c>
      <c r="AC27" s="1656">
        <f>D27/J27</f>
        <v>1</v>
      </c>
    </row>
    <row r="28" spans="1:29" ht="15">
      <c r="A28" s="1630"/>
      <c r="B28" s="3325" t="s">
        <v>3063</v>
      </c>
      <c r="C28" s="3326" t="s">
        <v>3044</v>
      </c>
      <c r="D28" s="1639">
        <v>100</v>
      </c>
      <c r="E28" s="3326" t="s">
        <v>3045</v>
      </c>
      <c r="F28" s="1682">
        <f>SUMIF(92:92,E28,93:93)-SUMIF(92:92,C28,93:93)+100</f>
        <v>101</v>
      </c>
      <c r="G28" s="3326" t="s">
        <v>3043</v>
      </c>
      <c r="H28" s="1639">
        <f>SUMIF(92:92,G28,93:93)-SUMIF(92:92,C28,93:93)+100</f>
        <v>102</v>
      </c>
      <c r="I28" s="3326" t="s">
        <v>3043</v>
      </c>
      <c r="J28" s="1639">
        <f>SUMIF(92:92,I28,93:93)-SUMIF(92:92,C28,93:93)+100</f>
        <v>102</v>
      </c>
      <c r="K28" s="1637"/>
      <c r="L28" s="2916"/>
      <c r="M28" s="2912"/>
      <c r="N28" s="2912"/>
      <c r="O28" s="2912"/>
      <c r="P28" s="3609"/>
      <c r="Q28" s="1543" t="str">
        <f t="shared" si="11"/>
        <v>楼层</v>
      </c>
      <c r="R28" s="1653" t="s">
        <v>28</v>
      </c>
      <c r="S28" s="1654">
        <f t="shared" ref="S28:S46" si="12">F28</f>
        <v>101</v>
      </c>
      <c r="T28" s="1653" t="s">
        <v>28</v>
      </c>
      <c r="U28" s="1654">
        <f t="shared" ref="U28:U46" si="13">H28</f>
        <v>102</v>
      </c>
      <c r="V28" s="1653" t="s">
        <v>28</v>
      </c>
      <c r="W28" s="1654">
        <f t="shared" ref="W28:W46" si="14">J28</f>
        <v>102</v>
      </c>
      <c r="X28" s="1593"/>
      <c r="Y28" s="3595"/>
      <c r="Z28" s="1655" t="str">
        <f t="shared" ref="Z28:Z46" si="15">Q28</f>
        <v>楼层</v>
      </c>
      <c r="AA28" s="1656">
        <f t="shared" si="3"/>
        <v>0.99009900990099009</v>
      </c>
      <c r="AB28" s="1656">
        <f t="shared" si="4"/>
        <v>0.98039215686274506</v>
      </c>
      <c r="AC28" s="1656">
        <f t="shared" si="5"/>
        <v>0.98039215686274506</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6"/>
      <c r="M29" s="2912"/>
      <c r="N29" s="2912"/>
      <c r="O29" s="2912"/>
      <c r="P29" s="3609"/>
      <c r="Q29" s="1543">
        <f t="shared" si="11"/>
        <v>111</v>
      </c>
      <c r="R29" s="1653" t="s">
        <v>28</v>
      </c>
      <c r="S29" s="1654">
        <f t="shared" si="12"/>
        <v>100</v>
      </c>
      <c r="T29" s="1653" t="s">
        <v>28</v>
      </c>
      <c r="U29" s="1654">
        <f t="shared" si="13"/>
        <v>100</v>
      </c>
      <c r="V29" s="1653" t="s">
        <v>28</v>
      </c>
      <c r="W29" s="1654">
        <f t="shared" si="14"/>
        <v>100</v>
      </c>
      <c r="X29" s="1593"/>
      <c r="Y29" s="3595"/>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09"/>
      <c r="Q30" s="1543">
        <f t="shared" si="11"/>
        <v>111</v>
      </c>
      <c r="R30" s="1653" t="s">
        <v>28</v>
      </c>
      <c r="S30" s="1654">
        <f t="shared" si="12"/>
        <v>100</v>
      </c>
      <c r="T30" s="1653" t="s">
        <v>28</v>
      </c>
      <c r="U30" s="1654">
        <f t="shared" si="13"/>
        <v>100</v>
      </c>
      <c r="V30" s="1653" t="s">
        <v>28</v>
      </c>
      <c r="W30" s="1654">
        <f t="shared" si="14"/>
        <v>100</v>
      </c>
      <c r="X30" s="1593"/>
      <c r="Y30" s="3595"/>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09"/>
      <c r="Q31" s="1543">
        <f t="shared" si="11"/>
        <v>111</v>
      </c>
      <c r="R31" s="1653" t="s">
        <v>28</v>
      </c>
      <c r="S31" s="1654">
        <f t="shared" si="12"/>
        <v>100</v>
      </c>
      <c r="T31" s="1653" t="s">
        <v>28</v>
      </c>
      <c r="U31" s="1654">
        <f t="shared" si="13"/>
        <v>100</v>
      </c>
      <c r="V31" s="1653" t="s">
        <v>28</v>
      </c>
      <c r="W31" s="1654">
        <f t="shared" si="14"/>
        <v>100</v>
      </c>
      <c r="X31" s="1593"/>
      <c r="Y31" s="3595"/>
      <c r="Z31" s="1655">
        <f t="shared" si="15"/>
        <v>111</v>
      </c>
      <c r="AA31" s="1656">
        <f t="shared" si="3"/>
        <v>1</v>
      </c>
      <c r="AB31" s="1656">
        <f t="shared" si="4"/>
        <v>1</v>
      </c>
      <c r="AC31" s="1656">
        <f t="shared" si="5"/>
        <v>1</v>
      </c>
    </row>
    <row r="32" spans="1:29" ht="15">
      <c r="A32" s="1645" t="s">
        <v>2035</v>
      </c>
      <c r="B32" s="1615" t="s">
        <v>2036</v>
      </c>
      <c r="C32" s="1689" t="s">
        <v>3049</v>
      </c>
      <c r="D32" s="1690">
        <v>100</v>
      </c>
      <c r="E32" s="1689" t="s">
        <v>3049</v>
      </c>
      <c r="F32" s="1682">
        <f>SUMIF(100:100,E32,101:101)-SUMIF(100:100,C32,101:101)+100</f>
        <v>100</v>
      </c>
      <c r="G32" s="1689" t="s">
        <v>3049</v>
      </c>
      <c r="H32" s="1690">
        <f>SUMIF(100:100,G32,101:101)-SUMIF(100:100,C32,101:101)+100</f>
        <v>100</v>
      </c>
      <c r="I32" s="1689" t="s">
        <v>3049</v>
      </c>
      <c r="J32" s="1639">
        <f>SUMIF(100:100,I32,101:101)-SUMIF(100:100,C32,101:101)+100</f>
        <v>100</v>
      </c>
      <c r="K32" s="1628">
        <v>1</v>
      </c>
      <c r="L32" s="2916"/>
      <c r="M32" s="2912"/>
      <c r="N32" s="2912"/>
      <c r="O32" s="2912"/>
      <c r="P32" s="3604" t="s">
        <v>2037</v>
      </c>
      <c r="Q32" s="1543" t="str">
        <f t="shared" si="11"/>
        <v>建筑类型</v>
      </c>
      <c r="R32" s="1653" t="s">
        <v>28</v>
      </c>
      <c r="S32" s="1654">
        <f t="shared" si="12"/>
        <v>100</v>
      </c>
      <c r="T32" s="1653" t="s">
        <v>28</v>
      </c>
      <c r="U32" s="1654">
        <f t="shared" si="13"/>
        <v>100</v>
      </c>
      <c r="V32" s="1653" t="s">
        <v>28</v>
      </c>
      <c r="W32" s="1654">
        <f t="shared" si="14"/>
        <v>100</v>
      </c>
      <c r="X32" s="1593"/>
      <c r="Y32" s="3597" t="s">
        <v>2037</v>
      </c>
      <c r="Z32" s="1655" t="str">
        <f t="shared" si="15"/>
        <v>建筑类型</v>
      </c>
      <c r="AA32" s="1656">
        <f t="shared" si="3"/>
        <v>1</v>
      </c>
      <c r="AB32" s="1656">
        <f t="shared" si="4"/>
        <v>1</v>
      </c>
      <c r="AC32" s="1656">
        <f t="shared" si="5"/>
        <v>1</v>
      </c>
    </row>
    <row r="33" spans="1:29" s="1698" customFormat="1" ht="15">
      <c r="A33" s="1691"/>
      <c r="B33" s="1623" t="s">
        <v>2038</v>
      </c>
      <c r="C33" s="1692">
        <f>'数据-取费表'!B5</f>
        <v>770.88</v>
      </c>
      <c r="D33" s="1625">
        <v>100</v>
      </c>
      <c r="E33" s="1692">
        <v>107</v>
      </c>
      <c r="F33" s="1627">
        <f>LOOKUP(E33,103:103,104:104)-LOOKUP(C33,103:103,104:104)+100</f>
        <v>104</v>
      </c>
      <c r="G33" s="1692">
        <v>106</v>
      </c>
      <c r="H33" s="1625">
        <f>LOOKUP(G33,103:103,104:104)-LOOKUP(C33,103:103,104:104)+100</f>
        <v>104</v>
      </c>
      <c r="I33" s="1692">
        <v>156.41</v>
      </c>
      <c r="J33" s="1625">
        <f>LOOKUP(I33,103:103,104:104)-LOOKUP(C33,103:103,104:104)+100</f>
        <v>104</v>
      </c>
      <c r="K33" s="1637"/>
      <c r="L33" s="2915"/>
      <c r="M33" s="1984"/>
      <c r="N33" s="1984"/>
      <c r="O33" s="1984"/>
      <c r="P33" s="3605"/>
      <c r="Q33" s="1693" t="str">
        <f t="shared" si="11"/>
        <v>项目建筑规模</v>
      </c>
      <c r="R33" s="1694" t="s">
        <v>28</v>
      </c>
      <c r="S33" s="1695">
        <f t="shared" si="12"/>
        <v>104</v>
      </c>
      <c r="T33" s="1694" t="s">
        <v>28</v>
      </c>
      <c r="U33" s="1695">
        <f t="shared" si="13"/>
        <v>104</v>
      </c>
      <c r="V33" s="1694" t="s">
        <v>28</v>
      </c>
      <c r="W33" s="1695">
        <f t="shared" si="14"/>
        <v>104</v>
      </c>
      <c r="X33" s="1696"/>
      <c r="Y33" s="3597"/>
      <c r="Z33" s="1697" t="str">
        <f t="shared" si="15"/>
        <v>项目建筑规模</v>
      </c>
      <c r="AA33" s="1656">
        <f t="shared" si="3"/>
        <v>0.96153846153846156</v>
      </c>
      <c r="AB33" s="1656">
        <f t="shared" si="4"/>
        <v>0.96153846153846156</v>
      </c>
      <c r="AC33" s="1656">
        <f t="shared" si="5"/>
        <v>0.96153846153846156</v>
      </c>
    </row>
    <row r="34" spans="1:29" ht="15">
      <c r="A34" s="1699"/>
      <c r="B34" s="1623" t="s">
        <v>2039</v>
      </c>
      <c r="C34" s="1700" t="s">
        <v>3047</v>
      </c>
      <c r="D34" s="1639">
        <v>100</v>
      </c>
      <c r="E34" s="1700" t="s">
        <v>3047</v>
      </c>
      <c r="F34" s="1682">
        <f>SUMIF(105:105,E34,106:106)-SUMIF(105:105,C34,106:106)+100</f>
        <v>100</v>
      </c>
      <c r="G34" s="1700" t="s">
        <v>3047</v>
      </c>
      <c r="H34" s="1639">
        <f>SUMIF(105:105,G34,106:106)-SUMIF(105:105,C34,106:106)+100</f>
        <v>100</v>
      </c>
      <c r="I34" s="1700" t="s">
        <v>3047</v>
      </c>
      <c r="J34" s="1639">
        <f>SUMIF(105:105,I34,106:106)-SUMIF(105:105,C34,106:106)+100</f>
        <v>100</v>
      </c>
      <c r="K34" s="1628">
        <v>1</v>
      </c>
      <c r="L34" s="2916"/>
      <c r="M34" s="2912"/>
      <c r="N34" s="2912"/>
      <c r="O34" s="2912"/>
      <c r="P34" s="3605"/>
      <c r="Q34" s="1543" t="str">
        <f t="shared" si="11"/>
        <v>建筑结构</v>
      </c>
      <c r="R34" s="1653" t="s">
        <v>28</v>
      </c>
      <c r="S34" s="1654">
        <f t="shared" si="12"/>
        <v>100</v>
      </c>
      <c r="T34" s="1653" t="s">
        <v>28</v>
      </c>
      <c r="U34" s="1654">
        <f t="shared" si="13"/>
        <v>100</v>
      </c>
      <c r="V34" s="1653" t="s">
        <v>28</v>
      </c>
      <c r="W34" s="1654">
        <f t="shared" si="14"/>
        <v>100</v>
      </c>
      <c r="X34" s="1593"/>
      <c r="Y34" s="3597"/>
      <c r="Z34" s="1655" t="str">
        <f t="shared" si="15"/>
        <v>建筑结构</v>
      </c>
      <c r="AA34" s="1656">
        <f t="shared" si="3"/>
        <v>1</v>
      </c>
      <c r="AB34" s="1656">
        <f t="shared" si="4"/>
        <v>1</v>
      </c>
      <c r="AC34" s="1656">
        <f t="shared" si="5"/>
        <v>1</v>
      </c>
    </row>
    <row r="35" spans="1:29" ht="15">
      <c r="A35" s="1699"/>
      <c r="B35" s="1623" t="s">
        <v>2040</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628"/>
      <c r="L35" s="2916"/>
      <c r="M35" s="2912"/>
      <c r="N35" s="2912"/>
      <c r="O35" s="2912"/>
      <c r="P35" s="3605"/>
      <c r="Q35" s="1543" t="str">
        <f t="shared" si="11"/>
        <v>建筑品质</v>
      </c>
      <c r="R35" s="1653" t="s">
        <v>28</v>
      </c>
      <c r="S35" s="1654">
        <f t="shared" si="12"/>
        <v>100</v>
      </c>
      <c r="T35" s="1653" t="s">
        <v>28</v>
      </c>
      <c r="U35" s="1654">
        <f t="shared" si="13"/>
        <v>100</v>
      </c>
      <c r="V35" s="1653" t="s">
        <v>28</v>
      </c>
      <c r="W35" s="1654">
        <f t="shared" si="14"/>
        <v>100</v>
      </c>
      <c r="X35" s="1593"/>
      <c r="Y35" s="3597"/>
      <c r="Z35" s="1655" t="str">
        <f t="shared" si="15"/>
        <v>建筑品质</v>
      </c>
      <c r="AA35" s="1656">
        <f t="shared" si="3"/>
        <v>1</v>
      </c>
      <c r="AB35" s="1656">
        <f t="shared" si="4"/>
        <v>1</v>
      </c>
      <c r="AC35" s="1656">
        <f t="shared" si="5"/>
        <v>1</v>
      </c>
    </row>
    <row r="36" spans="1:29" ht="15">
      <c r="A36" s="1699"/>
      <c r="B36" s="1623" t="s">
        <v>2041</v>
      </c>
      <c r="C36" s="1683" t="s">
        <v>3051</v>
      </c>
      <c r="D36" s="1639">
        <v>100</v>
      </c>
      <c r="E36" s="1683" t="s">
        <v>3051</v>
      </c>
      <c r="F36" s="1682">
        <f>SUMIF(109:109,E36,110:110)-SUMIF(109:109,C36,110:110)+100</f>
        <v>100</v>
      </c>
      <c r="G36" s="1683" t="s">
        <v>3051</v>
      </c>
      <c r="H36" s="1639">
        <f>SUMIF(109:109,G36,110:110)-SUMIF(109:109,C36,110:110)+100</f>
        <v>100</v>
      </c>
      <c r="I36" s="1683" t="s">
        <v>3051</v>
      </c>
      <c r="J36" s="1639">
        <f>SUMIF(109:109,I36,110:110)-SUMIF(109:109,C36,110:110)+100</f>
        <v>100</v>
      </c>
      <c r="K36" s="1628">
        <v>2</v>
      </c>
      <c r="L36" s="2916"/>
      <c r="M36" s="2912"/>
      <c r="N36" s="2912"/>
      <c r="O36" s="2912"/>
      <c r="P36" s="3605"/>
      <c r="Q36" s="1543" t="str">
        <f t="shared" si="11"/>
        <v>公共部分装修</v>
      </c>
      <c r="R36" s="1653" t="s">
        <v>28</v>
      </c>
      <c r="S36" s="1654">
        <f t="shared" si="12"/>
        <v>100</v>
      </c>
      <c r="T36" s="1653" t="s">
        <v>28</v>
      </c>
      <c r="U36" s="1654">
        <f t="shared" si="13"/>
        <v>100</v>
      </c>
      <c r="V36" s="1653" t="s">
        <v>28</v>
      </c>
      <c r="W36" s="1654">
        <f t="shared" si="14"/>
        <v>100</v>
      </c>
      <c r="X36" s="1593"/>
      <c r="Y36" s="3597"/>
      <c r="Z36" s="1655" t="str">
        <f t="shared" si="15"/>
        <v>公共部分装修</v>
      </c>
      <c r="AA36" s="1656">
        <f t="shared" si="3"/>
        <v>1</v>
      </c>
      <c r="AB36" s="1656">
        <f t="shared" si="4"/>
        <v>1</v>
      </c>
      <c r="AC36" s="1656">
        <f t="shared" si="5"/>
        <v>1</v>
      </c>
    </row>
    <row r="37" spans="1:29" s="1612" customFormat="1" ht="15">
      <c r="A37" s="1702"/>
      <c r="B37" s="1623" t="s">
        <v>2042</v>
      </c>
      <c r="C37" s="1703">
        <f>'数据-取费表'!E20</f>
        <v>0.87</v>
      </c>
      <c r="D37" s="1625">
        <v>100</v>
      </c>
      <c r="E37" s="1703">
        <f>C37</f>
        <v>0.87</v>
      </c>
      <c r="F37" s="1627">
        <f>LOOKUP(E37,112:112,113:113)-LOOKUP(C37,112:112,113:113)+100</f>
        <v>100</v>
      </c>
      <c r="G37" s="1703">
        <f>C37</f>
        <v>0.87</v>
      </c>
      <c r="H37" s="1625">
        <f>LOOKUP(G37,112:112,113:113)-LOOKUP(C37,112:112,113:113)+100</f>
        <v>100</v>
      </c>
      <c r="I37" s="3327">
        <v>0.87</v>
      </c>
      <c r="J37" s="1625">
        <f>LOOKUP(I37,112:112,113:113)-LOOKUP(C37,112:112,113:113)+100</f>
        <v>100</v>
      </c>
      <c r="K37" s="1628">
        <v>1</v>
      </c>
      <c r="L37" s="2911"/>
      <c r="M37" s="2884"/>
      <c r="N37" s="2884"/>
      <c r="O37" s="2884"/>
      <c r="P37" s="3605"/>
      <c r="Q37" s="1562" t="str">
        <f t="shared" si="11"/>
        <v>成新度</v>
      </c>
      <c r="R37" s="1608" t="s">
        <v>28</v>
      </c>
      <c r="S37" s="1609">
        <f t="shared" si="12"/>
        <v>100</v>
      </c>
      <c r="T37" s="1608" t="s">
        <v>28</v>
      </c>
      <c r="U37" s="1609">
        <f t="shared" si="13"/>
        <v>100</v>
      </c>
      <c r="V37" s="1608" t="s">
        <v>28</v>
      </c>
      <c r="W37" s="1609">
        <f t="shared" si="14"/>
        <v>100</v>
      </c>
      <c r="X37" s="1610"/>
      <c r="Y37" s="3597"/>
      <c r="Z37" s="1621" t="str">
        <f t="shared" si="15"/>
        <v>成新度</v>
      </c>
      <c r="AA37" s="1611">
        <f t="shared" si="3"/>
        <v>1</v>
      </c>
      <c r="AB37" s="1611">
        <f t="shared" si="4"/>
        <v>1</v>
      </c>
      <c r="AC37" s="1611">
        <f t="shared" si="5"/>
        <v>1</v>
      </c>
    </row>
    <row r="38" spans="1:29" ht="15">
      <c r="A38" s="1699"/>
      <c r="B38" s="1623" t="s">
        <v>2043</v>
      </c>
      <c r="C38" s="1683" t="s">
        <v>3060</v>
      </c>
      <c r="D38" s="1639">
        <v>100</v>
      </c>
      <c r="E38" s="1683" t="s">
        <v>3060</v>
      </c>
      <c r="F38" s="1682">
        <f>SUMIF(114:114,E38,115:115)-SUMIF(114:114,C38,115:115)+100</f>
        <v>100</v>
      </c>
      <c r="G38" s="1683" t="s">
        <v>3060</v>
      </c>
      <c r="H38" s="1639">
        <f>SUMIF(114:114,G38,115:115)-SUMIF(114:114,C38,115:115)+100</f>
        <v>100</v>
      </c>
      <c r="I38" s="1683" t="s">
        <v>3060</v>
      </c>
      <c r="J38" s="1639">
        <f>SUMIF(114:114,I38,115:115)-SUMIF(114:114,C38,115:115)+100</f>
        <v>100</v>
      </c>
      <c r="K38" s="1628">
        <v>2</v>
      </c>
      <c r="L38" s="2916"/>
      <c r="M38" s="2912"/>
      <c r="N38" s="2912"/>
      <c r="O38" s="2912"/>
      <c r="P38" s="3605" t="s">
        <v>2037</v>
      </c>
      <c r="Q38" s="1543" t="str">
        <f t="shared" si="11"/>
        <v>物业管理</v>
      </c>
      <c r="R38" s="1653" t="s">
        <v>28</v>
      </c>
      <c r="S38" s="1654">
        <f t="shared" si="12"/>
        <v>100</v>
      </c>
      <c r="T38" s="1653" t="s">
        <v>28</v>
      </c>
      <c r="U38" s="1654">
        <f t="shared" si="13"/>
        <v>100</v>
      </c>
      <c r="V38" s="1653" t="s">
        <v>28</v>
      </c>
      <c r="W38" s="1654">
        <f t="shared" si="14"/>
        <v>100</v>
      </c>
      <c r="X38" s="1593"/>
      <c r="Y38" s="3597" t="s">
        <v>2037</v>
      </c>
      <c r="Z38" s="1655" t="str">
        <f t="shared" si="15"/>
        <v>物业管理</v>
      </c>
      <c r="AA38" s="1656">
        <f t="shared" si="3"/>
        <v>1</v>
      </c>
      <c r="AB38" s="1656">
        <f t="shared" si="4"/>
        <v>1</v>
      </c>
      <c r="AC38" s="1656">
        <f t="shared" si="5"/>
        <v>1</v>
      </c>
    </row>
    <row r="39" spans="1:29" ht="15">
      <c r="A39" s="1699"/>
      <c r="B39" s="1623" t="s">
        <v>2044</v>
      </c>
      <c r="C39" s="1683" t="s">
        <v>3042</v>
      </c>
      <c r="D39" s="1639">
        <v>100</v>
      </c>
      <c r="E39" s="1683" t="s">
        <v>3042</v>
      </c>
      <c r="F39" s="1682">
        <f>SUMIF(116:116,E39,117:117)-SUMIF(116:116,C39,117:117)+100</f>
        <v>100</v>
      </c>
      <c r="G39" s="1683" t="s">
        <v>3042</v>
      </c>
      <c r="H39" s="1639">
        <f>SUMIF(116:116,G39,117:117)-SUMIF(116:116,C39,117:117)+100</f>
        <v>100</v>
      </c>
      <c r="I39" s="1683" t="s">
        <v>3042</v>
      </c>
      <c r="J39" s="1639">
        <f>SUMIF(116:116,I39,117:117)-SUMIF(116:116,C39,117:117)+100</f>
        <v>100</v>
      </c>
      <c r="K39" s="1628">
        <v>3</v>
      </c>
      <c r="L39" s="2916"/>
      <c r="M39" s="2912"/>
      <c r="N39" s="2912"/>
      <c r="O39" s="2912"/>
      <c r="P39" s="3605"/>
      <c r="Q39" s="1543" t="str">
        <f t="shared" si="11"/>
        <v>市政基础设施</v>
      </c>
      <c r="R39" s="1653" t="s">
        <v>28</v>
      </c>
      <c r="S39" s="1654">
        <f t="shared" si="12"/>
        <v>100</v>
      </c>
      <c r="T39" s="1653" t="s">
        <v>28</v>
      </c>
      <c r="U39" s="1654">
        <f t="shared" si="13"/>
        <v>100</v>
      </c>
      <c r="V39" s="1653" t="s">
        <v>28</v>
      </c>
      <c r="W39" s="1654">
        <f t="shared" si="14"/>
        <v>100</v>
      </c>
      <c r="X39" s="1593"/>
      <c r="Y39" s="3597"/>
      <c r="Z39" s="1655" t="str">
        <f t="shared" si="15"/>
        <v>市政基础设施</v>
      </c>
      <c r="AA39" s="1656">
        <f t="shared" si="3"/>
        <v>1</v>
      </c>
      <c r="AB39" s="1656">
        <f t="shared" si="4"/>
        <v>1</v>
      </c>
      <c r="AC39" s="1656">
        <f t="shared" si="5"/>
        <v>1</v>
      </c>
    </row>
    <row r="40" spans="1:29" ht="15">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6"/>
      <c r="M40" s="2912"/>
      <c r="N40" s="2912"/>
      <c r="O40" s="2912"/>
      <c r="P40" s="3605"/>
      <c r="Q40" s="1543" t="str">
        <f t="shared" si="11"/>
        <v>房型</v>
      </c>
      <c r="R40" s="1653" t="s">
        <v>28</v>
      </c>
      <c r="S40" s="1654">
        <f t="shared" si="12"/>
        <v>100</v>
      </c>
      <c r="T40" s="1653" t="s">
        <v>28</v>
      </c>
      <c r="U40" s="1654">
        <f t="shared" si="13"/>
        <v>100</v>
      </c>
      <c r="V40" s="1653" t="s">
        <v>28</v>
      </c>
      <c r="W40" s="1654">
        <f t="shared" si="14"/>
        <v>100</v>
      </c>
      <c r="X40" s="1593"/>
      <c r="Y40" s="3597"/>
      <c r="Z40" s="1655" t="str">
        <f t="shared" si="15"/>
        <v>房型</v>
      </c>
      <c r="AA40" s="1656">
        <f t="shared" si="3"/>
        <v>1</v>
      </c>
      <c r="AB40" s="1656">
        <f t="shared" si="4"/>
        <v>1</v>
      </c>
      <c r="AC40" s="1656">
        <f t="shared" si="5"/>
        <v>1</v>
      </c>
    </row>
    <row r="41" spans="1:29" s="1698" customFormat="1" ht="28.5">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5"/>
      <c r="M41" s="1984"/>
      <c r="N41" s="1984"/>
      <c r="O41" s="1984"/>
      <c r="P41" s="3605"/>
      <c r="Q41" s="1693" t="str">
        <f t="shared" si="11"/>
        <v>单套/主力户型建筑面积</v>
      </c>
      <c r="R41" s="1694" t="s">
        <v>28</v>
      </c>
      <c r="S41" s="1695">
        <f t="shared" si="12"/>
        <v>100</v>
      </c>
      <c r="T41" s="1694" t="s">
        <v>28</v>
      </c>
      <c r="U41" s="1695">
        <f t="shared" si="13"/>
        <v>100</v>
      </c>
      <c r="V41" s="1694" t="s">
        <v>28</v>
      </c>
      <c r="W41" s="1695">
        <f t="shared" si="14"/>
        <v>100</v>
      </c>
      <c r="X41" s="1696"/>
      <c r="Y41" s="3597"/>
      <c r="Z41" s="1697" t="str">
        <f t="shared" si="15"/>
        <v>单套/主力户型建筑面积</v>
      </c>
      <c r="AA41" s="1656">
        <f t="shared" si="3"/>
        <v>1</v>
      </c>
      <c r="AB41" s="1656">
        <f t="shared" si="4"/>
        <v>1</v>
      </c>
      <c r="AC41" s="1656">
        <f t="shared" si="5"/>
        <v>1</v>
      </c>
    </row>
    <row r="42" spans="1:29" ht="15">
      <c r="A42" s="1699"/>
      <c r="B42" s="1623" t="s">
        <v>2047</v>
      </c>
      <c r="C42" s="1683" t="s">
        <v>3051</v>
      </c>
      <c r="D42" s="1639">
        <v>100</v>
      </c>
      <c r="E42" s="1683" t="s">
        <v>3054</v>
      </c>
      <c r="F42" s="1682">
        <f>SUMIF(122:122,E42,123:123)-SUMIF(122:122,C42,123:123)+100</f>
        <v>90</v>
      </c>
      <c r="G42" s="1683" t="s">
        <v>3054</v>
      </c>
      <c r="H42" s="1639">
        <f>SUMIF(122:122,G42,123:123)-SUMIF(122:122,C42,123:123)+100</f>
        <v>90</v>
      </c>
      <c r="I42" s="1683" t="s">
        <v>3051</v>
      </c>
      <c r="J42" s="1639">
        <f>SUMIF(122:122,I42,123:123)-SUMIF(122:122,C42,123:123)+100</f>
        <v>100</v>
      </c>
      <c r="K42" s="1628">
        <v>5</v>
      </c>
      <c r="L42" s="2916"/>
      <c r="M42" s="2912"/>
      <c r="N42" s="2912"/>
      <c r="O42" s="2912"/>
      <c r="P42" s="3605"/>
      <c r="Q42" s="1543" t="str">
        <f t="shared" si="11"/>
        <v>内部装修</v>
      </c>
      <c r="R42" s="1653" t="s">
        <v>28</v>
      </c>
      <c r="S42" s="1654">
        <f t="shared" si="12"/>
        <v>90</v>
      </c>
      <c r="T42" s="1653" t="s">
        <v>28</v>
      </c>
      <c r="U42" s="1654">
        <f t="shared" si="13"/>
        <v>90</v>
      </c>
      <c r="V42" s="1653" t="s">
        <v>28</v>
      </c>
      <c r="W42" s="1654">
        <f t="shared" si="14"/>
        <v>100</v>
      </c>
      <c r="X42" s="1593"/>
      <c r="Y42" s="3597"/>
      <c r="Z42" s="1655" t="str">
        <f t="shared" si="15"/>
        <v>内部装修</v>
      </c>
      <c r="AA42" s="1656">
        <f t="shared" si="3"/>
        <v>1.1111111111111112</v>
      </c>
      <c r="AB42" s="1656">
        <f t="shared" si="4"/>
        <v>1.1111111111111112</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2</v>
      </c>
      <c r="L43" s="2916"/>
      <c r="M43" s="2912"/>
      <c r="N43" s="2912"/>
      <c r="O43" s="2912"/>
      <c r="P43" s="3605"/>
      <c r="Q43" s="1543" t="str">
        <f t="shared" si="11"/>
        <v>内部装修维护情况</v>
      </c>
      <c r="R43" s="1653" t="s">
        <v>28</v>
      </c>
      <c r="S43" s="1654">
        <f t="shared" si="12"/>
        <v>100</v>
      </c>
      <c r="T43" s="1653" t="s">
        <v>28</v>
      </c>
      <c r="U43" s="1654">
        <f t="shared" si="13"/>
        <v>100</v>
      </c>
      <c r="V43" s="1653" t="s">
        <v>28</v>
      </c>
      <c r="W43" s="1654">
        <f t="shared" si="14"/>
        <v>100</v>
      </c>
      <c r="X43" s="1593"/>
      <c r="Y43" s="3597"/>
      <c r="Z43" s="1655" t="str">
        <f t="shared" si="15"/>
        <v>内部装修维护情况</v>
      </c>
      <c r="AA43" s="1656">
        <f t="shared" si="3"/>
        <v>1</v>
      </c>
      <c r="AB43" s="1656">
        <f t="shared" si="4"/>
        <v>1</v>
      </c>
      <c r="AC43" s="1656">
        <f t="shared" si="5"/>
        <v>1</v>
      </c>
    </row>
    <row r="44" spans="1:29" s="1612"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1"/>
      <c r="M44" s="2884"/>
      <c r="N44" s="2884"/>
      <c r="O44" s="2884"/>
      <c r="P44" s="3605"/>
      <c r="Q44" s="1562">
        <f t="shared" si="11"/>
        <v>111</v>
      </c>
      <c r="R44" s="1608" t="s">
        <v>28</v>
      </c>
      <c r="S44" s="1609">
        <f t="shared" si="12"/>
        <v>100</v>
      </c>
      <c r="T44" s="1608" t="s">
        <v>28</v>
      </c>
      <c r="U44" s="1609">
        <f t="shared" si="13"/>
        <v>100</v>
      </c>
      <c r="V44" s="1608" t="s">
        <v>28</v>
      </c>
      <c r="W44" s="1609">
        <f t="shared" si="14"/>
        <v>100</v>
      </c>
      <c r="X44" s="1610"/>
      <c r="Y44" s="3597"/>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05"/>
      <c r="Q45" s="1543">
        <f t="shared" si="11"/>
        <v>111</v>
      </c>
      <c r="R45" s="1653" t="s">
        <v>28</v>
      </c>
      <c r="S45" s="1654">
        <f t="shared" si="12"/>
        <v>100</v>
      </c>
      <c r="T45" s="1653" t="s">
        <v>28</v>
      </c>
      <c r="U45" s="1654">
        <f t="shared" si="13"/>
        <v>100</v>
      </c>
      <c r="V45" s="1653" t="s">
        <v>28</v>
      </c>
      <c r="W45" s="1654">
        <f t="shared" si="14"/>
        <v>100</v>
      </c>
      <c r="X45" s="1593"/>
      <c r="Y45" s="3597"/>
      <c r="Z45" s="1655">
        <f t="shared" si="15"/>
        <v>111</v>
      </c>
      <c r="AA45" s="1656">
        <f t="shared" si="3"/>
        <v>1</v>
      </c>
      <c r="AB45" s="1656">
        <f t="shared" si="4"/>
        <v>1</v>
      </c>
      <c r="AC45" s="1656">
        <f t="shared" si="5"/>
        <v>1</v>
      </c>
    </row>
    <row r="46" spans="1:29" ht="15.75"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06"/>
      <c r="Q46" s="1543">
        <f t="shared" si="11"/>
        <v>111</v>
      </c>
      <c r="R46" s="1653" t="s">
        <v>27</v>
      </c>
      <c r="S46" s="1654">
        <f t="shared" si="12"/>
        <v>100</v>
      </c>
      <c r="T46" s="1653" t="s">
        <v>27</v>
      </c>
      <c r="U46" s="1654">
        <f t="shared" si="13"/>
        <v>100</v>
      </c>
      <c r="V46" s="1653" t="s">
        <v>27</v>
      </c>
      <c r="W46" s="1654">
        <f t="shared" si="14"/>
        <v>100</v>
      </c>
      <c r="X46" s="1593"/>
      <c r="Y46" s="3598"/>
      <c r="Z46" s="1655">
        <f t="shared" si="15"/>
        <v>111</v>
      </c>
      <c r="AA46" s="1656">
        <f t="shared" si="3"/>
        <v>1</v>
      </c>
      <c r="AB46" s="1656">
        <f t="shared" si="4"/>
        <v>1</v>
      </c>
      <c r="AC46" s="1656">
        <f t="shared" si="5"/>
        <v>1</v>
      </c>
    </row>
    <row r="47" spans="1:29" ht="15">
      <c r="A47" s="1706" t="s">
        <v>2049</v>
      </c>
      <c r="B47" s="1707"/>
      <c r="C47" s="1708" t="s">
        <v>26</v>
      </c>
      <c r="D47" s="1709"/>
      <c r="E47" s="1710">
        <v>26000</v>
      </c>
      <c r="F47" s="1711"/>
      <c r="G47" s="1712">
        <v>26000</v>
      </c>
      <c r="H47" s="1713"/>
      <c r="I47" s="1710">
        <v>30050</v>
      </c>
      <c r="J47" s="1713"/>
      <c r="K47" s="1714"/>
      <c r="L47" s="2917"/>
      <c r="N47" s="2912"/>
      <c r="P47" s="3566" t="str">
        <f>A47</f>
        <v>成交单价（元/平方米）</v>
      </c>
      <c r="Q47" s="3566"/>
      <c r="R47" s="3599">
        <f>E47</f>
        <v>26000</v>
      </c>
      <c r="S47" s="3599"/>
      <c r="T47" s="3599">
        <f>G47</f>
        <v>26000</v>
      </c>
      <c r="U47" s="3599"/>
      <c r="V47" s="3599">
        <f>I47</f>
        <v>30050</v>
      </c>
      <c r="W47" s="3599"/>
      <c r="X47" s="1716"/>
      <c r="Y47" s="1717"/>
      <c r="Z47" s="1716"/>
      <c r="AA47" s="1716"/>
      <c r="AB47" s="1716"/>
      <c r="AC47" s="1716"/>
    </row>
    <row r="48" spans="1:29" ht="15.75" thickBot="1">
      <c r="A48" s="1718" t="s">
        <v>2050</v>
      </c>
      <c r="B48" s="1719"/>
      <c r="C48" s="1720">
        <f>R49</f>
        <v>27688</v>
      </c>
      <c r="D48" s="1721" t="s">
        <v>2503</v>
      </c>
      <c r="E48" s="1722">
        <f>R48</f>
        <v>27503</v>
      </c>
      <c r="F48" s="1723"/>
      <c r="G48" s="1720">
        <f>T48</f>
        <v>27233</v>
      </c>
      <c r="H48" s="1723"/>
      <c r="I48" s="1722">
        <f>V48</f>
        <v>28328</v>
      </c>
      <c r="J48" s="1723"/>
      <c r="K48" s="2426">
        <f>F48+H48+J48</f>
        <v>0</v>
      </c>
      <c r="L48" s="2917"/>
      <c r="P48" s="3566" t="str">
        <f>A48</f>
        <v>比较价值（元/平方米）</v>
      </c>
      <c r="Q48" s="3566"/>
      <c r="R48" s="3599">
        <f>IF(E1="售价",ROUND(PRODUCT(R47,AA7:AA46),0),ROUND(PRODUCT(R47,AA7:AA46),1))</f>
        <v>27503</v>
      </c>
      <c r="S48" s="3599"/>
      <c r="T48" s="3610">
        <f>IF(E1="售价",ROUND(PRODUCT(T47,AB7:AB46),0),ROUND(PRODUCT(T47,AB7:AB46),1))</f>
        <v>27233</v>
      </c>
      <c r="U48" s="3611"/>
      <c r="V48" s="3599">
        <f>IF(E1="售价",ROUND(PRODUCT(V47,AC7:AC46),0),ROUND(PRODUCT(V47,AC7:AC46),1))</f>
        <v>28328</v>
      </c>
      <c r="W48" s="3599"/>
      <c r="X48" s="1716"/>
      <c r="Y48" s="1716"/>
      <c r="Z48" s="1716"/>
      <c r="AA48" s="1716"/>
      <c r="AB48" s="1716"/>
      <c r="AC48" s="1716"/>
    </row>
    <row r="49" spans="1:29" ht="15.75" thickBot="1">
      <c r="A49" s="1724" t="s">
        <v>2051</v>
      </c>
      <c r="B49" s="1725"/>
      <c r="C49" s="1726">
        <f>R49</f>
        <v>27688</v>
      </c>
      <c r="D49" s="1727"/>
      <c r="E49" s="1727"/>
      <c r="F49" s="1727"/>
      <c r="G49" s="1727"/>
      <c r="H49" s="1727"/>
      <c r="I49" s="1727"/>
      <c r="J49" s="1727"/>
      <c r="K49" s="1728"/>
      <c r="L49" s="2917"/>
      <c r="P49" s="3600" t="str">
        <f>A49</f>
        <v>估价对象XX用房的比较价值（楼面单价，元/平方米）</v>
      </c>
      <c r="Q49" s="3601"/>
      <c r="R49" s="3602">
        <f>IF(E1="售价",ROUND(IF(D48="简单平均",AVERAGE(R48:V48),R48*F48+T48*H48+V48*J48),0),ROUND(IF(D48="简单平均",AVERAGE(R48:V48),R48*F48+T48*H48+V48*J48),1))</f>
        <v>27688</v>
      </c>
      <c r="S49" s="3602"/>
      <c r="T49" s="3602"/>
      <c r="U49" s="3602"/>
      <c r="V49" s="3602"/>
      <c r="W49" s="3602"/>
      <c r="X49" s="1716"/>
      <c r="Y49" s="1716"/>
      <c r="Z49" s="1716"/>
      <c r="AA49" s="1716"/>
      <c r="AB49" s="1716"/>
      <c r="AC49" s="1716"/>
    </row>
    <row r="50" spans="1:29">
      <c r="G50" s="2921"/>
    </row>
    <row r="52" spans="1:29" ht="13.5" customHeight="1">
      <c r="C52" s="383" t="s">
        <v>2052</v>
      </c>
      <c r="D52" s="1732"/>
      <c r="E52" s="1733">
        <f>IF(E47&lt;E48,E48/E47-1,E47/E48-1)</f>
        <v>5.7807692307692227E-2</v>
      </c>
      <c r="F52" s="1734" t="str">
        <f>IF(OR(E52&gt;=0.3,E52&lt;=-0.3),"超过30%","")</f>
        <v/>
      </c>
      <c r="G52" s="1733">
        <f>IF(G47&lt;G48,G48/G47-1,G47/G48-1)</f>
        <v>4.7423076923077012E-2</v>
      </c>
      <c r="H52" s="1734" t="str">
        <f>IF(OR(G52&gt;=0.3,G52&lt;=-0.3),"超过30%","")</f>
        <v/>
      </c>
      <c r="I52" s="1733">
        <f>IF(I47&lt;I48,I48/I47-1,I47/I48-1)</f>
        <v>6.078791301892128E-2</v>
      </c>
      <c r="J52" s="1734" t="str">
        <f>IF(OR(I52&gt;=0.3,I52&lt;=-0.3),"超过30%","")</f>
        <v/>
      </c>
    </row>
    <row r="53" spans="1:29" ht="13.5" customHeight="1">
      <c r="C53" s="383" t="s">
        <v>2053</v>
      </c>
      <c r="D53" s="1735"/>
      <c r="E53" s="1733">
        <f>IF(E48&lt;G48,G48/E48-1,E48/G48-1)</f>
        <v>9.914442037234128E-3</v>
      </c>
      <c r="F53" s="1734" t="str">
        <f>IF(OR(E53&gt;=0.2,E53&lt;=-0.2),"超过20%","")</f>
        <v/>
      </c>
      <c r="G53" s="1733">
        <f>IF(G48&lt;I48,I48/G48-1,G48/I48-1)</f>
        <v>4.0208570484338901E-2</v>
      </c>
      <c r="H53" s="1734" t="str">
        <f>IF(OR(G53&gt;=0.2,G53&lt;=-0.2),"超过20%","")</f>
        <v/>
      </c>
      <c r="I53" s="1733">
        <f>IF(I48&lt;E48,E48/I48-1,I48/E48-1)</f>
        <v>2.999672762971306E-2</v>
      </c>
      <c r="J53" s="1734" t="str">
        <f>IF(OR(I53&gt;=0.2,I53&lt;=-0.2),"超过20%","")</f>
        <v/>
      </c>
    </row>
    <row r="54" spans="1:29" s="1738" customFormat="1" ht="13.5" customHeight="1">
      <c r="C54" s="383" t="s">
        <v>2054</v>
      </c>
      <c r="D54" s="1735"/>
      <c r="E54" s="1733">
        <f>IF(E47&lt;G47,G47/E47-1,E47/G47-1)</f>
        <v>0</v>
      </c>
      <c r="F54" s="1734" t="str">
        <f>IF(OR(E54&gt;=0.3,E54&lt;=-0.3),"超过30%","")</f>
        <v/>
      </c>
      <c r="G54" s="1733">
        <f>IF(G47&lt;I47,I47/G47-1,G47/I47-1)</f>
        <v>0.15576923076923066</v>
      </c>
      <c r="H54" s="1734" t="str">
        <f>IF(OR(G54&gt;=0.3,G54&lt;=-0.3),"超过30%","")</f>
        <v/>
      </c>
      <c r="I54" s="1733">
        <f>IF(I47&lt;E47,E47/I47-1,I47/E47-1)</f>
        <v>0.15576923076923066</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2022-10</v>
      </c>
      <c r="D58" s="1750">
        <f>EDATE(C58,-1)</f>
        <v>44805</v>
      </c>
      <c r="E58" s="1750">
        <f t="shared" ref="E58:O58" si="16">EDATE(D58,-1)</f>
        <v>44774</v>
      </c>
      <c r="F58" s="1750">
        <f t="shared" si="16"/>
        <v>44743</v>
      </c>
      <c r="G58" s="1750">
        <f t="shared" si="16"/>
        <v>44713</v>
      </c>
      <c r="H58" s="1750">
        <f t="shared" si="16"/>
        <v>44682</v>
      </c>
      <c r="I58" s="1750">
        <f t="shared" si="16"/>
        <v>44652</v>
      </c>
      <c r="J58" s="1750">
        <f t="shared" si="16"/>
        <v>44621</v>
      </c>
      <c r="K58" s="1750">
        <f t="shared" si="16"/>
        <v>44593</v>
      </c>
      <c r="L58" s="1750">
        <f t="shared" si="16"/>
        <v>44562</v>
      </c>
      <c r="M58" s="1750">
        <f t="shared" si="16"/>
        <v>44531</v>
      </c>
      <c r="N58" s="1750">
        <f t="shared" si="16"/>
        <v>44501</v>
      </c>
      <c r="O58" s="1750">
        <f t="shared" si="16"/>
        <v>44470</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2"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办公</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98</v>
      </c>
      <c r="E77" s="1787">
        <f>D77-$K15</f>
        <v>96</v>
      </c>
      <c r="F77" s="1787">
        <f>E77-$K15</f>
        <v>94</v>
      </c>
      <c r="G77" s="1787">
        <f>F77-$K15</f>
        <v>92</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98</v>
      </c>
      <c r="E79" s="1787">
        <f>D79-$K17</f>
        <v>96</v>
      </c>
      <c r="F79" s="1787">
        <f>E79-$K17</f>
        <v>94</v>
      </c>
      <c r="G79" s="1787">
        <f>F79-$K17</f>
        <v>92</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98</v>
      </c>
      <c r="E81" s="1787">
        <f>D81-$K19</f>
        <v>96</v>
      </c>
      <c r="F81" s="1787">
        <f>E81-$K19</f>
        <v>94</v>
      </c>
      <c r="G81" s="1787">
        <f>F81-$K19</f>
        <v>92</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98</v>
      </c>
      <c r="E83" s="1787">
        <f>D83-$K21</f>
        <v>96</v>
      </c>
      <c r="F83" s="1787">
        <f>E83-$K21</f>
        <v>94</v>
      </c>
      <c r="G83" s="1787">
        <f>F83-$K21</f>
        <v>92</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98</v>
      </c>
      <c r="E85" s="1787">
        <f>D85-$K23</f>
        <v>96</v>
      </c>
      <c r="F85" s="1787">
        <f>E85-$K23</f>
        <v>94</v>
      </c>
      <c r="G85" s="1787">
        <f>F85-$K23</f>
        <v>92</v>
      </c>
      <c r="H85" s="1787"/>
      <c r="I85" s="1787"/>
      <c r="J85" s="1787"/>
      <c r="K85" s="1787"/>
      <c r="L85" s="1787"/>
      <c r="M85" s="1788"/>
      <c r="N85" s="1782"/>
      <c r="O85" s="1782"/>
      <c r="P85" s="1777"/>
      <c r="Q85" s="1746"/>
    </row>
    <row r="86" spans="1:17" s="1612" customFormat="1" ht="15.75" thickTop="1">
      <c r="A86" s="1814"/>
      <c r="B86" s="1783" t="s">
        <v>2082</v>
      </c>
      <c r="C86" s="3323"/>
      <c r="D86" s="3323"/>
      <c r="E86" s="3323"/>
      <c r="F86" s="468"/>
      <c r="G86" s="468"/>
      <c r="H86" s="468"/>
      <c r="I86" s="468"/>
      <c r="J86" s="468"/>
      <c r="K86" s="468"/>
      <c r="L86" s="468"/>
      <c r="M86" s="1815"/>
      <c r="N86" s="1767"/>
      <c r="O86" s="1767"/>
      <c r="P86" s="1777"/>
      <c r="Q86" s="1746"/>
    </row>
    <row r="87" spans="1:17" s="1612"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2"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2"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15.75" thickTop="1">
      <c r="A92" s="1778"/>
      <c r="B92" s="1783" t="str">
        <f>B28</f>
        <v>楼层</v>
      </c>
      <c r="C92" s="3323" t="s">
        <v>3043</v>
      </c>
      <c r="D92" s="3323" t="s">
        <v>3045</v>
      </c>
      <c r="E92" s="3323" t="s">
        <v>3046</v>
      </c>
      <c r="F92" s="468"/>
      <c r="G92" s="1505"/>
      <c r="H92" s="1505"/>
      <c r="I92" s="1505"/>
      <c r="J92" s="1505"/>
      <c r="K92" s="473"/>
      <c r="L92" s="473"/>
      <c r="M92" s="1818"/>
      <c r="N92" s="1776"/>
      <c r="O92" s="1776"/>
      <c r="P92" s="1777"/>
      <c r="Q92" s="1746"/>
    </row>
    <row r="93" spans="1:17" ht="15.75" thickBot="1">
      <c r="A93" s="1778"/>
      <c r="B93" s="1786"/>
      <c r="C93" s="1799">
        <v>100</v>
      </c>
      <c r="D93" s="1780">
        <f>C93-1</f>
        <v>99</v>
      </c>
      <c r="E93" s="1780">
        <f>D93-1</f>
        <v>98</v>
      </c>
      <c r="F93" s="1780"/>
      <c r="G93" s="1780"/>
      <c r="H93" s="1780"/>
      <c r="I93" s="1780"/>
      <c r="J93" s="1780"/>
      <c r="K93" s="1780"/>
      <c r="L93" s="1780"/>
      <c r="M93" s="1781"/>
      <c r="N93" s="1782"/>
      <c r="O93" s="1782"/>
      <c r="P93" s="1777"/>
      <c r="Q93" s="1746"/>
    </row>
    <row r="94" spans="1:17" ht="15.75" thickTop="1">
      <c r="A94" s="1778"/>
      <c r="B94" s="1783">
        <f>B29</f>
        <v>111</v>
      </c>
      <c r="C94" s="468"/>
      <c r="D94" s="468"/>
      <c r="E94" s="468"/>
      <c r="F94" s="468"/>
      <c r="G94" s="1505"/>
      <c r="H94" s="1505"/>
      <c r="I94" s="1505"/>
      <c r="J94" s="1505"/>
      <c r="K94" s="473"/>
      <c r="L94" s="473"/>
      <c r="M94" s="1818"/>
      <c r="N94" s="1776"/>
      <c r="O94" s="1776"/>
      <c r="P94" s="1777"/>
      <c r="Q94" s="1746"/>
    </row>
    <row r="95" spans="1:17" ht="15.75" thickBot="1">
      <c r="A95" s="1778"/>
      <c r="B95" s="1786"/>
      <c r="C95" s="1799"/>
      <c r="D95" s="1799"/>
      <c r="E95" s="1799"/>
      <c r="F95" s="1799"/>
      <c r="G95" s="1780"/>
      <c r="H95" s="1780"/>
      <c r="I95" s="1780"/>
      <c r="J95" s="1780"/>
      <c r="K95" s="1780"/>
      <c r="L95" s="1780"/>
      <c r="M95" s="1781"/>
      <c r="N95" s="1782"/>
      <c r="O95" s="1782"/>
      <c r="P95" s="1777"/>
      <c r="Q95" s="1746"/>
    </row>
    <row r="96" spans="1:17" ht="15.75" thickTop="1">
      <c r="A96" s="1778"/>
      <c r="B96" s="1783">
        <f>B30</f>
        <v>111</v>
      </c>
      <c r="C96" s="468"/>
      <c r="D96" s="468"/>
      <c r="E96" s="468"/>
      <c r="F96" s="468"/>
      <c r="G96" s="1505"/>
      <c r="H96" s="1505"/>
      <c r="I96" s="1505"/>
      <c r="J96" s="1505"/>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24" t="s">
        <v>3050</v>
      </c>
      <c r="D100" s="1774"/>
      <c r="E100" s="1774"/>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99</v>
      </c>
      <c r="E101" s="1787">
        <f t="shared" si="22"/>
        <v>98</v>
      </c>
      <c r="F101" s="1787">
        <f t="shared" si="22"/>
        <v>97</v>
      </c>
      <c r="G101" s="1787">
        <f t="shared" si="22"/>
        <v>96</v>
      </c>
      <c r="H101" s="1787">
        <f t="shared" si="22"/>
        <v>95</v>
      </c>
      <c r="I101" s="1787">
        <f t="shared" si="22"/>
        <v>94</v>
      </c>
      <c r="J101" s="1787">
        <f t="shared" si="22"/>
        <v>93</v>
      </c>
      <c r="K101" s="1787">
        <f t="shared" si="22"/>
        <v>92</v>
      </c>
      <c r="L101" s="1787">
        <f t="shared" si="22"/>
        <v>91</v>
      </c>
      <c r="M101" s="1787">
        <f t="shared" si="22"/>
        <v>90</v>
      </c>
      <c r="N101" s="1782"/>
      <c r="O101" s="1782"/>
      <c r="P101" s="1777"/>
      <c r="Q101" s="1746"/>
    </row>
    <row r="102" spans="1:17" ht="15.75" thickTop="1">
      <c r="A102" s="1778"/>
      <c r="B102" s="1783"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0</v>
      </c>
      <c r="D103" s="1826">
        <v>100</v>
      </c>
      <c r="E103" s="1826">
        <v>200</v>
      </c>
      <c r="F103" s="1826">
        <v>300</v>
      </c>
      <c r="G103" s="1826"/>
      <c r="H103" s="1826"/>
      <c r="I103" s="1826"/>
      <c r="J103" s="485"/>
      <c r="K103" s="485"/>
      <c r="L103" s="485"/>
      <c r="M103" s="1827"/>
      <c r="N103" s="1796"/>
      <c r="O103" s="1796"/>
      <c r="P103" s="1797"/>
      <c r="Q103" s="1798"/>
    </row>
    <row r="104" spans="1:17" s="1698" customFormat="1" ht="15.75" thickBot="1">
      <c r="A104" s="1794"/>
      <c r="B104" s="1786"/>
      <c r="C104" s="1799">
        <v>100</v>
      </c>
      <c r="D104" s="1780">
        <f>C104-2</f>
        <v>98</v>
      </c>
      <c r="E104" s="1780">
        <f t="shared" ref="E104:F104" si="24">D104-2</f>
        <v>96</v>
      </c>
      <c r="F104" s="1780">
        <f t="shared" si="24"/>
        <v>94</v>
      </c>
      <c r="G104" s="1780"/>
      <c r="H104" s="1780"/>
      <c r="I104" s="1780"/>
      <c r="J104" s="1780"/>
      <c r="K104" s="1780"/>
      <c r="L104" s="1780"/>
      <c r="M104" s="1780"/>
      <c r="N104" s="1782"/>
      <c r="O104" s="1782"/>
      <c r="P104" s="1797"/>
      <c r="Q104" s="1798"/>
    </row>
    <row r="105" spans="1:17" ht="15" thickTop="1">
      <c r="A105" s="1828"/>
      <c r="B105" s="1783" t="s">
        <v>2086</v>
      </c>
      <c r="C105" s="3323" t="s">
        <v>3048</v>
      </c>
      <c r="D105" s="468"/>
      <c r="E105" s="1505"/>
      <c r="F105" s="1505"/>
      <c r="G105" s="1505"/>
      <c r="H105" s="1505"/>
      <c r="I105" s="1505"/>
      <c r="J105" s="1505"/>
      <c r="K105" s="473"/>
      <c r="L105" s="473"/>
      <c r="M105" s="1818"/>
      <c r="N105" s="1776"/>
      <c r="O105" s="1776"/>
      <c r="P105" s="1777"/>
      <c r="Q105" s="1746"/>
    </row>
    <row r="106" spans="1:17" ht="15.75" thickBot="1">
      <c r="A106" s="1778"/>
      <c r="B106" s="1786"/>
      <c r="C106" s="1787">
        <v>100</v>
      </c>
      <c r="D106" s="1787">
        <f t="shared" ref="D106:M106" si="25">C106-$K34</f>
        <v>99</v>
      </c>
      <c r="E106" s="1787">
        <f t="shared" si="25"/>
        <v>98</v>
      </c>
      <c r="F106" s="1787">
        <f t="shared" si="25"/>
        <v>97</v>
      </c>
      <c r="G106" s="1787">
        <f t="shared" si="25"/>
        <v>96</v>
      </c>
      <c r="H106" s="1787">
        <f t="shared" si="25"/>
        <v>95</v>
      </c>
      <c r="I106" s="1787">
        <f t="shared" si="25"/>
        <v>94</v>
      </c>
      <c r="J106" s="1787">
        <f t="shared" si="25"/>
        <v>93</v>
      </c>
      <c r="K106" s="1787">
        <f t="shared" si="25"/>
        <v>92</v>
      </c>
      <c r="L106" s="1787">
        <f t="shared" si="25"/>
        <v>91</v>
      </c>
      <c r="M106" s="1787">
        <f t="shared" si="25"/>
        <v>90</v>
      </c>
      <c r="N106" s="1782"/>
      <c r="O106" s="1782"/>
      <c r="P106" s="1777"/>
      <c r="Q106" s="1746"/>
    </row>
    <row r="107" spans="1:17" ht="15" thickTop="1">
      <c r="A107" s="1828"/>
      <c r="B107" s="1783" t="s">
        <v>2087</v>
      </c>
      <c r="C107" s="1505"/>
      <c r="D107" s="1505"/>
      <c r="E107" s="1505"/>
      <c r="F107" s="1505"/>
      <c r="G107" s="1505"/>
      <c r="H107" s="1505"/>
      <c r="I107" s="1505"/>
      <c r="J107" s="1505"/>
      <c r="K107" s="473"/>
      <c r="L107" s="473"/>
      <c r="M107" s="1818"/>
      <c r="N107" s="1776"/>
      <c r="O107" s="1776"/>
      <c r="P107" s="1777"/>
      <c r="Q107" s="1746"/>
    </row>
    <row r="108" spans="1:17" ht="15.75" thickBot="1">
      <c r="A108" s="1778"/>
      <c r="B108" s="1786"/>
      <c r="C108" s="1787">
        <v>100</v>
      </c>
      <c r="D108" s="1787">
        <f t="shared" ref="D108:M108" si="26">C108-$K35</f>
        <v>100</v>
      </c>
      <c r="E108" s="1787">
        <f t="shared" si="26"/>
        <v>100</v>
      </c>
      <c r="F108" s="1787">
        <f t="shared" si="26"/>
        <v>100</v>
      </c>
      <c r="G108" s="1787">
        <f t="shared" si="26"/>
        <v>100</v>
      </c>
      <c r="H108" s="1787">
        <f t="shared" si="26"/>
        <v>100</v>
      </c>
      <c r="I108" s="1787">
        <f t="shared" si="26"/>
        <v>100</v>
      </c>
      <c r="J108" s="1787">
        <f t="shared" si="26"/>
        <v>100</v>
      </c>
      <c r="K108" s="1787">
        <f t="shared" si="26"/>
        <v>100</v>
      </c>
      <c r="L108" s="1787">
        <f t="shared" si="26"/>
        <v>100</v>
      </c>
      <c r="M108" s="1787">
        <f t="shared" si="26"/>
        <v>100</v>
      </c>
      <c r="N108" s="1782"/>
      <c r="O108" s="1782"/>
      <c r="P108" s="1777"/>
      <c r="Q108" s="1746"/>
    </row>
    <row r="109" spans="1:17" ht="15" thickTop="1">
      <c r="A109" s="1828"/>
      <c r="B109" s="1783" t="s">
        <v>2088</v>
      </c>
      <c r="C109" s="3323" t="s">
        <v>3052</v>
      </c>
      <c r="D109" s="468"/>
      <c r="E109" s="468"/>
      <c r="F109" s="1505"/>
      <c r="G109" s="1505"/>
      <c r="H109" s="1505"/>
      <c r="I109" s="1505"/>
      <c r="J109" s="1505"/>
      <c r="K109" s="473"/>
      <c r="L109" s="473"/>
      <c r="M109" s="1818"/>
      <c r="N109" s="1776"/>
      <c r="O109" s="1776"/>
      <c r="P109" s="1777"/>
      <c r="Q109" s="1746"/>
    </row>
    <row r="110" spans="1:17" ht="15.75" thickBot="1">
      <c r="A110" s="1778"/>
      <c r="B110" s="1786"/>
      <c r="C110" s="1787">
        <v>100</v>
      </c>
      <c r="D110" s="1787">
        <f t="shared" ref="D110:M110" si="27">C110-$K36</f>
        <v>98</v>
      </c>
      <c r="E110" s="1787">
        <f t="shared" si="27"/>
        <v>96</v>
      </c>
      <c r="F110" s="1787">
        <f t="shared" si="27"/>
        <v>94</v>
      </c>
      <c r="G110" s="1787">
        <f t="shared" si="27"/>
        <v>92</v>
      </c>
      <c r="H110" s="1787">
        <f t="shared" si="27"/>
        <v>90</v>
      </c>
      <c r="I110" s="1787">
        <f t="shared" si="27"/>
        <v>88</v>
      </c>
      <c r="J110" s="1787">
        <f t="shared" si="27"/>
        <v>86</v>
      </c>
      <c r="K110" s="1787">
        <f t="shared" si="27"/>
        <v>84</v>
      </c>
      <c r="L110" s="1787">
        <f t="shared" si="27"/>
        <v>82</v>
      </c>
      <c r="M110" s="1787">
        <f t="shared" si="27"/>
        <v>80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101</v>
      </c>
      <c r="E113" s="1787">
        <f>D113+$K37</f>
        <v>102</v>
      </c>
      <c r="F113" s="1787">
        <f>E113+$K37</f>
        <v>103</v>
      </c>
      <c r="G113" s="1787">
        <f>F113+$K37</f>
        <v>104</v>
      </c>
      <c r="H113" s="1787">
        <f>G113+$K37</f>
        <v>105</v>
      </c>
      <c r="I113" s="1816"/>
      <c r="J113" s="1832"/>
      <c r="K113" s="1832"/>
      <c r="L113" s="1832"/>
      <c r="M113" s="1833"/>
      <c r="N113" s="1796"/>
      <c r="O113" s="1796"/>
      <c r="P113" s="1797"/>
      <c r="Q113" s="1798"/>
    </row>
    <row r="114" spans="1:17" ht="15" thickTop="1">
      <c r="A114" s="1828"/>
      <c r="B114" s="1783" t="s">
        <v>2090</v>
      </c>
      <c r="C114" s="3323" t="s">
        <v>3061</v>
      </c>
      <c r="D114" s="3323" t="s">
        <v>3062</v>
      </c>
      <c r="E114" s="1505"/>
      <c r="F114" s="1505"/>
      <c r="G114" s="1505"/>
      <c r="H114" s="1505"/>
      <c r="I114" s="1505"/>
      <c r="J114" s="1505"/>
      <c r="K114" s="473"/>
      <c r="L114" s="473"/>
      <c r="M114" s="1818"/>
      <c r="N114" s="1776"/>
      <c r="O114" s="1776"/>
      <c r="P114" s="1777"/>
      <c r="Q114" s="1746"/>
    </row>
    <row r="115" spans="1:17" ht="15.75" thickBot="1">
      <c r="A115" s="1778"/>
      <c r="B115" s="1786"/>
      <c r="C115" s="1787">
        <v>100</v>
      </c>
      <c r="D115" s="1787">
        <f t="shared" ref="D115:M115" si="28">C115-$K38</f>
        <v>98</v>
      </c>
      <c r="E115" s="1787">
        <f t="shared" si="28"/>
        <v>96</v>
      </c>
      <c r="F115" s="1787">
        <f t="shared" si="28"/>
        <v>94</v>
      </c>
      <c r="G115" s="1787">
        <f t="shared" si="28"/>
        <v>92</v>
      </c>
      <c r="H115" s="1787">
        <f t="shared" si="28"/>
        <v>90</v>
      </c>
      <c r="I115" s="1787">
        <f t="shared" si="28"/>
        <v>88</v>
      </c>
      <c r="J115" s="1787">
        <f t="shared" si="28"/>
        <v>86</v>
      </c>
      <c r="K115" s="1787">
        <f t="shared" si="28"/>
        <v>84</v>
      </c>
      <c r="L115" s="1787">
        <f t="shared" si="28"/>
        <v>82</v>
      </c>
      <c r="M115" s="1787">
        <f t="shared" si="28"/>
        <v>80</v>
      </c>
      <c r="N115" s="1782"/>
      <c r="O115" s="1782"/>
      <c r="P115" s="1777"/>
      <c r="Q115" s="1746"/>
    </row>
    <row r="116" spans="1:17" ht="15" thickTop="1">
      <c r="A116" s="1828"/>
      <c r="B116" s="1783" t="s">
        <v>2091</v>
      </c>
      <c r="C116" s="468" t="s">
        <v>3042</v>
      </c>
      <c r="D116" s="468" t="s">
        <v>3056</v>
      </c>
      <c r="E116" s="468" t="s">
        <v>3057</v>
      </c>
      <c r="F116" s="468" t="s">
        <v>3058</v>
      </c>
      <c r="G116" s="468" t="s">
        <v>3059</v>
      </c>
      <c r="H116" s="1505"/>
      <c r="I116" s="1505"/>
      <c r="J116" s="1505"/>
      <c r="K116" s="473"/>
      <c r="L116" s="473"/>
      <c r="M116" s="1818"/>
      <c r="N116" s="1776"/>
      <c r="O116" s="1776"/>
      <c r="P116" s="1777"/>
      <c r="Q116" s="1746"/>
    </row>
    <row r="117" spans="1:17" ht="15.75" thickBot="1">
      <c r="A117" s="1778"/>
      <c r="B117" s="1786"/>
      <c r="C117" s="1787">
        <v>100</v>
      </c>
      <c r="D117" s="1787">
        <f>C117-$K39</f>
        <v>97</v>
      </c>
      <c r="E117" s="1787">
        <f>D117-$K39</f>
        <v>94</v>
      </c>
      <c r="F117" s="1787">
        <f>E117-$K39</f>
        <v>91</v>
      </c>
      <c r="G117" s="1787">
        <f>F117-$K39</f>
        <v>88</v>
      </c>
      <c r="H117" s="1787"/>
      <c r="I117" s="1787"/>
      <c r="J117" s="1787"/>
      <c r="K117" s="1787"/>
      <c r="L117" s="1787"/>
      <c r="M117" s="1788"/>
      <c r="N117" s="1782"/>
      <c r="O117" s="1782"/>
      <c r="P117" s="1777"/>
      <c r="Q117" s="1746"/>
    </row>
    <row r="118" spans="1:17" ht="15" thickTop="1">
      <c r="A118" s="1828"/>
      <c r="B118" s="1783" t="s">
        <v>2092</v>
      </c>
      <c r="C118" s="1505"/>
      <c r="D118" s="1505"/>
      <c r="E118" s="1505"/>
      <c r="F118" s="1505"/>
      <c r="G118" s="1505"/>
      <c r="H118" s="1505"/>
      <c r="I118" s="1505"/>
      <c r="J118" s="1505"/>
      <c r="K118" s="473"/>
      <c r="L118" s="473"/>
      <c r="M118" s="1818"/>
      <c r="N118" s="1776"/>
      <c r="O118" s="1776"/>
      <c r="P118" s="1777"/>
      <c r="Q118" s="1746"/>
    </row>
    <row r="119" spans="1:17" ht="15.75" thickBot="1">
      <c r="A119" s="1778"/>
      <c r="B119" s="1786"/>
      <c r="C119" s="1787">
        <v>100</v>
      </c>
      <c r="D119" s="1787">
        <f t="shared" ref="D119:M119" si="29">C119-$K40</f>
        <v>100</v>
      </c>
      <c r="E119" s="1787">
        <f t="shared" si="29"/>
        <v>100</v>
      </c>
      <c r="F119" s="1787">
        <f t="shared" si="29"/>
        <v>100</v>
      </c>
      <c r="G119" s="1787">
        <f t="shared" si="29"/>
        <v>100</v>
      </c>
      <c r="H119" s="1787">
        <f t="shared" si="29"/>
        <v>100</v>
      </c>
      <c r="I119" s="1787">
        <f t="shared" si="29"/>
        <v>100</v>
      </c>
      <c r="J119" s="1787">
        <f t="shared" si="29"/>
        <v>100</v>
      </c>
      <c r="K119" s="1787">
        <f t="shared" si="29"/>
        <v>100</v>
      </c>
      <c r="L119" s="1787">
        <f t="shared" si="29"/>
        <v>100</v>
      </c>
      <c r="M119" s="1787">
        <f t="shared" si="29"/>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23" t="s">
        <v>3052</v>
      </c>
      <c r="D122" s="3323" t="s">
        <v>3053</v>
      </c>
      <c r="E122" s="3323" t="s">
        <v>3055</v>
      </c>
      <c r="F122" s="1505"/>
      <c r="G122" s="1505"/>
      <c r="H122" s="1505"/>
      <c r="I122" s="1505"/>
      <c r="J122" s="1505"/>
      <c r="K122" s="473"/>
      <c r="L122" s="473"/>
      <c r="M122" s="1818"/>
      <c r="N122" s="1776"/>
      <c r="O122" s="1776"/>
      <c r="P122" s="1777"/>
      <c r="Q122" s="1746"/>
    </row>
    <row r="123" spans="1:17" ht="15.75" thickBot="1">
      <c r="A123" s="1778"/>
      <c r="B123" s="1786"/>
      <c r="C123" s="1787">
        <v>100</v>
      </c>
      <c r="D123" s="1787">
        <f t="shared" ref="D123:M123" si="30">C123-$K42</f>
        <v>95</v>
      </c>
      <c r="E123" s="1787">
        <f t="shared" si="30"/>
        <v>90</v>
      </c>
      <c r="F123" s="1787">
        <f t="shared" si="30"/>
        <v>85</v>
      </c>
      <c r="G123" s="1787">
        <f t="shared" si="30"/>
        <v>80</v>
      </c>
      <c r="H123" s="1787">
        <f t="shared" si="30"/>
        <v>75</v>
      </c>
      <c r="I123" s="1787">
        <f t="shared" si="30"/>
        <v>70</v>
      </c>
      <c r="J123" s="1787">
        <f t="shared" si="30"/>
        <v>65</v>
      </c>
      <c r="K123" s="1787">
        <f t="shared" si="30"/>
        <v>60</v>
      </c>
      <c r="L123" s="1787">
        <f t="shared" si="30"/>
        <v>55</v>
      </c>
      <c r="M123" s="1787">
        <f t="shared" si="30"/>
        <v>50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98</v>
      </c>
      <c r="E125" s="1787">
        <f>D125-$K43</f>
        <v>96</v>
      </c>
      <c r="F125" s="1787">
        <f>E125-$K43</f>
        <v>94</v>
      </c>
      <c r="G125" s="1787">
        <f>F125-$K43</f>
        <v>92</v>
      </c>
      <c r="H125" s="1787"/>
      <c r="I125" s="1787"/>
      <c r="J125" s="1787"/>
      <c r="K125" s="1787"/>
      <c r="L125" s="1787"/>
      <c r="M125" s="1788"/>
      <c r="N125" s="1782"/>
      <c r="O125" s="1782"/>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8"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5"/>
      <c r="H128" s="1505"/>
      <c r="I128" s="1505"/>
      <c r="J128" s="1505"/>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0"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7" t="s">
        <v>2110</v>
      </c>
      <c r="E144" s="1858">
        <v>102</v>
      </c>
      <c r="F144" s="1866">
        <v>100</v>
      </c>
      <c r="G144" s="1347"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1" t="s">
        <v>2112</v>
      </c>
      <c r="G145" s="1870"/>
      <c r="H145" s="1871"/>
      <c r="I145" s="1872" t="s">
        <v>2109</v>
      </c>
      <c r="J145" s="1873">
        <v>8</v>
      </c>
      <c r="K145" s="1874">
        <f>ROUND(100+(J145-J140)*K139*100,1)</f>
        <v>99.2</v>
      </c>
    </row>
    <row r="147" spans="2:11">
      <c r="B147" s="1500" t="s">
        <v>2113</v>
      </c>
    </row>
    <row r="148" spans="2:11">
      <c r="B148" s="1500"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52" t="s">
        <v>3094</v>
      </c>
      <c r="E1" s="1553" t="s">
        <v>1001</v>
      </c>
      <c r="F1" s="1554"/>
      <c r="G1" s="1555" t="e">
        <f>MATCH(C1,'数据-取费表'!A19:A19,0)+5</f>
        <v>#N/A</v>
      </c>
      <c r="H1" s="2901"/>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1651</v>
      </c>
      <c r="C2" s="1446" t="str">
        <f>'数据-取费表'!B3</f>
        <v>万元</v>
      </c>
      <c r="D2" s="884"/>
      <c r="E2" s="885"/>
      <c r="F2" s="885"/>
      <c r="G2" s="910"/>
      <c r="H2" s="886"/>
      <c r="I2" s="886"/>
      <c r="J2" s="886"/>
      <c r="K2" s="887"/>
      <c r="L2" s="886"/>
      <c r="M2" s="886"/>
    </row>
    <row r="3" spans="1:37" ht="18" customHeight="1" thickBot="1">
      <c r="A3" s="226" t="s">
        <v>1675</v>
      </c>
      <c r="B3" s="642">
        <f ca="1">ROUND(IF('数据-取费表'!B29="租赁期内按合同租金",(C40+L47+J29)/F43,(C40+L47)/F43),0)</f>
        <v>32509</v>
      </c>
      <c r="C3" s="1446" t="s">
        <v>1765</v>
      </c>
      <c r="D3" s="884"/>
      <c r="E3" s="885"/>
      <c r="F3" s="885"/>
      <c r="G3" s="910"/>
      <c r="H3" s="227" t="s">
        <v>1766</v>
      </c>
      <c r="I3" s="886"/>
      <c r="J3" s="886"/>
      <c r="K3" s="887"/>
      <c r="L3" s="886"/>
      <c r="M3" s="886"/>
    </row>
    <row r="4" spans="1:37" ht="18" customHeight="1">
      <c r="A4" s="228" t="s">
        <v>1767</v>
      </c>
      <c r="B4" s="229" t="s">
        <v>1768</v>
      </c>
      <c r="C4" s="229" t="s">
        <v>1769</v>
      </c>
      <c r="D4" s="229" t="s">
        <v>1770</v>
      </c>
      <c r="E4" s="230" t="s">
        <v>1771</v>
      </c>
      <c r="F4" s="231"/>
      <c r="G4" s="908"/>
      <c r="H4" s="228" t="s">
        <v>1767</v>
      </c>
      <c r="I4" s="229" t="s">
        <v>1768</v>
      </c>
      <c r="J4" s="229" t="s">
        <v>1769</v>
      </c>
      <c r="K4" s="229" t="s">
        <v>1770</v>
      </c>
      <c r="L4" s="230" t="s">
        <v>1771</v>
      </c>
      <c r="M4" s="231"/>
    </row>
    <row r="5" spans="1:37" ht="18" customHeight="1">
      <c r="A5" s="232">
        <v>1</v>
      </c>
      <c r="B5" s="233" t="s">
        <v>1772</v>
      </c>
      <c r="C5" s="234">
        <f ca="1">C6+C10+C12</f>
        <v>835269</v>
      </c>
      <c r="D5" s="1560" t="s">
        <v>2485</v>
      </c>
      <c r="E5" s="884"/>
      <c r="F5" s="1013"/>
      <c r="G5" s="908"/>
      <c r="H5" s="232">
        <v>1</v>
      </c>
      <c r="I5" s="233" t="s">
        <v>1772</v>
      </c>
      <c r="J5" s="234">
        <f ca="1">J6+J10+J12</f>
        <v>0</v>
      </c>
      <c r="K5" s="1447" t="s">
        <v>1773</v>
      </c>
      <c r="L5" s="884"/>
      <c r="M5" s="1013"/>
    </row>
    <row r="6" spans="1:37" ht="18" customHeight="1">
      <c r="A6" s="1014" t="s">
        <v>1774</v>
      </c>
      <c r="B6" s="1369" t="s">
        <v>1775</v>
      </c>
      <c r="C6" s="234">
        <f>ROUND(F6*F8*F7*(1-F9),0)</f>
        <v>834226</v>
      </c>
      <c r="D6" s="36" t="s">
        <v>2461</v>
      </c>
      <c r="E6" s="235" t="s">
        <v>1776</v>
      </c>
      <c r="F6" s="236">
        <f>'数据-取费表'!B30</f>
        <v>5</v>
      </c>
      <c r="G6" s="908"/>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507.9</v>
      </c>
      <c r="G7" s="908"/>
      <c r="H7" s="237"/>
      <c r="I7" s="238"/>
      <c r="J7" s="239"/>
      <c r="K7" s="240"/>
      <c r="L7" s="235" t="s">
        <v>1777</v>
      </c>
      <c r="M7" s="236">
        <f>IF('数据-取费表'!B42="",IF(D1="仅计算典型户型",'数据-取费表'!E5,'数据-取费表'!B5),'数据-取费表'!B42)</f>
        <v>507.9</v>
      </c>
    </row>
    <row r="8" spans="1:37" ht="18" customHeight="1">
      <c r="A8" s="1047"/>
      <c r="B8" s="238"/>
      <c r="C8" s="239"/>
      <c r="D8" s="240"/>
      <c r="E8" s="235" t="s">
        <v>1778</v>
      </c>
      <c r="F8" s="236">
        <f>'数据-取费表'!B43</f>
        <v>365</v>
      </c>
      <c r="G8" s="908"/>
      <c r="H8" s="237"/>
      <c r="I8" s="238"/>
      <c r="J8" s="239"/>
      <c r="K8" s="240"/>
      <c r="L8" s="235" t="s">
        <v>1779</v>
      </c>
      <c r="M8" s="236">
        <f>'数据-取费表'!B43</f>
        <v>365</v>
      </c>
    </row>
    <row r="9" spans="1:37" ht="18" customHeight="1">
      <c r="A9" s="1047"/>
      <c r="B9" s="238"/>
      <c r="C9" s="239"/>
      <c r="D9" s="244"/>
      <c r="E9" s="235" t="s">
        <v>1780</v>
      </c>
      <c r="F9" s="245">
        <f>'数据-取费表'!B33</f>
        <v>0.1</v>
      </c>
      <c r="G9" s="908"/>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1043</v>
      </c>
      <c r="D10" s="1449" t="s">
        <v>2466</v>
      </c>
      <c r="E10" s="246" t="s">
        <v>1783</v>
      </c>
      <c r="F10" s="1450" t="s">
        <v>1784</v>
      </c>
      <c r="G10" s="908"/>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09"/>
      <c r="H11" s="241"/>
      <c r="I11" s="1451" t="s">
        <v>1787</v>
      </c>
      <c r="J11" s="1019"/>
      <c r="K11" s="240"/>
      <c r="L11" s="246" t="s">
        <v>1786</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1788</v>
      </c>
      <c r="B12" s="1452" t="s">
        <v>1789</v>
      </c>
      <c r="C12" s="1025"/>
      <c r="D12" s="1453"/>
      <c r="E12" s="1031"/>
      <c r="F12" s="1026"/>
      <c r="G12" s="908"/>
      <c r="H12" s="1024" t="s">
        <v>1788</v>
      </c>
      <c r="I12" s="1452" t="s">
        <v>1789</v>
      </c>
      <c r="J12" s="1025"/>
      <c r="K12" s="1041"/>
      <c r="L12" s="1031"/>
      <c r="M12" s="1042"/>
    </row>
    <row r="13" spans="1:37" s="257" customFormat="1" ht="18" customHeight="1" thickTop="1">
      <c r="A13" s="1020">
        <v>2</v>
      </c>
      <c r="B13" s="1021" t="s">
        <v>1790</v>
      </c>
      <c r="C13" s="243">
        <f ca="1">ROUND(C29*F13,0)</f>
        <v>2548655</v>
      </c>
      <c r="D13" s="1022" t="s">
        <v>1791</v>
      </c>
      <c r="E13" s="1022" t="s">
        <v>1792</v>
      </c>
      <c r="F13" s="1023">
        <f>'数据-取费表'!E20</f>
        <v>0.87</v>
      </c>
      <c r="G13" s="909"/>
      <c r="H13" s="1020">
        <v>2</v>
      </c>
      <c r="I13" s="1021" t="s">
        <v>1790</v>
      </c>
      <c r="J13" s="1016">
        <f ca="1">ROUND(J14*J15,0)</f>
        <v>0</v>
      </c>
      <c r="K13" s="1027" t="s">
        <v>1791</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2031600</v>
      </c>
      <c r="D14" s="1255" t="s">
        <v>1795</v>
      </c>
      <c r="E14" s="1256"/>
      <c r="F14" s="756"/>
      <c r="G14" s="909"/>
      <c r="H14" s="253" t="s">
        <v>1774</v>
      </c>
      <c r="I14" s="235" t="s">
        <v>1796</v>
      </c>
      <c r="J14" s="13">
        <f ca="1">C29</f>
        <v>2929489</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60948</v>
      </c>
      <c r="D15" s="255" t="s">
        <v>1799</v>
      </c>
      <c r="E15" s="255" t="s">
        <v>1800</v>
      </c>
      <c r="F15" s="256">
        <f>'数据-取费表'!E21</f>
        <v>0.03</v>
      </c>
      <c r="G15" s="908"/>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09"/>
      <c r="H16" s="1020" t="s">
        <v>14</v>
      </c>
      <c r="I16" s="1021" t="s">
        <v>1805</v>
      </c>
      <c r="J16" s="243">
        <f ca="1">ROUND(J17+J22+J23+J24,0)</f>
        <v>43942</v>
      </c>
      <c r="K16" s="1027" t="s">
        <v>1806</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101580</v>
      </c>
      <c r="D17" s="235" t="s">
        <v>1809</v>
      </c>
      <c r="E17" s="235" t="s">
        <v>1810</v>
      </c>
      <c r="F17" s="15">
        <f>'数据-取费表'!E23</f>
        <v>200</v>
      </c>
      <c r="G17" s="909"/>
      <c r="H17" s="253" t="s">
        <v>1811</v>
      </c>
      <c r="I17" s="235" t="s">
        <v>1812</v>
      </c>
      <c r="J17" s="2741">
        <f>ROUND(IF(AND(项目基本情况!B7="自然人",项目基本情况!B6="北京市"),J6*M17/(1+'数据-取费表'!F30),J18+J19+J20),0)</f>
        <v>0</v>
      </c>
      <c r="K17" s="1255" t="s">
        <v>1813</v>
      </c>
      <c r="L17" s="1258" t="s">
        <v>1814</v>
      </c>
      <c r="M17" s="2740">
        <f>IF(项目基本情况!B7="企业","——",IF('数据-取费表'!B10="住宅",IF(M6*M7*M8/12/(1+'数据-取费表'!F30)&gt;100000,4%,2.5%),IF(M6*M7*M8/12/(1+'数据-取费表'!F30)&gt;100000,12%,7%)))</f>
        <v>7.0000000000000007E-2</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30474</v>
      </c>
      <c r="D18" s="235" t="s">
        <v>1799</v>
      </c>
      <c r="E18" s="235" t="s">
        <v>1800</v>
      </c>
      <c r="F18" s="258">
        <f>'数据-取费表'!E24</f>
        <v>1.4999999999999999E-2</v>
      </c>
      <c r="G18" s="908"/>
      <c r="H18" s="253" t="s">
        <v>1817</v>
      </c>
      <c r="I18" s="235" t="s">
        <v>1818</v>
      </c>
      <c r="J18" s="13" t="str">
        <f>IF(项目基本情况!B7="自然人","——",ROUND(J6*M18/(1+'数据-取费表'!F30),0))</f>
        <v>——</v>
      </c>
      <c r="K18" s="1258" t="s">
        <v>2487</v>
      </c>
      <c r="L18" s="235" t="s">
        <v>1800</v>
      </c>
      <c r="M18" s="258">
        <f>'数据-取费表'!E29</f>
        <v>5.6000000000000001E-2</v>
      </c>
    </row>
    <row r="19" spans="1:37" s="257" customFormat="1" ht="18" customHeight="1">
      <c r="A19" s="253" t="s">
        <v>1811</v>
      </c>
      <c r="B19" s="235" t="s">
        <v>1819</v>
      </c>
      <c r="C19" s="13">
        <f>SUM(C14:C18)</f>
        <v>2224602</v>
      </c>
      <c r="D19" s="33" t="s">
        <v>1820</v>
      </c>
      <c r="E19" s="1260"/>
      <c r="F19" s="15"/>
      <c r="G19" s="909"/>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44492</v>
      </c>
      <c r="D20" s="259" t="s">
        <v>1824</v>
      </c>
      <c r="E20" s="235" t="s">
        <v>1825</v>
      </c>
      <c r="F20" s="258">
        <f>'数据-取费表'!E25</f>
        <v>0.02</v>
      </c>
      <c r="G20" s="909"/>
      <c r="H20" s="253" t="s">
        <v>1803</v>
      </c>
      <c r="I20" s="36" t="s">
        <v>1826</v>
      </c>
      <c r="J20" s="14" t="str">
        <f>IF(项目基本情况!B7="自然人","——",ROUND(M20*M21,0))</f>
        <v>——</v>
      </c>
      <c r="K20" s="261" t="s">
        <v>1827</v>
      </c>
      <c r="L20" s="235" t="s">
        <v>1828</v>
      </c>
      <c r="M20" s="262">
        <f>'数据-取费表'!E40</f>
        <v>0</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8"/>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8"/>
      <c r="H22" s="253" t="s">
        <v>1801</v>
      </c>
      <c r="I22" s="235" t="s">
        <v>1836</v>
      </c>
      <c r="J22" s="13">
        <f ca="1">ROUND(J14*M22,0)</f>
        <v>43942</v>
      </c>
      <c r="K22" s="1258"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94167</v>
      </c>
      <c r="D23" s="1359" t="str">
        <f>IF(F23&lt;=1,"(建造成本+管理费用)×利率×(建设周期÷2)","(建造成本+管理费用)×((1+利率)^(建设周期÷2)-1)")</f>
        <v>(建造成本+管理费用)×((1+利率)^(建设周期÷2)-1)</v>
      </c>
      <c r="E23" s="235" t="s">
        <v>1839</v>
      </c>
      <c r="F23" s="262">
        <f>'数据-取费表'!B22</f>
        <v>2</v>
      </c>
      <c r="G23" s="908"/>
      <c r="H23" s="253" t="s">
        <v>1829</v>
      </c>
      <c r="I23" s="235" t="s">
        <v>1840</v>
      </c>
      <c r="J23" s="13">
        <f ca="1">ROUND(J13*M23,0)</f>
        <v>0</v>
      </c>
      <c r="K23" s="1258"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4.1499999999999995E-2</v>
      </c>
      <c r="G24" s="909"/>
      <c r="H24" s="1030" t="s">
        <v>1834</v>
      </c>
      <c r="I24" s="1031" t="s">
        <v>1823</v>
      </c>
      <c r="J24" s="1032">
        <f ca="1">ROUND(J5*M24,0)</f>
        <v>0</v>
      </c>
      <c r="K24" s="1033" t="s">
        <v>1846</v>
      </c>
      <c r="L24" s="1031" t="s">
        <v>1842</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60"/>
      <c r="F25" s="15"/>
      <c r="G25" s="909"/>
      <c r="H25" s="1020" t="s">
        <v>22</v>
      </c>
      <c r="I25" s="1035" t="s">
        <v>1850</v>
      </c>
      <c r="J25" s="243">
        <f ca="1">J5-J16</f>
        <v>-43942</v>
      </c>
      <c r="K25" s="1036" t="s">
        <v>1851</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340364</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30" t="s">
        <v>1867</v>
      </c>
      <c r="B29" s="1031" t="s">
        <v>1868</v>
      </c>
      <c r="C29" s="1032">
        <f ca="1">ROUND((C19+C20+C23+C26)/(1-F21-C24-C27-C28),0)</f>
        <v>2929489</v>
      </c>
      <c r="D29" s="1033"/>
      <c r="E29" s="1031"/>
      <c r="F29" s="1034"/>
      <c r="G29" s="651"/>
      <c r="H29" s="271" t="s">
        <v>24</v>
      </c>
      <c r="I29" s="272" t="s">
        <v>1869</v>
      </c>
      <c r="J29" s="273">
        <f ca="1">ROUND(J26/(1+F40)^F41,0)</f>
        <v>0</v>
      </c>
      <c r="K29" s="274" t="s">
        <v>1870</v>
      </c>
      <c r="L29" s="275"/>
      <c r="M29" s="276">
        <f>IF(D1="仅计算典型户型",'数据-取费表'!E5,'数据-取费表'!B5)</f>
        <v>507.9</v>
      </c>
    </row>
    <row r="30" spans="1:37" ht="18" customHeight="1" thickTop="1">
      <c r="A30" s="1020" t="s">
        <v>14</v>
      </c>
      <c r="B30" s="1021" t="s">
        <v>1871</v>
      </c>
      <c r="C30" s="243">
        <f ca="1">ROUND(C31+C36+C37+C38,0)</f>
        <v>111733</v>
      </c>
      <c r="D30" s="1027" t="s">
        <v>1872</v>
      </c>
      <c r="E30" s="1028"/>
      <c r="F30" s="1029"/>
      <c r="G30" s="651"/>
      <c r="H30" s="888"/>
      <c r="I30" s="889"/>
      <c r="J30" s="890"/>
      <c r="K30" s="891"/>
      <c r="L30" s="892"/>
      <c r="M30" s="893"/>
    </row>
    <row r="31" spans="1:37" ht="18" customHeight="1">
      <c r="A31" s="253" t="s">
        <v>1774</v>
      </c>
      <c r="B31" s="235" t="s">
        <v>1812</v>
      </c>
      <c r="C31" s="2741">
        <f>ROUND(IF(AND(项目基本情况!B7="自然人",项目基本情况!B6="北京市"),C6*F31/(1+'数据-取费表'!F30),C32+C33+C34),0)</f>
        <v>55615</v>
      </c>
      <c r="D31" s="1255" t="s">
        <v>1873</v>
      </c>
      <c r="E31" s="1258" t="s">
        <v>1874</v>
      </c>
      <c r="F31" s="2740">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1793</v>
      </c>
      <c r="B32" s="235" t="s">
        <v>1875</v>
      </c>
      <c r="C32" s="13" t="str">
        <f>IF(项目基本情况!B7="自然人","——",ROUND(C6*F32/(1+'数据-取费表'!F30),0))</f>
        <v>——</v>
      </c>
      <c r="D32" s="1258" t="s">
        <v>2486</v>
      </c>
      <c r="E32" s="235" t="s">
        <v>1825</v>
      </c>
      <c r="F32" s="267">
        <f>'数据-取费表'!E29</f>
        <v>5.6000000000000001E-2</v>
      </c>
      <c r="G32" s="651"/>
      <c r="H32" s="894"/>
      <c r="I32" s="895"/>
      <c r="J32" s="896"/>
      <c r="K32" s="897"/>
      <c r="L32" s="898"/>
      <c r="M32" s="899"/>
    </row>
    <row r="33" spans="1:18" ht="18" customHeight="1">
      <c r="A33" s="253" t="s">
        <v>1797</v>
      </c>
      <c r="B33" s="235" t="s">
        <v>1821</v>
      </c>
      <c r="C33" s="13" t="str">
        <f>IF(项目基本情况!B7="自然人","——",IF(D33="按租金收入计税",ROUND(C6*F33/(1+'数据-取费表'!F30),0),IF(D33="按房产原值计税",ROUND(C29*F33*0.7,0),'数据-取费表'!B44)))</f>
        <v>——</v>
      </c>
      <c r="D33" s="1363" t="s">
        <v>2644</v>
      </c>
      <c r="E33" s="235" t="s">
        <v>1800</v>
      </c>
      <c r="F33" s="258">
        <f>IF(D33="按票据","——",IF(D33="按租金收入计税",'数据-取费表'!E39,'数据-取费表'!E38))</f>
        <v>0.12</v>
      </c>
      <c r="G33" s="651"/>
      <c r="H33" s="900"/>
      <c r="I33" s="278" t="s">
        <v>1877</v>
      </c>
      <c r="J33" s="279"/>
      <c r="K33" s="901"/>
      <c r="L33" s="900"/>
      <c r="M33" s="900"/>
    </row>
    <row r="34" spans="1:18" ht="18" customHeight="1">
      <c r="A34" s="1014" t="s">
        <v>1803</v>
      </c>
      <c r="B34" s="36" t="s">
        <v>1826</v>
      </c>
      <c r="C34" s="14" t="str">
        <f>IF(项目基本情况!B7="自然人","——",ROUND(F34*F35,0))</f>
        <v>——</v>
      </c>
      <c r="D34" s="261" t="s">
        <v>1827</v>
      </c>
      <c r="E34" s="235" t="s">
        <v>1828</v>
      </c>
      <c r="F34" s="262">
        <f>'数据-取费表'!E40</f>
        <v>0</v>
      </c>
      <c r="G34" s="651"/>
      <c r="H34" s="888"/>
      <c r="I34" s="280" t="s">
        <v>1878</v>
      </c>
      <c r="J34" s="281">
        <f ca="1">ROUND(C13*J35,0)</f>
        <v>178406</v>
      </c>
      <c r="K34" s="902"/>
      <c r="L34" s="903"/>
      <c r="M34" s="903"/>
    </row>
    <row r="35" spans="1:18" ht="24.6" customHeight="1">
      <c r="A35" s="1018"/>
      <c r="B35" s="244"/>
      <c r="C35" s="17"/>
      <c r="D35" s="264"/>
      <c r="E35" s="235" t="s">
        <v>1833</v>
      </c>
      <c r="F35" s="236">
        <f>IF(D1="仅计算典型户型",'数据-取费表'!E6,'数据-取费表'!B6)</f>
        <v>0</v>
      </c>
      <c r="G35" s="651" t="s">
        <v>2574</v>
      </c>
      <c r="H35" s="888"/>
      <c r="I35" s="282" t="s">
        <v>1879</v>
      </c>
      <c r="J35" s="283">
        <f>'数据-取费表'!B18</f>
        <v>7.0000000000000007E-2</v>
      </c>
      <c r="K35" s="901"/>
      <c r="L35" s="900"/>
      <c r="M35" s="900"/>
    </row>
    <row r="36" spans="1:18" ht="18" customHeight="1">
      <c r="A36" s="1017" t="s">
        <v>1781</v>
      </c>
      <c r="B36" s="235" t="s">
        <v>1880</v>
      </c>
      <c r="C36" s="13">
        <f ca="1">ROUND(C29*F36,0)</f>
        <v>43942</v>
      </c>
      <c r="D36" s="1258" t="s">
        <v>1881</v>
      </c>
      <c r="E36" s="235" t="s">
        <v>1825</v>
      </c>
      <c r="F36" s="265">
        <f>'数据-取费表'!B45</f>
        <v>1.4999999999999999E-2</v>
      </c>
      <c r="G36" s="651"/>
      <c r="H36" s="900"/>
      <c r="I36" s="284" t="s">
        <v>1882</v>
      </c>
      <c r="J36" s="285"/>
      <c r="K36" s="904"/>
      <c r="L36" s="900"/>
      <c r="M36" s="900"/>
    </row>
    <row r="37" spans="1:18" ht="18" customHeight="1">
      <c r="A37" s="253" t="s">
        <v>1829</v>
      </c>
      <c r="B37" s="235" t="s">
        <v>1840</v>
      </c>
      <c r="C37" s="13">
        <f ca="1">ROUND(C13*F37,0)</f>
        <v>3823</v>
      </c>
      <c r="D37" s="1258" t="s">
        <v>1841</v>
      </c>
      <c r="E37" s="235" t="s">
        <v>1842</v>
      </c>
      <c r="F37" s="266">
        <f>'数据-取费表'!B46</f>
        <v>1.5E-3</v>
      </c>
      <c r="G37" s="651"/>
      <c r="H37" s="900"/>
      <c r="I37" s="132" t="s">
        <v>1883</v>
      </c>
      <c r="J37" s="286"/>
      <c r="K37" s="904"/>
      <c r="L37" s="900"/>
      <c r="M37" s="900"/>
    </row>
    <row r="38" spans="1:18" ht="18" customHeight="1" thickBot="1">
      <c r="A38" s="1030" t="s">
        <v>1834</v>
      </c>
      <c r="B38" s="1031" t="s">
        <v>1823</v>
      </c>
      <c r="C38" s="1032">
        <f ca="1">ROUND(C5*F38,0)</f>
        <v>8353</v>
      </c>
      <c r="D38" s="1033" t="s">
        <v>1846</v>
      </c>
      <c r="E38" s="1031" t="s">
        <v>1842</v>
      </c>
      <c r="F38" s="1026">
        <f>'数据-取费表'!B47</f>
        <v>0.01</v>
      </c>
      <c r="G38" s="651"/>
      <c r="H38" s="900"/>
      <c r="I38" s="280" t="s">
        <v>1884</v>
      </c>
      <c r="J38" s="136">
        <f ca="1">ROUND(J34/C39,3)</f>
        <v>0.247</v>
      </c>
      <c r="K38" s="905"/>
      <c r="L38" s="900"/>
      <c r="M38" s="900"/>
    </row>
    <row r="39" spans="1:18" ht="18" customHeight="1" thickTop="1">
      <c r="A39" s="1020" t="s">
        <v>22</v>
      </c>
      <c r="B39" s="1035" t="s">
        <v>1885</v>
      </c>
      <c r="C39" s="243">
        <f ca="1">C5-C30</f>
        <v>723536</v>
      </c>
      <c r="D39" s="1036" t="s">
        <v>1886</v>
      </c>
      <c r="E39" s="1037"/>
      <c r="F39" s="1038"/>
      <c r="G39" s="651"/>
      <c r="H39" s="900"/>
      <c r="I39" s="280" t="s">
        <v>1887</v>
      </c>
      <c r="J39" s="136">
        <f ca="1">1-J38</f>
        <v>0.753</v>
      </c>
      <c r="K39" s="905"/>
      <c r="L39" s="900"/>
      <c r="M39" s="900"/>
    </row>
    <row r="40" spans="1:18" s="651" customFormat="1" ht="18" customHeight="1">
      <c r="A40" s="232" t="s">
        <v>23</v>
      </c>
      <c r="B40" s="233" t="s">
        <v>1888</v>
      </c>
      <c r="C40" s="234">
        <f ca="1">ROUND(C39*(1-((1+F42)/(1+F40))^F41)/(F40-F42),0)</f>
        <v>16511187</v>
      </c>
      <c r="D40" s="261" t="s">
        <v>1856</v>
      </c>
      <c r="E40" s="235" t="s">
        <v>1857</v>
      </c>
      <c r="F40" s="245">
        <f>'数据-取费表'!B16</f>
        <v>5.5E-2</v>
      </c>
      <c r="H40" s="906"/>
      <c r="I40" s="132" t="s">
        <v>1889</v>
      </c>
      <c r="J40" s="133"/>
      <c r="K40" s="905"/>
      <c r="L40" s="906"/>
      <c r="M40" s="906"/>
      <c r="Q40" s="655"/>
    </row>
    <row r="41" spans="1:18" s="651" customFormat="1" ht="18" customHeight="1">
      <c r="A41" s="237"/>
      <c r="B41" s="238"/>
      <c r="C41" s="239"/>
      <c r="D41" s="269" t="s">
        <v>1890</v>
      </c>
      <c r="E41" s="1231" t="s">
        <v>2469</v>
      </c>
      <c r="F41" s="270">
        <f>IF('数据-取费表'!B29="租赁期内按合同租金",'数据-取费表'!B35,IF(E41="收益年期(n)",'数据-取费表'!B34,'数据-取费表'!B13))</f>
        <v>40</v>
      </c>
      <c r="H41" s="907"/>
      <c r="I41" s="135" t="s">
        <v>1762</v>
      </c>
      <c r="J41" s="136">
        <f ca="1">ROUND(C13/C40,3)</f>
        <v>0.154</v>
      </c>
      <c r="K41" s="904"/>
      <c r="L41" s="907"/>
      <c r="M41" s="907"/>
      <c r="Q41" s="655"/>
    </row>
    <row r="42" spans="1:18" s="651" customFormat="1" ht="18" customHeight="1">
      <c r="A42" s="241"/>
      <c r="B42" s="242"/>
      <c r="C42" s="243"/>
      <c r="D42" s="264"/>
      <c r="E42" s="235" t="s">
        <v>1866</v>
      </c>
      <c r="F42" s="245">
        <f>'数据-取费表'!B32</f>
        <v>2.5000000000000001E-2</v>
      </c>
      <c r="H42" s="907"/>
      <c r="I42" s="135" t="s">
        <v>1763</v>
      </c>
      <c r="J42" s="137">
        <f ca="1">1-J41</f>
        <v>0.84599999999999997</v>
      </c>
      <c r="K42" s="904"/>
      <c r="L42" s="907"/>
      <c r="M42" s="907"/>
      <c r="Q42" s="655"/>
    </row>
    <row r="43" spans="1:18" s="651" customFormat="1" ht="18" customHeight="1" thickBot="1">
      <c r="A43" s="271" t="s">
        <v>24</v>
      </c>
      <c r="B43" s="272" t="s">
        <v>1891</v>
      </c>
      <c r="C43" s="273">
        <f ca="1">ROUND(C40/F43,0)</f>
        <v>32509</v>
      </c>
      <c r="D43" s="274" t="s">
        <v>1892</v>
      </c>
      <c r="E43" s="275" t="s">
        <v>1893</v>
      </c>
      <c r="F43" s="276">
        <f>IF(D1="仅计算典型户型",'数据-取费表'!E5,'数据-取费表'!B5)</f>
        <v>507.9</v>
      </c>
      <c r="G43" s="653"/>
      <c r="H43" s="907"/>
      <c r="I43" s="907"/>
      <c r="J43" s="907"/>
      <c r="K43" s="904"/>
      <c r="L43" s="907"/>
      <c r="M43" s="907"/>
      <c r="O43" s="998" t="s">
        <v>1894</v>
      </c>
      <c r="P43" s="999"/>
      <c r="Q43" s="995"/>
      <c r="R43" s="999"/>
    </row>
    <row r="44" spans="1:18" s="651" customFormat="1" ht="18" customHeight="1" thickBot="1">
      <c r="A44" s="648"/>
      <c r="B44" s="648"/>
      <c r="C44" s="650"/>
      <c r="D44" s="648"/>
      <c r="E44" s="648"/>
      <c r="F44" s="648"/>
      <c r="G44" s="653"/>
      <c r="K44" s="652"/>
      <c r="O44" s="1000" t="s">
        <v>1895</v>
      </c>
      <c r="P44" s="1001" t="s">
        <v>1896</v>
      </c>
      <c r="Q44" s="1002" t="s">
        <v>1897</v>
      </c>
      <c r="R44" s="1003" t="s">
        <v>1898</v>
      </c>
    </row>
    <row r="45" spans="1:18" s="651" customFormat="1" ht="18" customHeight="1" thickBot="1">
      <c r="A45" s="648"/>
      <c r="B45" s="648"/>
      <c r="C45" s="650"/>
      <c r="D45" s="648"/>
      <c r="E45" s="648"/>
      <c r="F45" s="648"/>
      <c r="G45" s="654"/>
      <c r="K45" s="652"/>
      <c r="O45" s="1004" t="s">
        <v>767</v>
      </c>
      <c r="P45" s="1005" t="s">
        <v>1899</v>
      </c>
      <c r="Q45" s="1006">
        <f ca="1">C40+J29</f>
        <v>16511187</v>
      </c>
      <c r="R45" s="1007" t="s">
        <v>1900</v>
      </c>
    </row>
    <row r="46" spans="1:18" s="651" customFormat="1" ht="18" customHeight="1" thickBot="1">
      <c r="A46" s="648"/>
      <c r="D46" s="648"/>
      <c r="E46" s="648"/>
      <c r="F46" s="648"/>
      <c r="K46" s="652"/>
      <c r="O46" s="1004" t="s">
        <v>768</v>
      </c>
      <c r="P46" s="1005" t="s">
        <v>1901</v>
      </c>
      <c r="Q46" s="1006" t="str">
        <f>J61</f>
        <v>0</v>
      </c>
      <c r="R46" s="1007" t="s">
        <v>1902</v>
      </c>
    </row>
    <row r="47" spans="1:18" s="651" customFormat="1" ht="21.75" thickBot="1">
      <c r="A47" s="1454" t="s">
        <v>1903</v>
      </c>
      <c r="C47" s="949">
        <f ca="1">IF(C2="元",C69-C40,ROUND((C69-C40)/10000,0))</f>
        <v>-1728</v>
      </c>
      <c r="D47" s="1455" t="str">
        <f>C2</f>
        <v>万元</v>
      </c>
      <c r="E47" s="648"/>
      <c r="F47" s="648"/>
      <c r="I47" s="1456" t="s">
        <v>1904</v>
      </c>
      <c r="J47" s="980"/>
      <c r="K47" s="981"/>
      <c r="L47" s="994" t="str">
        <f>IF(M48="住宅",0,IF(L49&gt;J52,L61,J61))</f>
        <v>0</v>
      </c>
      <c r="O47" s="1008" t="s">
        <v>769</v>
      </c>
      <c r="P47" s="1005" t="s">
        <v>1905</v>
      </c>
      <c r="Q47" s="1006">
        <f ca="1">C29</f>
        <v>2929489</v>
      </c>
      <c r="R47" s="1007" t="s">
        <v>1900</v>
      </c>
    </row>
    <row r="48" spans="1:18" s="651" customFormat="1" ht="15.75" thickBot="1">
      <c r="A48" s="228" t="s">
        <v>1906</v>
      </c>
      <c r="B48" s="229" t="s">
        <v>1907</v>
      </c>
      <c r="C48" s="229" t="s">
        <v>1908</v>
      </c>
      <c r="D48" s="229" t="s">
        <v>1909</v>
      </c>
      <c r="E48" s="943" t="s">
        <v>1910</v>
      </c>
      <c r="F48" s="944"/>
      <c r="I48" s="1457" t="s">
        <v>1911</v>
      </c>
      <c r="J48" s="1458" t="s">
        <v>3047</v>
      </c>
      <c r="K48" s="1459" t="s">
        <v>1912</v>
      </c>
      <c r="L48" s="982">
        <f>'数据-取费表'!B11</f>
        <v>50</v>
      </c>
      <c r="M48" s="995" t="str">
        <f>IF('数据-取费表'!B10="住宅","住宅","非住宅")</f>
        <v>非住宅</v>
      </c>
      <c r="O48" s="1008" t="s">
        <v>770</v>
      </c>
      <c r="P48" s="1005" t="s">
        <v>1913</v>
      </c>
      <c r="Q48" s="1009" t="e">
        <f>J59</f>
        <v>#VALUE!</v>
      </c>
      <c r="R48" s="1007"/>
    </row>
    <row r="49" spans="1:18" s="651" customFormat="1" ht="15.75" thickBot="1">
      <c r="A49" s="1055" t="s">
        <v>781</v>
      </c>
      <c r="B49" s="233" t="s">
        <v>1914</v>
      </c>
      <c r="C49" s="1056">
        <f ca="1">C50+C54+C56</f>
        <v>0</v>
      </c>
      <c r="D49" s="1057"/>
      <c r="E49" s="44"/>
      <c r="F49" s="15"/>
      <c r="I49" s="1460" t="s">
        <v>1915</v>
      </c>
      <c r="J49" s="1461" t="s">
        <v>3065</v>
      </c>
      <c r="K49" s="1462" t="s">
        <v>1916</v>
      </c>
      <c r="L49" s="820">
        <f>'数据-取费表'!B13</f>
        <v>40</v>
      </c>
      <c r="O49" s="1008" t="s">
        <v>771</v>
      </c>
      <c r="P49" s="1005" t="s">
        <v>1917</v>
      </c>
      <c r="Q49" s="1009">
        <f>J53</f>
        <v>7.4999999999999997E-2</v>
      </c>
      <c r="R49" s="1007"/>
    </row>
    <row r="50" spans="1:18" s="651" customFormat="1" ht="15.75" thickBot="1">
      <c r="A50" s="260" t="s">
        <v>1774</v>
      </c>
      <c r="B50" s="1369" t="s">
        <v>1918</v>
      </c>
      <c r="C50" s="234">
        <f>ROUND(F50*F52*F51*(1-F53),0)</f>
        <v>0</v>
      </c>
      <c r="D50" s="42" t="s">
        <v>2462</v>
      </c>
      <c r="E50" s="1463" t="s">
        <v>1919</v>
      </c>
      <c r="F50" s="945"/>
      <c r="I50" s="1460" t="s">
        <v>1920</v>
      </c>
      <c r="J50" s="820">
        <f>'数据-取费表'!B27</f>
        <v>2014</v>
      </c>
      <c r="K50" s="1464" t="s">
        <v>1921</v>
      </c>
      <c r="L50" s="983"/>
      <c r="O50" s="1008" t="s">
        <v>772</v>
      </c>
      <c r="P50" s="1005" t="s">
        <v>1922</v>
      </c>
      <c r="Q50" s="1006">
        <f>J54</f>
        <v>40</v>
      </c>
      <c r="R50" s="1007" t="s">
        <v>1923</v>
      </c>
    </row>
    <row r="51" spans="1:18" s="651" customFormat="1" ht="15.75" thickBot="1">
      <c r="A51" s="237"/>
      <c r="B51" s="238"/>
      <c r="C51" s="239"/>
      <c r="D51" s="240"/>
      <c r="E51" s="255" t="s">
        <v>1777</v>
      </c>
      <c r="F51" s="942">
        <f>F7</f>
        <v>507.9</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1651</v>
      </c>
      <c r="R51" s="1007" t="s">
        <v>774</v>
      </c>
    </row>
    <row r="52" spans="1:18" s="651" customFormat="1" ht="16.5" thickBot="1">
      <c r="A52" s="237"/>
      <c r="B52" s="238"/>
      <c r="C52" s="239"/>
      <c r="D52" s="240"/>
      <c r="E52" s="235" t="s">
        <v>1779</v>
      </c>
      <c r="F52" s="236">
        <f>F8</f>
        <v>365</v>
      </c>
      <c r="I52" s="1465" t="s">
        <v>1926</v>
      </c>
      <c r="J52" s="985">
        <f>IF(J50="",J51,J50+J51-YEAR('数据-取费表'!B2))</f>
        <v>52</v>
      </c>
      <c r="K52" s="1466" t="s">
        <v>1927</v>
      </c>
      <c r="L52" s="986">
        <f ca="1">ROUND(-PV('数据-取费表'!B15,J52,(C40-C13*J35)),0)</f>
        <v>300818355</v>
      </c>
      <c r="O52" s="998" t="s">
        <v>1928</v>
      </c>
      <c r="P52" s="999"/>
      <c r="Q52" s="995"/>
      <c r="R52" s="999"/>
    </row>
    <row r="53" spans="1:18" s="651" customFormat="1" ht="15.75" thickBot="1">
      <c r="A53" s="241"/>
      <c r="B53" s="242"/>
      <c r="C53" s="243"/>
      <c r="D53" s="244"/>
      <c r="E53" s="235" t="s">
        <v>1780</v>
      </c>
      <c r="F53" s="993"/>
      <c r="I53" s="1467" t="s">
        <v>1929</v>
      </c>
      <c r="J53" s="987">
        <v>7.4999999999999997E-2</v>
      </c>
      <c r="K53" s="1467" t="s">
        <v>1930</v>
      </c>
      <c r="L53" s="987"/>
      <c r="O53" s="1000" t="s">
        <v>1895</v>
      </c>
      <c r="P53" s="1001" t="s">
        <v>1896</v>
      </c>
      <c r="Q53" s="1002" t="s">
        <v>1897</v>
      </c>
      <c r="R53" s="1003" t="s">
        <v>1898</v>
      </c>
    </row>
    <row r="54" spans="1:18" s="651" customFormat="1" ht="29.25" customHeight="1" thickBot="1">
      <c r="A54" s="1014" t="s">
        <v>1781</v>
      </c>
      <c r="B54" s="1448" t="s">
        <v>1782</v>
      </c>
      <c r="C54" s="1015">
        <f ca="1">ROUND(IF(F54="押一",C50/12*F11,IF(F54="押二",C50/12*2*F11,IF(F54="押三",C50/12*3*F11,C55*F11))),0)</f>
        <v>0</v>
      </c>
      <c r="D54" s="1449" t="s">
        <v>2467</v>
      </c>
      <c r="E54" s="246" t="s">
        <v>1783</v>
      </c>
      <c r="F54" s="1450"/>
      <c r="I54" s="1556" t="s">
        <v>2470</v>
      </c>
      <c r="J54" s="988">
        <f>IF(M48="住宅",IF(E1="——",MAX(J52,L49),MAX(J52,L49-'数据-取费表'!B26)),IF(E1="——",MIN(J52,L49),MIN(J52,L49-'数据-取费表'!B26)))</f>
        <v>40</v>
      </c>
      <c r="K54" s="3612" t="s">
        <v>2460</v>
      </c>
      <c r="L54" s="3613"/>
      <c r="O54" s="1004" t="s">
        <v>767</v>
      </c>
      <c r="P54" s="1005" t="s">
        <v>1899</v>
      </c>
      <c r="Q54" s="1006">
        <f ca="1">C40+J29</f>
        <v>16511187</v>
      </c>
      <c r="R54" s="1007" t="s">
        <v>1900</v>
      </c>
    </row>
    <row r="55" spans="1:18" s="651" customFormat="1" ht="20.25" thickBot="1">
      <c r="A55" s="1014"/>
      <c r="B55" s="1468" t="s">
        <v>1787</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1"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1" customFormat="1" ht="44.25" thickTop="1" thickBot="1">
      <c r="A57" s="1020">
        <v>2</v>
      </c>
      <c r="B57" s="1021" t="s">
        <v>1790</v>
      </c>
      <c r="C57" s="1079">
        <f ca="1">C13</f>
        <v>2548655</v>
      </c>
      <c r="D57" s="940"/>
      <c r="E57" s="941"/>
      <c r="F57" s="948"/>
      <c r="I57" s="1474" t="s">
        <v>1936</v>
      </c>
      <c r="J57" s="992" t="s">
        <v>3085</v>
      </c>
      <c r="K57" s="1460" t="s">
        <v>1937</v>
      </c>
      <c r="L57" s="820" t="str">
        <f>IF(L49&lt;J52,"——",L49-J52)</f>
        <v>——</v>
      </c>
      <c r="O57" s="1008" t="s">
        <v>770</v>
      </c>
      <c r="P57" s="1005" t="s">
        <v>1938</v>
      </c>
      <c r="Q57" s="1009">
        <f>L53</f>
        <v>0</v>
      </c>
      <c r="R57" s="1007"/>
    </row>
    <row r="58" spans="1:18" s="651" customFormat="1" ht="29.25" thickBot="1">
      <c r="A58" s="947"/>
      <c r="B58" s="235" t="s">
        <v>1868</v>
      </c>
      <c r="C58" s="104">
        <f ca="1">C29</f>
        <v>2929489</v>
      </c>
      <c r="D58" s="940"/>
      <c r="E58" s="941"/>
      <c r="F58" s="948"/>
      <c r="I58" s="1475" t="s">
        <v>1939</v>
      </c>
      <c r="J58" s="991" t="str">
        <f>IF(OR(M48="住宅",J52&lt;L49,J57="是"),"——",J52-L49)</f>
        <v>——</v>
      </c>
      <c r="K58" s="1460" t="s">
        <v>1940</v>
      </c>
      <c r="L58" s="820" t="str">
        <f>IF(L49&lt;J52,"——",IF(L56="比较法",L50,IF(L56="基准地价",L51,L52)))</f>
        <v>——</v>
      </c>
      <c r="O58" s="1008" t="s">
        <v>771</v>
      </c>
      <c r="P58" s="1005" t="s">
        <v>1941</v>
      </c>
      <c r="Q58" s="1006" t="e">
        <f>L59</f>
        <v>#DIV/0!</v>
      </c>
      <c r="R58" s="1007" t="s">
        <v>1942</v>
      </c>
    </row>
    <row r="59" spans="1:18" s="651" customFormat="1" ht="29.25" thickBot="1">
      <c r="A59" s="248" t="s">
        <v>14</v>
      </c>
      <c r="B59" s="249" t="s">
        <v>1871</v>
      </c>
      <c r="C59" s="250">
        <f ca="1">ROUND(C60+C65+C66+C67,0)</f>
        <v>47765</v>
      </c>
      <c r="D59" s="12" t="s">
        <v>1872</v>
      </c>
      <c r="E59" s="1260"/>
      <c r="F59" s="15"/>
      <c r="I59" s="1475" t="s">
        <v>1943</v>
      </c>
      <c r="J59" s="1246" t="e">
        <f>IF(J56&lt;0.4,0.4,J56)</f>
        <v>#VALUE!</v>
      </c>
      <c r="K59" s="1466" t="s">
        <v>1944</v>
      </c>
      <c r="L59" s="820" t="e">
        <f>ROUND(POWER(1+L53,L48-L49)*(POWER(1+L53,L49)-1)/(POWER(1+L53,L48)-1),4)</f>
        <v>#DIV/0!</v>
      </c>
      <c r="O59" s="1008" t="s">
        <v>772</v>
      </c>
      <c r="P59" s="1005" t="str">
        <f>K60</f>
        <v>建筑物剩余耐用年限下的土地年期修正系数Kn</v>
      </c>
      <c r="Q59" s="1006" t="e">
        <f>L60</f>
        <v>#DIV/0!</v>
      </c>
      <c r="R59" s="1007" t="s">
        <v>1945</v>
      </c>
    </row>
    <row r="60" spans="1:18" s="651" customFormat="1" ht="29.25" thickBot="1">
      <c r="A60" s="253" t="s">
        <v>15</v>
      </c>
      <c r="B60" s="235" t="s">
        <v>1812</v>
      </c>
      <c r="C60" s="2741">
        <f>ROUND(IF(AND(项目基本情况!B7="自然人",项目基本情况!B6="北京市"),C50*F60/(1+'数据-取费表'!F30),C61+C62+C63),0)</f>
        <v>0</v>
      </c>
      <c r="D60" s="1255" t="s">
        <v>1873</v>
      </c>
      <c r="E60" s="1258" t="s">
        <v>1874</v>
      </c>
      <c r="F60" s="2740">
        <f>IF(项目基本情况!B7="企业","——",IF('数据-取费表'!B10="住宅",IF(F50*F51*F52/12/(1+'数据-取费表'!F30)&gt;100000,4%,2.5%),IF(F50*F51*F52/12/(1+'数据-取费表'!F30)&gt;100000,12%,7%)))</f>
        <v>7.0000000000000007E-2</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1651</v>
      </c>
      <c r="R60" s="1007" t="s">
        <v>774</v>
      </c>
    </row>
    <row r="61" spans="1:18" s="651"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0" t="str">
        <f>IF(OR(M48="住宅",J52&lt;L49,J57="是"),"0",ROUND(J60/(1+J53)^J54,0))</f>
        <v>0</v>
      </c>
      <c r="K61" s="1477" t="s">
        <v>1948</v>
      </c>
      <c r="L61" s="990">
        <f>IF(OR(M48="住宅",L49&lt;J52),0,ROUND(L58*(L59/L60-1),0))</f>
        <v>0</v>
      </c>
      <c r="O61" s="998" t="s">
        <v>1949</v>
      </c>
      <c r="P61" s="999"/>
      <c r="Q61" s="995"/>
      <c r="R61" s="999"/>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1"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16511187</v>
      </c>
      <c r="R63" s="1007" t="s">
        <v>1900</v>
      </c>
    </row>
    <row r="64" spans="1:18" s="651"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1" customFormat="1" ht="23.25" thickBot="1">
      <c r="A65" s="253" t="s">
        <v>19</v>
      </c>
      <c r="B65" s="235" t="s">
        <v>1880</v>
      </c>
      <c r="C65" s="13">
        <f ca="1">ROUND(C58*F65,0)</f>
        <v>43942</v>
      </c>
      <c r="D65" s="1258" t="s">
        <v>1881</v>
      </c>
      <c r="E65" s="235" t="s">
        <v>1825</v>
      </c>
      <c r="F65" s="265">
        <f t="shared" si="0"/>
        <v>1.4999999999999999E-2</v>
      </c>
      <c r="I65" s="1478" t="s">
        <v>1961</v>
      </c>
      <c r="J65" s="1250">
        <v>50</v>
      </c>
      <c r="K65" s="1250">
        <v>35</v>
      </c>
      <c r="L65" s="1250">
        <v>60</v>
      </c>
      <c r="M65" s="1249">
        <v>0</v>
      </c>
      <c r="O65" s="1008" t="s">
        <v>769</v>
      </c>
      <c r="P65" s="1005" t="s">
        <v>1935</v>
      </c>
      <c r="Q65" s="1010">
        <f ca="1">L52</f>
        <v>300818355</v>
      </c>
      <c r="R65" s="1011" t="s">
        <v>1962</v>
      </c>
    </row>
    <row r="66" spans="1:18" s="651" customFormat="1" ht="20.25" thickBot="1">
      <c r="A66" s="253" t="s">
        <v>20</v>
      </c>
      <c r="B66" s="235" t="s">
        <v>1840</v>
      </c>
      <c r="C66" s="13">
        <f ca="1">ROUND(C57*F66,0)</f>
        <v>3823</v>
      </c>
      <c r="D66" s="1258" t="s">
        <v>1841</v>
      </c>
      <c r="E66" s="235" t="s">
        <v>1842</v>
      </c>
      <c r="F66" s="266">
        <f t="shared" si="0"/>
        <v>1.5E-3</v>
      </c>
      <c r="I66" s="1478" t="s">
        <v>1963</v>
      </c>
      <c r="J66" s="1250">
        <v>40</v>
      </c>
      <c r="K66" s="1250">
        <v>30</v>
      </c>
      <c r="L66" s="1250">
        <v>50</v>
      </c>
      <c r="M66" s="1248">
        <v>0.02</v>
      </c>
      <c r="O66" s="1008" t="s">
        <v>770</v>
      </c>
      <c r="P66" s="1012" t="s">
        <v>1964</v>
      </c>
      <c r="Q66" s="1006">
        <f ca="1">ROUND(Q67-Q68*Q69,0)</f>
        <v>545130</v>
      </c>
      <c r="R66" s="1007"/>
    </row>
    <row r="67" spans="1:18" s="651" customFormat="1" ht="15.75" thickBot="1">
      <c r="A67" s="253" t="s">
        <v>21</v>
      </c>
      <c r="B67" s="235" t="s">
        <v>1823</v>
      </c>
      <c r="C67" s="13">
        <f ca="1">ROUND(C49*F67,0)</f>
        <v>0</v>
      </c>
      <c r="D67" s="1258" t="s">
        <v>1846</v>
      </c>
      <c r="E67" s="235" t="s">
        <v>1842</v>
      </c>
      <c r="F67" s="245">
        <f t="shared" si="0"/>
        <v>0.01</v>
      </c>
      <c r="O67" s="1008" t="s">
        <v>775</v>
      </c>
      <c r="P67" s="1012" t="s">
        <v>1965</v>
      </c>
      <c r="Q67" s="1006">
        <f ca="1">C39</f>
        <v>723536</v>
      </c>
      <c r="R67" s="1007" t="s">
        <v>1900</v>
      </c>
    </row>
    <row r="68" spans="1:18" ht="15.75" thickBot="1">
      <c r="A68" s="248" t="s">
        <v>22</v>
      </c>
      <c r="B68" s="41" t="s">
        <v>1850</v>
      </c>
      <c r="C68" s="250">
        <f ca="1">C49-C59</f>
        <v>-47765</v>
      </c>
      <c r="D68" s="1255" t="s">
        <v>1851</v>
      </c>
      <c r="E68" s="1257"/>
      <c r="F68" s="268"/>
      <c r="H68" s="651"/>
      <c r="I68" s="651"/>
      <c r="J68" s="651"/>
      <c r="K68" s="651"/>
      <c r="L68" s="651"/>
      <c r="M68" s="651"/>
      <c r="O68" s="1008" t="s">
        <v>776</v>
      </c>
      <c r="P68" s="1012" t="s">
        <v>1966</v>
      </c>
      <c r="Q68" s="1006">
        <f ca="1">C13</f>
        <v>2548655</v>
      </c>
      <c r="R68" s="1007" t="s">
        <v>1900</v>
      </c>
    </row>
    <row r="69" spans="1:18" ht="15.75" thickBot="1">
      <c r="A69" s="232" t="s">
        <v>23</v>
      </c>
      <c r="B69" s="233" t="s">
        <v>1888</v>
      </c>
      <c r="C69" s="234">
        <f ca="1">ROUND(C68*(1-((1+F71)/(1+F69))^F70)/(F69-F71),0)</f>
        <v>-766443</v>
      </c>
      <c r="D69" s="261" t="s">
        <v>1856</v>
      </c>
      <c r="E69" s="235" t="s">
        <v>1857</v>
      </c>
      <c r="F69" s="245">
        <f>F40</f>
        <v>5.5E-2</v>
      </c>
      <c r="H69" s="651"/>
      <c r="I69" s="651"/>
      <c r="J69" s="651"/>
      <c r="K69" s="651"/>
      <c r="L69" s="651"/>
      <c r="M69" s="651"/>
      <c r="O69" s="1008" t="s">
        <v>777</v>
      </c>
      <c r="P69" s="1012" t="s">
        <v>1967</v>
      </c>
      <c r="Q69" s="1009">
        <f>J35</f>
        <v>7.0000000000000007E-2</v>
      </c>
      <c r="R69" s="1007"/>
    </row>
    <row r="70" spans="1:18" ht="15.75" thickBot="1">
      <c r="A70" s="237"/>
      <c r="B70" s="238"/>
      <c r="C70" s="239"/>
      <c r="D70" s="269" t="s">
        <v>1890</v>
      </c>
      <c r="E70" s="235" t="s">
        <v>1862</v>
      </c>
      <c r="F70" s="270">
        <f>F41</f>
        <v>40</v>
      </c>
      <c r="H70" s="651"/>
      <c r="I70" s="651"/>
      <c r="J70" s="651"/>
      <c r="K70" s="651"/>
      <c r="L70" s="651"/>
      <c r="M70" s="651"/>
      <c r="O70" s="1008" t="s">
        <v>771</v>
      </c>
      <c r="P70" s="1005" t="s">
        <v>1938</v>
      </c>
      <c r="Q70" s="1009">
        <f>L53</f>
        <v>0</v>
      </c>
      <c r="R70" s="1007"/>
    </row>
    <row r="71" spans="1:18" ht="20.25" thickBot="1">
      <c r="A71" s="241"/>
      <c r="B71" s="242"/>
      <c r="C71" s="243"/>
      <c r="D71" s="264"/>
      <c r="E71" s="235" t="s">
        <v>1866</v>
      </c>
      <c r="F71" s="993"/>
      <c r="H71" s="651"/>
      <c r="M71" s="651"/>
      <c r="O71" s="1008" t="s">
        <v>772</v>
      </c>
      <c r="P71" s="1005" t="s">
        <v>1941</v>
      </c>
      <c r="Q71" s="1006" t="e">
        <f>L59</f>
        <v>#DIV/0!</v>
      </c>
      <c r="R71" s="1007" t="s">
        <v>1942</v>
      </c>
    </row>
    <row r="72" spans="1:18" ht="15.75" thickBot="1">
      <c r="A72" s="271" t="s">
        <v>24</v>
      </c>
      <c r="B72" s="272" t="s">
        <v>1891</v>
      </c>
      <c r="C72" s="273">
        <f ca="1">ROUND(C69/F72,0)</f>
        <v>-1509</v>
      </c>
      <c r="D72" s="274" t="s">
        <v>1892</v>
      </c>
      <c r="E72" s="275" t="s">
        <v>1893</v>
      </c>
      <c r="F72" s="276">
        <f>F43</f>
        <v>507.9</v>
      </c>
      <c r="O72" s="1008" t="s">
        <v>778</v>
      </c>
      <c r="P72" s="1005" t="str">
        <f>K60</f>
        <v>建筑物剩余耐用年限下的土地年期修正系数Kn</v>
      </c>
      <c r="Q72" s="1006" t="e">
        <f>L60</f>
        <v>#DIV/0!</v>
      </c>
      <c r="R72" s="1007" t="s">
        <v>1945</v>
      </c>
    </row>
    <row r="73" spans="1:18" ht="15.75" thickBot="1">
      <c r="A73" s="651"/>
      <c r="B73" s="655"/>
      <c r="C73" s="655"/>
      <c r="D73" s="651"/>
      <c r="E73" s="651"/>
      <c r="F73" s="651"/>
      <c r="O73" s="1004" t="s">
        <v>773</v>
      </c>
      <c r="P73" s="1005" t="str">
        <f>IF(C2="元","收益价值(元)","收益价值(万元)")</f>
        <v>收益价值(万元)</v>
      </c>
      <c r="Q73" s="1006">
        <f ca="1">ROUND(IF(C2="元",Q63+Q64,(Q63+Q64)/10000),0)</f>
        <v>1651</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20" t="s">
        <v>2653</v>
      </c>
      <c r="K2" s="3621"/>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22" t="s">
        <v>2663</v>
      </c>
      <c r="K3" s="3623"/>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22" t="s">
        <v>2665</v>
      </c>
      <c r="K4" s="3623"/>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28" t="s">
        <v>2669</v>
      </c>
      <c r="B6" s="3629"/>
      <c r="C6" s="3630"/>
      <c r="D6" s="3150"/>
      <c r="E6" s="3094"/>
      <c r="F6" s="3095"/>
      <c r="G6" s="3195"/>
      <c r="H6" s="3181"/>
      <c r="I6" s="3182"/>
      <c r="J6" s="3614">
        <v>1</v>
      </c>
      <c r="K6" s="3615"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614"/>
      <c r="K7" s="3616"/>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31" t="s">
        <v>2682</v>
      </c>
      <c r="C8" s="3632"/>
      <c r="D8" s="3104" t="s">
        <v>2683</v>
      </c>
      <c r="E8" s="3105" t="s">
        <v>2684</v>
      </c>
      <c r="F8" s="3088" t="s">
        <v>2685</v>
      </c>
      <c r="G8" s="3258" t="s">
        <v>2793</v>
      </c>
      <c r="H8" s="3181"/>
      <c r="I8" s="3182"/>
      <c r="J8" s="3614"/>
      <c r="K8" s="3616"/>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31" t="s">
        <v>2687</v>
      </c>
      <c r="C9" s="3632"/>
      <c r="D9" s="3104">
        <f>ROUND(D6*E9,0)</f>
        <v>0</v>
      </c>
      <c r="E9" s="3151"/>
      <c r="F9" s="3106" t="s">
        <v>2688</v>
      </c>
      <c r="G9" s="3204" t="s">
        <v>2791</v>
      </c>
      <c r="H9" s="3181"/>
      <c r="I9" s="3182"/>
      <c r="J9" s="3614"/>
      <c r="K9" s="3616"/>
      <c r="L9" s="3199" t="s">
        <v>2781</v>
      </c>
      <c r="M9" s="3200"/>
      <c r="N9" s="3200"/>
      <c r="O9" s="3201"/>
      <c r="P9" s="3201"/>
      <c r="Q9" s="3202">
        <v>365</v>
      </c>
      <c r="R9" s="3203">
        <f t="shared" si="0"/>
        <v>0</v>
      </c>
      <c r="S9" s="3179"/>
      <c r="T9" s="3179"/>
      <c r="U9" s="3179"/>
      <c r="V9" s="3182"/>
      <c r="W9" s="3181"/>
    </row>
    <row r="10" spans="1:23" s="3087" customFormat="1" ht="13.15" customHeight="1">
      <c r="A10" s="3103">
        <v>2</v>
      </c>
      <c r="B10" s="3631" t="s">
        <v>2689</v>
      </c>
      <c r="C10" s="3632"/>
      <c r="D10" s="3104">
        <f>ROUND(D6*E10,0)</f>
        <v>0</v>
      </c>
      <c r="E10" s="3151"/>
      <c r="F10" s="3106" t="s">
        <v>2690</v>
      </c>
      <c r="G10" s="3204" t="s">
        <v>2792</v>
      </c>
      <c r="H10" s="3181"/>
      <c r="I10" s="3182"/>
      <c r="J10" s="3614"/>
      <c r="K10" s="3616"/>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31" t="s">
        <v>2691</v>
      </c>
      <c r="C11" s="3632"/>
      <c r="D11" s="3104">
        <f>D12+D14+D15+D16</f>
        <v>0</v>
      </c>
      <c r="E11" s="3107" t="e">
        <f>D11/D6</f>
        <v>#DIV/0!</v>
      </c>
      <c r="F11" s="3088"/>
      <c r="G11" s="3204"/>
      <c r="H11" s="3181"/>
      <c r="I11" s="3182"/>
      <c r="J11" s="3614"/>
      <c r="K11" s="3616"/>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24" t="s">
        <v>2693</v>
      </c>
      <c r="C12" s="3625"/>
      <c r="D12" s="3109">
        <f>ROUND(D13*1.2%*(1-30%),0)</f>
        <v>0</v>
      </c>
      <c r="E12" s="3110">
        <v>1.2E-2</v>
      </c>
      <c r="F12" s="3088" t="s">
        <v>2694</v>
      </c>
      <c r="G12" s="3204"/>
      <c r="H12" s="3181"/>
      <c r="I12" s="3182"/>
      <c r="J12" s="3614"/>
      <c r="K12" s="3616"/>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614"/>
      <c r="K13" s="3616"/>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24" t="s">
        <v>2697</v>
      </c>
      <c r="C14" s="3625"/>
      <c r="D14" s="3109">
        <f>ROUND(E14*B5/10000,0)</f>
        <v>0</v>
      </c>
      <c r="E14" s="3153"/>
      <c r="F14" s="3088" t="s">
        <v>2698</v>
      </c>
      <c r="G14" s="3204"/>
      <c r="H14" s="3181"/>
      <c r="I14" s="3182"/>
      <c r="J14" s="3614"/>
      <c r="K14" s="3617"/>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24" t="s">
        <v>2701</v>
      </c>
      <c r="C15" s="3625"/>
      <c r="D15" s="3109">
        <f>ROUND(D6*E15,0)</f>
        <v>0</v>
      </c>
      <c r="E15" s="3110">
        <v>5.5E-2</v>
      </c>
      <c r="F15" s="3088" t="s">
        <v>2702</v>
      </c>
      <c r="G15" s="3204"/>
      <c r="H15" s="3181"/>
      <c r="I15" s="3182"/>
      <c r="J15" s="3614">
        <v>2</v>
      </c>
      <c r="K15" s="3615"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24" t="s">
        <v>2712</v>
      </c>
      <c r="C16" s="3625"/>
      <c r="D16" s="3154">
        <f>D6*E16</f>
        <v>0</v>
      </c>
      <c r="E16" s="3155"/>
      <c r="F16" s="3106" t="s">
        <v>2713</v>
      </c>
      <c r="G16" s="3204"/>
      <c r="H16" s="3181"/>
      <c r="I16" s="3182"/>
      <c r="J16" s="3614"/>
      <c r="K16" s="3616"/>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26" t="s">
        <v>2714</v>
      </c>
      <c r="C17" s="3627"/>
      <c r="D17" s="3115">
        <f>ROUND(D6*E17,0)</f>
        <v>0</v>
      </c>
      <c r="E17" s="3156"/>
      <c r="F17" s="3116" t="s">
        <v>2715</v>
      </c>
      <c r="G17" s="3257">
        <v>0.1</v>
      </c>
      <c r="H17" s="3181"/>
      <c r="I17" s="3182"/>
      <c r="J17" s="3614"/>
      <c r="K17" s="3616"/>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614"/>
      <c r="K18" s="3616"/>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614"/>
      <c r="K19" s="3617"/>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14">
        <v>3</v>
      </c>
      <c r="K20" s="3615"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614"/>
      <c r="K21" s="3616"/>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614"/>
      <c r="K22" s="3616"/>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614"/>
      <c r="K23" s="3616"/>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614"/>
      <c r="K24" s="3617"/>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18">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19"/>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20" t="s">
        <v>2751</v>
      </c>
      <c r="K32" s="3621"/>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22" t="s">
        <v>2755</v>
      </c>
      <c r="K33" s="3623"/>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22" t="s">
        <v>2757</v>
      </c>
      <c r="K34" s="3623"/>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614">
        <v>1</v>
      </c>
      <c r="K36" s="3615"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614"/>
      <c r="K37" s="3616"/>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14"/>
      <c r="K38" s="3616"/>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614"/>
      <c r="K39" s="3616"/>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614"/>
      <c r="K40" s="3617"/>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18">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19"/>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G53" sqref="G53"/>
      <selection pane="bottomLeft" activeCell="B29" sqref="B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1969</v>
      </c>
      <c r="B2" s="250">
        <f ca="1">B23</f>
        <v>2940</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1970</v>
      </c>
      <c r="B3" s="250">
        <f ca="1">B24</f>
        <v>38138</v>
      </c>
      <c r="C3" s="859" t="s">
        <v>1971</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1972</v>
      </c>
      <c r="C4" s="3636" t="s">
        <v>1973</v>
      </c>
      <c r="D4" s="3637"/>
      <c r="E4" s="3637"/>
      <c r="F4" s="3637"/>
      <c r="G4" s="3637"/>
      <c r="H4" s="3637"/>
      <c r="I4" s="3637"/>
      <c r="J4" s="3637"/>
      <c r="K4" s="3637"/>
      <c r="L4" s="3637"/>
      <c r="M4" s="3637"/>
      <c r="N4" s="3637"/>
      <c r="O4" s="3637"/>
      <c r="P4" s="3637"/>
      <c r="Q4" s="3637"/>
      <c r="R4" s="3637"/>
      <c r="S4" s="3638"/>
      <c r="T4" s="575" t="s">
        <v>1974</v>
      </c>
      <c r="U4" s="956"/>
      <c r="V4" s="956"/>
      <c r="X4" s="956"/>
      <c r="Y4" s="956"/>
    </row>
    <row r="5" spans="1:44" s="587" customFormat="1" ht="25.5">
      <c r="A5" s="960"/>
      <c r="B5" s="583" t="s">
        <v>1975</v>
      </c>
      <c r="C5" s="584" t="str">
        <f t="shared" ref="C5:L5" si="0">C6&amp;"(含)"&amp;"-"&amp;D6</f>
        <v>0(含)-300</v>
      </c>
      <c r="D5" s="585" t="str">
        <f t="shared" si="0"/>
        <v>300(含)-500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961"/>
      <c r="B6" s="588"/>
      <c r="C6" s="1826">
        <v>0</v>
      </c>
      <c r="D6" s="1826">
        <v>300</v>
      </c>
      <c r="E6" s="1826">
        <v>500</v>
      </c>
      <c r="F6" s="589"/>
      <c r="G6" s="589"/>
      <c r="H6" s="589"/>
      <c r="I6" s="589"/>
      <c r="J6" s="590"/>
      <c r="K6" s="590"/>
      <c r="L6" s="591"/>
      <c r="M6" s="822"/>
      <c r="N6" s="824"/>
      <c r="O6" s="589"/>
      <c r="P6" s="589"/>
      <c r="Q6" s="589"/>
      <c r="R6" s="589"/>
      <c r="S6" s="870"/>
      <c r="T6" s="592"/>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962"/>
      <c r="B7" s="839"/>
      <c r="C7" s="1799">
        <v>98</v>
      </c>
      <c r="D7" s="1780">
        <v>100</v>
      </c>
      <c r="E7" s="1780">
        <v>98</v>
      </c>
      <c r="F7" s="841"/>
      <c r="G7" s="841"/>
      <c r="H7" s="841"/>
      <c r="I7" s="841"/>
      <c r="J7" s="841"/>
      <c r="K7" s="841"/>
      <c r="L7" s="841"/>
      <c r="M7" s="842"/>
      <c r="N7" s="843"/>
      <c r="O7" s="841"/>
      <c r="P7" s="841"/>
      <c r="Q7" s="841"/>
      <c r="R7" s="841"/>
      <c r="S7" s="871"/>
      <c r="T7" s="595"/>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963"/>
      <c r="B8" s="852" t="s">
        <v>1976</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1977</v>
      </c>
      <c r="C10" s="829"/>
      <c r="D10" s="830"/>
      <c r="E10" s="830"/>
      <c r="F10" s="830"/>
      <c r="G10" s="830"/>
      <c r="H10" s="830"/>
      <c r="I10" s="830"/>
      <c r="J10" s="830"/>
      <c r="K10" s="830"/>
      <c r="L10" s="830"/>
      <c r="M10" s="832"/>
      <c r="N10" s="823"/>
      <c r="O10" s="825"/>
      <c r="P10" s="826"/>
      <c r="Q10" s="827"/>
      <c r="R10" s="828"/>
      <c r="S10" s="874"/>
      <c r="T10" s="594"/>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1978</v>
      </c>
      <c r="C12" s="829"/>
      <c r="D12" s="830"/>
      <c r="E12" s="830"/>
      <c r="F12" s="830"/>
      <c r="G12" s="830"/>
      <c r="H12" s="830"/>
      <c r="I12" s="830"/>
      <c r="J12" s="830"/>
      <c r="K12" s="830"/>
      <c r="L12" s="831"/>
      <c r="M12" s="832"/>
      <c r="N12" s="823"/>
      <c r="O12" s="825"/>
      <c r="P12" s="826"/>
      <c r="Q12" s="827"/>
      <c r="R12" s="828"/>
      <c r="S12" s="874"/>
      <c r="T12" s="594"/>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5"/>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1979</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1980</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1981</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5"/>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1982</v>
      </c>
      <c r="B20" s="1480" t="s">
        <v>1983</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1984</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1985</v>
      </c>
      <c r="B23" s="224">
        <f ca="1">IF(F23="——",IF(C23="万元",T25,S25),IF(C23="万元",T25-H23,S25-H23))</f>
        <v>2940</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1986</v>
      </c>
      <c r="B24" s="224">
        <f ca="1">ROUND(B23*10000/B25,0)</f>
        <v>38138</v>
      </c>
      <c r="C24" s="821"/>
      <c r="D24" s="37"/>
      <c r="E24" s="37"/>
      <c r="F24" s="37"/>
      <c r="G24" s="37"/>
      <c r="H24" s="37"/>
      <c r="I24" s="37"/>
      <c r="J24" s="37"/>
      <c r="K24" s="37"/>
      <c r="L24" s="37"/>
      <c r="M24" s="37"/>
      <c r="N24" s="37"/>
      <c r="O24" s="37"/>
      <c r="P24" s="37"/>
      <c r="Q24" s="37"/>
      <c r="R24" s="644"/>
      <c r="S24" s="13" t="s">
        <v>1987</v>
      </c>
      <c r="T24" s="1259" t="s">
        <v>1988</v>
      </c>
      <c r="U24" s="2169" t="s">
        <v>1989</v>
      </c>
      <c r="V24" s="2902"/>
      <c r="W24" s="2903" t="s">
        <v>1990</v>
      </c>
      <c r="X24" s="2169" t="s">
        <v>1991</v>
      </c>
      <c r="Y24" s="2902"/>
      <c r="Z24" s="2904" t="s">
        <v>1990</v>
      </c>
    </row>
    <row r="25" spans="1:45">
      <c r="A25" s="250" t="s">
        <v>1992</v>
      </c>
      <c r="B25" s="13">
        <f>SUM(B27:B10000)</f>
        <v>770.88</v>
      </c>
      <c r="C25" s="3633" t="s">
        <v>45</v>
      </c>
      <c r="D25" s="3634"/>
      <c r="E25" s="3634"/>
      <c r="F25" s="3634"/>
      <c r="G25" s="3634"/>
      <c r="H25" s="3634"/>
      <c r="I25" s="3634"/>
      <c r="J25" s="3634"/>
      <c r="K25" s="3634"/>
      <c r="L25" s="3634"/>
      <c r="M25" s="3634"/>
      <c r="N25" s="3634"/>
      <c r="O25" s="3634"/>
      <c r="P25" s="3634"/>
      <c r="Q25" s="3635"/>
      <c r="R25" s="596">
        <f ca="1">IF(C23="万元",ROUND(T25*10000/B25,0),ROUND(S25/B25,0))</f>
        <v>38138</v>
      </c>
      <c r="S25" s="13">
        <f ca="1">SUM(S27:S10000)</f>
        <v>29399050</v>
      </c>
      <c r="T25" s="13">
        <f ca="1">SUM(T27:T10000)</f>
        <v>2940</v>
      </c>
      <c r="U25" s="17">
        <f>SUM(U27:U10000)</f>
        <v>0</v>
      </c>
      <c r="V25" s="17">
        <f>SUM(V27:V10000)</f>
        <v>0</v>
      </c>
      <c r="W25" s="2906"/>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7" t="s">
        <v>1996</v>
      </c>
      <c r="S26" s="10" t="s">
        <v>1997</v>
      </c>
      <c r="T26" s="10" t="s">
        <v>1997</v>
      </c>
      <c r="U26" s="682" t="s">
        <v>1998</v>
      </c>
      <c r="V26" s="682" t="s">
        <v>1999</v>
      </c>
      <c r="W26" s="10" t="s">
        <v>2000</v>
      </c>
      <c r="X26" s="682" t="s">
        <v>1998</v>
      </c>
      <c r="Y26" s="682" t="s">
        <v>1999</v>
      </c>
      <c r="Z26" s="10" t="s">
        <v>2000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2001</v>
      </c>
      <c r="B27" s="599">
        <f>'数据-取费表'!E5</f>
        <v>507.9</v>
      </c>
      <c r="C27" s="858">
        <v>1</v>
      </c>
      <c r="D27" s="600"/>
      <c r="E27" s="858">
        <v>1</v>
      </c>
      <c r="F27" s="600"/>
      <c r="G27" s="858">
        <v>1</v>
      </c>
      <c r="H27" s="600"/>
      <c r="I27" s="858">
        <v>1</v>
      </c>
      <c r="J27" s="600"/>
      <c r="K27" s="858">
        <v>1</v>
      </c>
      <c r="L27" s="600"/>
      <c r="M27" s="858">
        <v>1</v>
      </c>
      <c r="N27" s="600"/>
      <c r="O27" s="858">
        <v>1</v>
      </c>
      <c r="P27" s="600"/>
      <c r="Q27" s="858">
        <v>1</v>
      </c>
      <c r="R27" s="864">
        <f ca="1">结果表!C104</f>
        <v>38137</v>
      </c>
      <c r="S27" s="599">
        <f ca="1">ROUND(R27*B27,0)</f>
        <v>19369782</v>
      </c>
      <c r="T27" s="599">
        <f ca="1">ROUND(R27*B27/10000,0)</f>
        <v>1937</v>
      </c>
      <c r="U27" s="2905">
        <f>ROUND(W27*B27,0)</f>
        <v>0</v>
      </c>
      <c r="V27" s="2905">
        <f>ROUND(W27*B27/10000,0)</f>
        <v>0</v>
      </c>
      <c r="W27" s="954"/>
      <c r="X27" s="2905">
        <f>ROUND(Z27*B27,0)</f>
        <v>0</v>
      </c>
      <c r="Y27" s="2905">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5"/>
      <c r="B28" s="20">
        <v>262.98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38137</v>
      </c>
      <c r="S28" s="250">
        <f ca="1">ROUND(R28*B28,0)</f>
        <v>10029268</v>
      </c>
      <c r="T28" s="858">
        <f ca="1">ROUND(R28*B28/10000,0)</f>
        <v>1003</v>
      </c>
      <c r="U28" s="2905">
        <f t="shared" ref="U28:U91" si="22">ROUND(W28*B28,0)</f>
        <v>0</v>
      </c>
      <c r="V28" s="2905">
        <f t="shared" ref="V28:V91" si="23">ROUND(W28*B28/10000,0)</f>
        <v>0</v>
      </c>
      <c r="W28" s="955"/>
      <c r="X28" s="2905">
        <f t="shared" ref="X28:X91" si="24">ROUND(Z28*B28,0)</f>
        <v>0</v>
      </c>
      <c r="Y28" s="2905">
        <f t="shared" ref="Y28:Y91" si="25">ROUND(Z28*B28/10000,0)</f>
        <v>0</v>
      </c>
      <c r="Z28" s="955"/>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8">
        <f t="shared" ref="T29:T92" si="28">ROUND(R29*B29/10000,0)</f>
        <v>0</v>
      </c>
      <c r="U29" s="2905">
        <f t="shared" si="22"/>
        <v>0</v>
      </c>
      <c r="V29" s="2905">
        <f t="shared" si="23"/>
        <v>0</v>
      </c>
      <c r="W29" s="955"/>
      <c r="X29" s="2905">
        <f t="shared" si="24"/>
        <v>0</v>
      </c>
      <c r="Y29" s="2905">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858">
        <f t="shared" si="28"/>
        <v>0</v>
      </c>
      <c r="U30" s="2905">
        <f t="shared" si="22"/>
        <v>0</v>
      </c>
      <c r="V30" s="2905">
        <f t="shared" si="23"/>
        <v>0</v>
      </c>
      <c r="W30" s="955"/>
      <c r="X30" s="2905">
        <f t="shared" si="24"/>
        <v>0</v>
      </c>
      <c r="Y30" s="2905">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858">
        <f t="shared" si="28"/>
        <v>0</v>
      </c>
      <c r="U31" s="2905">
        <f t="shared" si="22"/>
        <v>0</v>
      </c>
      <c r="V31" s="2905">
        <f t="shared" si="23"/>
        <v>0</v>
      </c>
      <c r="W31" s="955"/>
      <c r="X31" s="2905">
        <f t="shared" si="24"/>
        <v>0</v>
      </c>
      <c r="Y31" s="2905">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8">
        <f t="shared" si="28"/>
        <v>0</v>
      </c>
      <c r="U32" s="2905">
        <f t="shared" si="22"/>
        <v>0</v>
      </c>
      <c r="V32" s="2905">
        <f t="shared" si="23"/>
        <v>0</v>
      </c>
      <c r="W32" s="955"/>
      <c r="X32" s="2905">
        <f t="shared" si="24"/>
        <v>0</v>
      </c>
      <c r="Y32" s="2905">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8">
        <f t="shared" si="28"/>
        <v>0</v>
      </c>
      <c r="U33" s="2905">
        <f t="shared" si="22"/>
        <v>0</v>
      </c>
      <c r="V33" s="2905">
        <f t="shared" si="23"/>
        <v>0</v>
      </c>
      <c r="W33" s="955"/>
      <c r="X33" s="2905">
        <f t="shared" si="24"/>
        <v>0</v>
      </c>
      <c r="Y33" s="2905">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8">
        <f t="shared" si="28"/>
        <v>0</v>
      </c>
      <c r="U34" s="2905">
        <f t="shared" si="22"/>
        <v>0</v>
      </c>
      <c r="V34" s="2905">
        <f t="shared" si="23"/>
        <v>0</v>
      </c>
      <c r="W34" s="955"/>
      <c r="X34" s="2905">
        <f t="shared" si="24"/>
        <v>0</v>
      </c>
      <c r="Y34" s="2905">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8">
        <f t="shared" si="28"/>
        <v>0</v>
      </c>
      <c r="U35" s="2905">
        <f t="shared" si="22"/>
        <v>0</v>
      </c>
      <c r="V35" s="2905">
        <f t="shared" si="23"/>
        <v>0</v>
      </c>
      <c r="W35" s="955"/>
      <c r="X35" s="2905">
        <f t="shared" si="24"/>
        <v>0</v>
      </c>
      <c r="Y35" s="2905">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8">
        <f t="shared" si="28"/>
        <v>0</v>
      </c>
      <c r="U36" s="2905">
        <f t="shared" si="22"/>
        <v>0</v>
      </c>
      <c r="V36" s="2905">
        <f t="shared" si="23"/>
        <v>0</v>
      </c>
      <c r="W36" s="955"/>
      <c r="X36" s="2905">
        <f t="shared" si="24"/>
        <v>0</v>
      </c>
      <c r="Y36" s="2905">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8">
        <f t="shared" si="28"/>
        <v>0</v>
      </c>
      <c r="U37" s="2905">
        <f t="shared" si="22"/>
        <v>0</v>
      </c>
      <c r="V37" s="2905">
        <f t="shared" si="23"/>
        <v>0</v>
      </c>
      <c r="W37" s="955"/>
      <c r="X37" s="2905">
        <f t="shared" si="24"/>
        <v>0</v>
      </c>
      <c r="Y37" s="2905">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8">
        <f t="shared" si="28"/>
        <v>0</v>
      </c>
      <c r="U38" s="2905">
        <f t="shared" si="22"/>
        <v>0</v>
      </c>
      <c r="V38" s="2905">
        <f t="shared" si="23"/>
        <v>0</v>
      </c>
      <c r="W38" s="955"/>
      <c r="X38" s="2905">
        <f t="shared" si="24"/>
        <v>0</v>
      </c>
      <c r="Y38" s="2905">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8">
        <f t="shared" si="28"/>
        <v>0</v>
      </c>
      <c r="U39" s="2905">
        <f t="shared" si="22"/>
        <v>0</v>
      </c>
      <c r="V39" s="2905">
        <f t="shared" si="23"/>
        <v>0</v>
      </c>
      <c r="W39" s="955"/>
      <c r="X39" s="2905">
        <f t="shared" si="24"/>
        <v>0</v>
      </c>
      <c r="Y39" s="2905">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8">
        <f t="shared" si="28"/>
        <v>0</v>
      </c>
      <c r="U40" s="2905">
        <f t="shared" si="22"/>
        <v>0</v>
      </c>
      <c r="V40" s="2905">
        <f t="shared" si="23"/>
        <v>0</v>
      </c>
      <c r="W40" s="955"/>
      <c r="X40" s="2905">
        <f t="shared" si="24"/>
        <v>0</v>
      </c>
      <c r="Y40" s="2905">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8">
        <f t="shared" si="28"/>
        <v>0</v>
      </c>
      <c r="U41" s="2905">
        <f t="shared" si="22"/>
        <v>0</v>
      </c>
      <c r="V41" s="2905">
        <f t="shared" si="23"/>
        <v>0</v>
      </c>
      <c r="W41" s="955"/>
      <c r="X41" s="2905">
        <f t="shared" si="24"/>
        <v>0</v>
      </c>
      <c r="Y41" s="2905">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8">
        <f t="shared" si="28"/>
        <v>0</v>
      </c>
      <c r="U42" s="2905">
        <f t="shared" si="22"/>
        <v>0</v>
      </c>
      <c r="V42" s="2905">
        <f t="shared" si="23"/>
        <v>0</v>
      </c>
      <c r="W42" s="955"/>
      <c r="X42" s="2905">
        <f t="shared" si="24"/>
        <v>0</v>
      </c>
      <c r="Y42" s="2905">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8">
        <f t="shared" si="28"/>
        <v>0</v>
      </c>
      <c r="U43" s="2905">
        <f t="shared" si="22"/>
        <v>0</v>
      </c>
      <c r="V43" s="2905">
        <f t="shared" si="23"/>
        <v>0</v>
      </c>
      <c r="W43" s="955"/>
      <c r="X43" s="2905">
        <f t="shared" si="24"/>
        <v>0</v>
      </c>
      <c r="Y43" s="2905">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8">
        <f t="shared" si="28"/>
        <v>0</v>
      </c>
      <c r="U44" s="2905">
        <f t="shared" si="22"/>
        <v>0</v>
      </c>
      <c r="V44" s="2905">
        <f t="shared" si="23"/>
        <v>0</v>
      </c>
      <c r="W44" s="955"/>
      <c r="X44" s="2905">
        <f t="shared" si="24"/>
        <v>0</v>
      </c>
      <c r="Y44" s="2905">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8">
        <f t="shared" si="28"/>
        <v>0</v>
      </c>
      <c r="U45" s="2905">
        <f t="shared" si="22"/>
        <v>0</v>
      </c>
      <c r="V45" s="2905">
        <f t="shared" si="23"/>
        <v>0</v>
      </c>
      <c r="W45" s="955"/>
      <c r="X45" s="2905">
        <f t="shared" si="24"/>
        <v>0</v>
      </c>
      <c r="Y45" s="2905">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8">
        <f t="shared" si="28"/>
        <v>0</v>
      </c>
      <c r="U46" s="2905">
        <f t="shared" si="22"/>
        <v>0</v>
      </c>
      <c r="V46" s="2905">
        <f t="shared" si="23"/>
        <v>0</v>
      </c>
      <c r="W46" s="955"/>
      <c r="X46" s="2905">
        <f t="shared" si="24"/>
        <v>0</v>
      </c>
      <c r="Y46" s="2905">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8">
        <f t="shared" si="28"/>
        <v>0</v>
      </c>
      <c r="U47" s="2905">
        <f t="shared" si="22"/>
        <v>0</v>
      </c>
      <c r="V47" s="2905">
        <f t="shared" si="23"/>
        <v>0</v>
      </c>
      <c r="W47" s="955"/>
      <c r="X47" s="2905">
        <f t="shared" si="24"/>
        <v>0</v>
      </c>
      <c r="Y47" s="2905">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8">
        <f t="shared" si="28"/>
        <v>0</v>
      </c>
      <c r="U48" s="2905">
        <f t="shared" si="22"/>
        <v>0</v>
      </c>
      <c r="V48" s="2905">
        <f t="shared" si="23"/>
        <v>0</v>
      </c>
      <c r="W48" s="955"/>
      <c r="X48" s="2905">
        <f t="shared" si="24"/>
        <v>0</v>
      </c>
      <c r="Y48" s="2905">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8">
        <f t="shared" si="28"/>
        <v>0</v>
      </c>
      <c r="U49" s="2905">
        <f t="shared" si="22"/>
        <v>0</v>
      </c>
      <c r="V49" s="2905">
        <f t="shared" si="23"/>
        <v>0</v>
      </c>
      <c r="W49" s="955"/>
      <c r="X49" s="2905">
        <f t="shared" si="24"/>
        <v>0</v>
      </c>
      <c r="Y49" s="2905">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8">
        <f t="shared" si="28"/>
        <v>0</v>
      </c>
      <c r="U50" s="2905">
        <f t="shared" si="22"/>
        <v>0</v>
      </c>
      <c r="V50" s="2905">
        <f t="shared" si="23"/>
        <v>0</v>
      </c>
      <c r="W50" s="955"/>
      <c r="X50" s="2905">
        <f t="shared" si="24"/>
        <v>0</v>
      </c>
      <c r="Y50" s="2905">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8">
        <f t="shared" si="28"/>
        <v>0</v>
      </c>
      <c r="U51" s="2905">
        <f t="shared" si="22"/>
        <v>0</v>
      </c>
      <c r="V51" s="2905">
        <f t="shared" si="23"/>
        <v>0</v>
      </c>
      <c r="W51" s="955"/>
      <c r="X51" s="2905">
        <f t="shared" si="24"/>
        <v>0</v>
      </c>
      <c r="Y51" s="2905">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8">
        <f t="shared" si="28"/>
        <v>0</v>
      </c>
      <c r="U52" s="2905">
        <f t="shared" si="22"/>
        <v>0</v>
      </c>
      <c r="V52" s="2905">
        <f t="shared" si="23"/>
        <v>0</v>
      </c>
      <c r="W52" s="955"/>
      <c r="X52" s="2905">
        <f t="shared" si="24"/>
        <v>0</v>
      </c>
      <c r="Y52" s="2905">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8">
        <f t="shared" si="28"/>
        <v>0</v>
      </c>
      <c r="U53" s="2905">
        <f t="shared" si="22"/>
        <v>0</v>
      </c>
      <c r="V53" s="2905">
        <f t="shared" si="23"/>
        <v>0</v>
      </c>
      <c r="W53" s="955"/>
      <c r="X53" s="2905">
        <f t="shared" si="24"/>
        <v>0</v>
      </c>
      <c r="Y53" s="2905">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8">
        <f t="shared" si="28"/>
        <v>0</v>
      </c>
      <c r="U54" s="2905">
        <f t="shared" si="22"/>
        <v>0</v>
      </c>
      <c r="V54" s="2905">
        <f t="shared" si="23"/>
        <v>0</v>
      </c>
      <c r="W54" s="955"/>
      <c r="X54" s="2905">
        <f t="shared" si="24"/>
        <v>0</v>
      </c>
      <c r="Y54" s="2905">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8">
        <f t="shared" si="28"/>
        <v>0</v>
      </c>
      <c r="U55" s="2905">
        <f t="shared" si="22"/>
        <v>0</v>
      </c>
      <c r="V55" s="2905">
        <f t="shared" si="23"/>
        <v>0</v>
      </c>
      <c r="W55" s="955"/>
      <c r="X55" s="2905">
        <f t="shared" si="24"/>
        <v>0</v>
      </c>
      <c r="Y55" s="2905">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8">
        <f t="shared" si="28"/>
        <v>0</v>
      </c>
      <c r="U56" s="2905">
        <f t="shared" si="22"/>
        <v>0</v>
      </c>
      <c r="V56" s="2905">
        <f t="shared" si="23"/>
        <v>0</v>
      </c>
      <c r="W56" s="955"/>
      <c r="X56" s="2905">
        <f t="shared" si="24"/>
        <v>0</v>
      </c>
      <c r="Y56" s="2905">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8">
        <f t="shared" si="28"/>
        <v>0</v>
      </c>
      <c r="U57" s="2905">
        <f t="shared" si="22"/>
        <v>0</v>
      </c>
      <c r="V57" s="2905">
        <f t="shared" si="23"/>
        <v>0</v>
      </c>
      <c r="W57" s="955"/>
      <c r="X57" s="2905">
        <f t="shared" si="24"/>
        <v>0</v>
      </c>
      <c r="Y57" s="2905">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8">
        <f t="shared" si="28"/>
        <v>0</v>
      </c>
      <c r="U58" s="2905">
        <f t="shared" si="22"/>
        <v>0</v>
      </c>
      <c r="V58" s="2905">
        <f t="shared" si="23"/>
        <v>0</v>
      </c>
      <c r="W58" s="955"/>
      <c r="X58" s="2905">
        <f t="shared" si="24"/>
        <v>0</v>
      </c>
      <c r="Y58" s="2905">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8">
        <f t="shared" si="28"/>
        <v>0</v>
      </c>
      <c r="U59" s="2905">
        <f t="shared" si="22"/>
        <v>0</v>
      </c>
      <c r="V59" s="2905">
        <f t="shared" si="23"/>
        <v>0</v>
      </c>
      <c r="W59" s="955"/>
      <c r="X59" s="2905">
        <f t="shared" si="24"/>
        <v>0</v>
      </c>
      <c r="Y59" s="2905">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8">
        <f t="shared" si="28"/>
        <v>0</v>
      </c>
      <c r="U60" s="2905">
        <f t="shared" si="22"/>
        <v>0</v>
      </c>
      <c r="V60" s="2905">
        <f t="shared" si="23"/>
        <v>0</v>
      </c>
      <c r="W60" s="955"/>
      <c r="X60" s="2905">
        <f t="shared" si="24"/>
        <v>0</v>
      </c>
      <c r="Y60" s="2905">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8">
        <f t="shared" si="28"/>
        <v>0</v>
      </c>
      <c r="U61" s="2905">
        <f t="shared" si="22"/>
        <v>0</v>
      </c>
      <c r="V61" s="2905">
        <f t="shared" si="23"/>
        <v>0</v>
      </c>
      <c r="W61" s="955"/>
      <c r="X61" s="2905">
        <f t="shared" si="24"/>
        <v>0</v>
      </c>
      <c r="Y61" s="2905">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8">
        <f t="shared" si="28"/>
        <v>0</v>
      </c>
      <c r="U62" s="2905">
        <f t="shared" si="22"/>
        <v>0</v>
      </c>
      <c r="V62" s="2905">
        <f t="shared" si="23"/>
        <v>0</v>
      </c>
      <c r="W62" s="955"/>
      <c r="X62" s="2905">
        <f t="shared" si="24"/>
        <v>0</v>
      </c>
      <c r="Y62" s="2905">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8">
        <f t="shared" si="28"/>
        <v>0</v>
      </c>
      <c r="U63" s="2905">
        <f t="shared" si="22"/>
        <v>0</v>
      </c>
      <c r="V63" s="2905">
        <f t="shared" si="23"/>
        <v>0</v>
      </c>
      <c r="W63" s="955"/>
      <c r="X63" s="2905">
        <f t="shared" si="24"/>
        <v>0</v>
      </c>
      <c r="Y63" s="2905">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8">
        <f t="shared" si="28"/>
        <v>0</v>
      </c>
      <c r="U64" s="2905">
        <f t="shared" si="22"/>
        <v>0</v>
      </c>
      <c r="V64" s="2905">
        <f t="shared" si="23"/>
        <v>0</v>
      </c>
      <c r="W64" s="955"/>
      <c r="X64" s="2905">
        <f t="shared" si="24"/>
        <v>0</v>
      </c>
      <c r="Y64" s="2905">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8">
        <f t="shared" si="28"/>
        <v>0</v>
      </c>
      <c r="U65" s="2905">
        <f t="shared" si="22"/>
        <v>0</v>
      </c>
      <c r="V65" s="2905">
        <f t="shared" si="23"/>
        <v>0</v>
      </c>
      <c r="W65" s="955"/>
      <c r="X65" s="2905">
        <f t="shared" si="24"/>
        <v>0</v>
      </c>
      <c r="Y65" s="2905">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8">
        <f t="shared" si="28"/>
        <v>0</v>
      </c>
      <c r="U66" s="2905">
        <f t="shared" si="22"/>
        <v>0</v>
      </c>
      <c r="V66" s="2905">
        <f t="shared" si="23"/>
        <v>0</v>
      </c>
      <c r="W66" s="955"/>
      <c r="X66" s="2905">
        <f t="shared" si="24"/>
        <v>0</v>
      </c>
      <c r="Y66" s="2905">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8">
        <f t="shared" si="28"/>
        <v>0</v>
      </c>
      <c r="U67" s="2905">
        <f t="shared" si="22"/>
        <v>0</v>
      </c>
      <c r="V67" s="2905">
        <f t="shared" si="23"/>
        <v>0</v>
      </c>
      <c r="W67" s="955"/>
      <c r="X67" s="2905">
        <f t="shared" si="24"/>
        <v>0</v>
      </c>
      <c r="Y67" s="2905">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8">
        <f t="shared" si="28"/>
        <v>0</v>
      </c>
      <c r="U68" s="2905">
        <f t="shared" si="22"/>
        <v>0</v>
      </c>
      <c r="V68" s="2905">
        <f t="shared" si="23"/>
        <v>0</v>
      </c>
      <c r="W68" s="955"/>
      <c r="X68" s="2905">
        <f t="shared" si="24"/>
        <v>0</v>
      </c>
      <c r="Y68" s="2905">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8">
        <f t="shared" si="28"/>
        <v>0</v>
      </c>
      <c r="U69" s="2905">
        <f t="shared" si="22"/>
        <v>0</v>
      </c>
      <c r="V69" s="2905">
        <f t="shared" si="23"/>
        <v>0</v>
      </c>
      <c r="W69" s="955"/>
      <c r="X69" s="2905">
        <f t="shared" si="24"/>
        <v>0</v>
      </c>
      <c r="Y69" s="2905">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8">
        <f t="shared" si="28"/>
        <v>0</v>
      </c>
      <c r="U70" s="2905">
        <f t="shared" si="22"/>
        <v>0</v>
      </c>
      <c r="V70" s="2905">
        <f t="shared" si="23"/>
        <v>0</v>
      </c>
      <c r="W70" s="955"/>
      <c r="X70" s="2905">
        <f t="shared" si="24"/>
        <v>0</v>
      </c>
      <c r="Y70" s="2905">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8">
        <f t="shared" si="28"/>
        <v>0</v>
      </c>
      <c r="U71" s="2905">
        <f t="shared" si="22"/>
        <v>0</v>
      </c>
      <c r="V71" s="2905">
        <f t="shared" si="23"/>
        <v>0</v>
      </c>
      <c r="W71" s="955"/>
      <c r="X71" s="2905">
        <f t="shared" si="24"/>
        <v>0</v>
      </c>
      <c r="Y71" s="2905">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8">
        <f t="shared" si="28"/>
        <v>0</v>
      </c>
      <c r="U72" s="2905">
        <f t="shared" si="22"/>
        <v>0</v>
      </c>
      <c r="V72" s="2905">
        <f t="shared" si="23"/>
        <v>0</v>
      </c>
      <c r="W72" s="955"/>
      <c r="X72" s="2905">
        <f t="shared" si="24"/>
        <v>0</v>
      </c>
      <c r="Y72" s="2905">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8">
        <f t="shared" si="28"/>
        <v>0</v>
      </c>
      <c r="U73" s="2905">
        <f t="shared" si="22"/>
        <v>0</v>
      </c>
      <c r="V73" s="2905">
        <f t="shared" si="23"/>
        <v>0</v>
      </c>
      <c r="W73" s="955"/>
      <c r="X73" s="2905">
        <f t="shared" si="24"/>
        <v>0</v>
      </c>
      <c r="Y73" s="2905">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8">
        <f t="shared" si="28"/>
        <v>0</v>
      </c>
      <c r="U74" s="2905">
        <f t="shared" si="22"/>
        <v>0</v>
      </c>
      <c r="V74" s="2905">
        <f t="shared" si="23"/>
        <v>0</v>
      </c>
      <c r="W74" s="955"/>
      <c r="X74" s="2905">
        <f t="shared" si="24"/>
        <v>0</v>
      </c>
      <c r="Y74" s="2905">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8">
        <f t="shared" si="28"/>
        <v>0</v>
      </c>
      <c r="U75" s="2905">
        <f t="shared" si="22"/>
        <v>0</v>
      </c>
      <c r="V75" s="2905">
        <f t="shared" si="23"/>
        <v>0</v>
      </c>
      <c r="W75" s="955"/>
      <c r="X75" s="2905">
        <f t="shared" si="24"/>
        <v>0</v>
      </c>
      <c r="Y75" s="2905">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8">
        <f t="shared" si="28"/>
        <v>0</v>
      </c>
      <c r="U76" s="2905">
        <f t="shared" si="22"/>
        <v>0</v>
      </c>
      <c r="V76" s="2905">
        <f t="shared" si="23"/>
        <v>0</v>
      </c>
      <c r="W76" s="955"/>
      <c r="X76" s="2905">
        <f t="shared" si="24"/>
        <v>0</v>
      </c>
      <c r="Y76" s="2905">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8">
        <f t="shared" si="28"/>
        <v>0</v>
      </c>
      <c r="U77" s="2905">
        <f t="shared" si="22"/>
        <v>0</v>
      </c>
      <c r="V77" s="2905">
        <f t="shared" si="23"/>
        <v>0</v>
      </c>
      <c r="W77" s="955"/>
      <c r="X77" s="2905">
        <f t="shared" si="24"/>
        <v>0</v>
      </c>
      <c r="Y77" s="2905">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8">
        <f t="shared" si="28"/>
        <v>0</v>
      </c>
      <c r="U78" s="2905">
        <f t="shared" si="22"/>
        <v>0</v>
      </c>
      <c r="V78" s="2905">
        <f t="shared" si="23"/>
        <v>0</v>
      </c>
      <c r="W78" s="955"/>
      <c r="X78" s="2905">
        <f t="shared" si="24"/>
        <v>0</v>
      </c>
      <c r="Y78" s="2905">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8">
        <f t="shared" si="28"/>
        <v>0</v>
      </c>
      <c r="U79" s="2905">
        <f t="shared" si="22"/>
        <v>0</v>
      </c>
      <c r="V79" s="2905">
        <f t="shared" si="23"/>
        <v>0</v>
      </c>
      <c r="W79" s="955"/>
      <c r="X79" s="2905">
        <f t="shared" si="24"/>
        <v>0</v>
      </c>
      <c r="Y79" s="2905">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8">
        <f t="shared" si="28"/>
        <v>0</v>
      </c>
      <c r="U80" s="2905">
        <f t="shared" si="22"/>
        <v>0</v>
      </c>
      <c r="V80" s="2905">
        <f t="shared" si="23"/>
        <v>0</v>
      </c>
      <c r="W80" s="955"/>
      <c r="X80" s="2905">
        <f t="shared" si="24"/>
        <v>0</v>
      </c>
      <c r="Y80" s="2905">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8">
        <f t="shared" si="28"/>
        <v>0</v>
      </c>
      <c r="U81" s="2905">
        <f t="shared" si="22"/>
        <v>0</v>
      </c>
      <c r="V81" s="2905">
        <f t="shared" si="23"/>
        <v>0</v>
      </c>
      <c r="W81" s="955"/>
      <c r="X81" s="2905">
        <f t="shared" si="24"/>
        <v>0</v>
      </c>
      <c r="Y81" s="2905">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8">
        <f t="shared" si="28"/>
        <v>0</v>
      </c>
      <c r="U82" s="2905">
        <f t="shared" si="22"/>
        <v>0</v>
      </c>
      <c r="V82" s="2905">
        <f t="shared" si="23"/>
        <v>0</v>
      </c>
      <c r="W82" s="955"/>
      <c r="X82" s="2905">
        <f t="shared" si="24"/>
        <v>0</v>
      </c>
      <c r="Y82" s="2905">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8">
        <f t="shared" si="28"/>
        <v>0</v>
      </c>
      <c r="U83" s="2905">
        <f t="shared" si="22"/>
        <v>0</v>
      </c>
      <c r="V83" s="2905">
        <f t="shared" si="23"/>
        <v>0</v>
      </c>
      <c r="W83" s="955"/>
      <c r="X83" s="2905">
        <f t="shared" si="24"/>
        <v>0</v>
      </c>
      <c r="Y83" s="2905">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8">
        <f t="shared" si="28"/>
        <v>0</v>
      </c>
      <c r="U84" s="2905">
        <f t="shared" si="22"/>
        <v>0</v>
      </c>
      <c r="V84" s="2905">
        <f t="shared" si="23"/>
        <v>0</v>
      </c>
      <c r="W84" s="955"/>
      <c r="X84" s="2905">
        <f t="shared" si="24"/>
        <v>0</v>
      </c>
      <c r="Y84" s="2905">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8">
        <f t="shared" si="28"/>
        <v>0</v>
      </c>
      <c r="U85" s="2905">
        <f t="shared" si="22"/>
        <v>0</v>
      </c>
      <c r="V85" s="2905">
        <f t="shared" si="23"/>
        <v>0</v>
      </c>
      <c r="W85" s="955"/>
      <c r="X85" s="2905">
        <f t="shared" si="24"/>
        <v>0</v>
      </c>
      <c r="Y85" s="2905">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8">
        <f t="shared" si="28"/>
        <v>0</v>
      </c>
      <c r="U86" s="2905">
        <f t="shared" si="22"/>
        <v>0</v>
      </c>
      <c r="V86" s="2905">
        <f t="shared" si="23"/>
        <v>0</v>
      </c>
      <c r="W86" s="955"/>
      <c r="X86" s="2905">
        <f t="shared" si="24"/>
        <v>0</v>
      </c>
      <c r="Y86" s="2905">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8">
        <f t="shared" si="28"/>
        <v>0</v>
      </c>
      <c r="U87" s="2905">
        <f t="shared" si="22"/>
        <v>0</v>
      </c>
      <c r="V87" s="2905">
        <f t="shared" si="23"/>
        <v>0</v>
      </c>
      <c r="W87" s="955"/>
      <c r="X87" s="2905">
        <f t="shared" si="24"/>
        <v>0</v>
      </c>
      <c r="Y87" s="2905">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8">
        <f t="shared" si="28"/>
        <v>0</v>
      </c>
      <c r="U88" s="2905">
        <f t="shared" si="22"/>
        <v>0</v>
      </c>
      <c r="V88" s="2905">
        <f t="shared" si="23"/>
        <v>0</v>
      </c>
      <c r="W88" s="955"/>
      <c r="X88" s="2905">
        <f t="shared" si="24"/>
        <v>0</v>
      </c>
      <c r="Y88" s="2905">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8">
        <f t="shared" si="28"/>
        <v>0</v>
      </c>
      <c r="U89" s="2905">
        <f t="shared" si="22"/>
        <v>0</v>
      </c>
      <c r="V89" s="2905">
        <f t="shared" si="23"/>
        <v>0</v>
      </c>
      <c r="W89" s="955"/>
      <c r="X89" s="2905">
        <f t="shared" si="24"/>
        <v>0</v>
      </c>
      <c r="Y89" s="2905">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8">
        <f t="shared" si="28"/>
        <v>0</v>
      </c>
      <c r="U90" s="2905">
        <f t="shared" si="22"/>
        <v>0</v>
      </c>
      <c r="V90" s="2905">
        <f t="shared" si="23"/>
        <v>0</v>
      </c>
      <c r="W90" s="955"/>
      <c r="X90" s="2905">
        <f t="shared" si="24"/>
        <v>0</v>
      </c>
      <c r="Y90" s="2905">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8">
        <f t="shared" si="28"/>
        <v>0</v>
      </c>
      <c r="U91" s="2905">
        <f t="shared" si="22"/>
        <v>0</v>
      </c>
      <c r="V91" s="2905">
        <f t="shared" si="23"/>
        <v>0</v>
      </c>
      <c r="W91" s="955"/>
      <c r="X91" s="2905">
        <f t="shared" si="24"/>
        <v>0</v>
      </c>
      <c r="Y91" s="2905">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8">
        <f t="shared" si="28"/>
        <v>0</v>
      </c>
      <c r="U92" s="2905">
        <f t="shared" ref="U92:U155" si="37">ROUND(W92*B92,0)</f>
        <v>0</v>
      </c>
      <c r="V92" s="2905">
        <f t="shared" ref="V92:V155" si="38">ROUND(W92*B92/10000,0)</f>
        <v>0</v>
      </c>
      <c r="W92" s="955"/>
      <c r="X92" s="2905">
        <f t="shared" ref="X92:X155" si="39">ROUND(Z92*B92,0)</f>
        <v>0</v>
      </c>
      <c r="Y92" s="2905">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8">
        <f t="shared" ref="T93:T156" si="43">ROUND(R93*B93/10000,0)</f>
        <v>0</v>
      </c>
      <c r="U93" s="2905">
        <f t="shared" si="37"/>
        <v>0</v>
      </c>
      <c r="V93" s="2905">
        <f t="shared" si="38"/>
        <v>0</v>
      </c>
      <c r="W93" s="955"/>
      <c r="X93" s="2905">
        <f t="shared" si="39"/>
        <v>0</v>
      </c>
      <c r="Y93" s="2905">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8">
        <f t="shared" si="43"/>
        <v>0</v>
      </c>
      <c r="U94" s="2905">
        <f t="shared" si="37"/>
        <v>0</v>
      </c>
      <c r="V94" s="2905">
        <f t="shared" si="38"/>
        <v>0</v>
      </c>
      <c r="W94" s="955"/>
      <c r="X94" s="2905">
        <f t="shared" si="39"/>
        <v>0</v>
      </c>
      <c r="Y94" s="2905">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8">
        <f t="shared" si="43"/>
        <v>0</v>
      </c>
      <c r="U95" s="2905">
        <f t="shared" si="37"/>
        <v>0</v>
      </c>
      <c r="V95" s="2905">
        <f t="shared" si="38"/>
        <v>0</v>
      </c>
      <c r="W95" s="955"/>
      <c r="X95" s="2905">
        <f t="shared" si="39"/>
        <v>0</v>
      </c>
      <c r="Y95" s="2905">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8">
        <f t="shared" si="43"/>
        <v>0</v>
      </c>
      <c r="U96" s="2905">
        <f t="shared" si="37"/>
        <v>0</v>
      </c>
      <c r="V96" s="2905">
        <f t="shared" si="38"/>
        <v>0</v>
      </c>
      <c r="W96" s="955"/>
      <c r="X96" s="2905">
        <f t="shared" si="39"/>
        <v>0</v>
      </c>
      <c r="Y96" s="2905">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8">
        <f t="shared" si="43"/>
        <v>0</v>
      </c>
      <c r="U97" s="2905">
        <f t="shared" si="37"/>
        <v>0</v>
      </c>
      <c r="V97" s="2905">
        <f t="shared" si="38"/>
        <v>0</v>
      </c>
      <c r="W97" s="955"/>
      <c r="X97" s="2905">
        <f t="shared" si="39"/>
        <v>0</v>
      </c>
      <c r="Y97" s="2905">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8">
        <f t="shared" si="43"/>
        <v>0</v>
      </c>
      <c r="U98" s="2905">
        <f t="shared" si="37"/>
        <v>0</v>
      </c>
      <c r="V98" s="2905">
        <f t="shared" si="38"/>
        <v>0</v>
      </c>
      <c r="W98" s="955"/>
      <c r="X98" s="2905">
        <f t="shared" si="39"/>
        <v>0</v>
      </c>
      <c r="Y98" s="2905">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8">
        <f t="shared" si="43"/>
        <v>0</v>
      </c>
      <c r="U99" s="2905">
        <f t="shared" si="37"/>
        <v>0</v>
      </c>
      <c r="V99" s="2905">
        <f t="shared" si="38"/>
        <v>0</v>
      </c>
      <c r="W99" s="955"/>
      <c r="X99" s="2905">
        <f t="shared" si="39"/>
        <v>0</v>
      </c>
      <c r="Y99" s="2905">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8">
        <f t="shared" si="43"/>
        <v>0</v>
      </c>
      <c r="U100" s="2905">
        <f t="shared" si="37"/>
        <v>0</v>
      </c>
      <c r="V100" s="2905">
        <f t="shared" si="38"/>
        <v>0</v>
      </c>
      <c r="W100" s="955"/>
      <c r="X100" s="2905">
        <f t="shared" si="39"/>
        <v>0</v>
      </c>
      <c r="Y100" s="2905">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8">
        <f t="shared" si="43"/>
        <v>0</v>
      </c>
      <c r="U101" s="2905">
        <f t="shared" si="37"/>
        <v>0</v>
      </c>
      <c r="V101" s="2905">
        <f t="shared" si="38"/>
        <v>0</v>
      </c>
      <c r="W101" s="955"/>
      <c r="X101" s="2905">
        <f t="shared" si="39"/>
        <v>0</v>
      </c>
      <c r="Y101" s="2905">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8">
        <f t="shared" si="43"/>
        <v>0</v>
      </c>
      <c r="U102" s="2905">
        <f t="shared" si="37"/>
        <v>0</v>
      </c>
      <c r="V102" s="2905">
        <f t="shared" si="38"/>
        <v>0</v>
      </c>
      <c r="W102" s="955"/>
      <c r="X102" s="2905">
        <f t="shared" si="39"/>
        <v>0</v>
      </c>
      <c r="Y102" s="2905">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8">
        <f t="shared" si="43"/>
        <v>0</v>
      </c>
      <c r="U103" s="2905">
        <f t="shared" si="37"/>
        <v>0</v>
      </c>
      <c r="V103" s="2905">
        <f t="shared" si="38"/>
        <v>0</v>
      </c>
      <c r="W103" s="955"/>
      <c r="X103" s="2905">
        <f t="shared" si="39"/>
        <v>0</v>
      </c>
      <c r="Y103" s="2905">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8">
        <f t="shared" si="43"/>
        <v>0</v>
      </c>
      <c r="U104" s="2905">
        <f t="shared" si="37"/>
        <v>0</v>
      </c>
      <c r="V104" s="2905">
        <f t="shared" si="38"/>
        <v>0</v>
      </c>
      <c r="W104" s="955"/>
      <c r="X104" s="2905">
        <f t="shared" si="39"/>
        <v>0</v>
      </c>
      <c r="Y104" s="2905">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8">
        <f t="shared" si="43"/>
        <v>0</v>
      </c>
      <c r="U105" s="2905">
        <f t="shared" si="37"/>
        <v>0</v>
      </c>
      <c r="V105" s="2905">
        <f t="shared" si="38"/>
        <v>0</v>
      </c>
      <c r="W105" s="955"/>
      <c r="X105" s="2905">
        <f t="shared" si="39"/>
        <v>0</v>
      </c>
      <c r="Y105" s="2905">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8">
        <f t="shared" si="43"/>
        <v>0</v>
      </c>
      <c r="U106" s="2905">
        <f t="shared" si="37"/>
        <v>0</v>
      </c>
      <c r="V106" s="2905">
        <f t="shared" si="38"/>
        <v>0</v>
      </c>
      <c r="W106" s="955"/>
      <c r="X106" s="2905">
        <f t="shared" si="39"/>
        <v>0</v>
      </c>
      <c r="Y106" s="2905">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8">
        <f t="shared" si="43"/>
        <v>0</v>
      </c>
      <c r="U107" s="2905">
        <f t="shared" si="37"/>
        <v>0</v>
      </c>
      <c r="V107" s="2905">
        <f t="shared" si="38"/>
        <v>0</v>
      </c>
      <c r="W107" s="955"/>
      <c r="X107" s="2905">
        <f t="shared" si="39"/>
        <v>0</v>
      </c>
      <c r="Y107" s="2905">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8">
        <f t="shared" si="43"/>
        <v>0</v>
      </c>
      <c r="U108" s="2905">
        <f t="shared" si="37"/>
        <v>0</v>
      </c>
      <c r="V108" s="2905">
        <f t="shared" si="38"/>
        <v>0</v>
      </c>
      <c r="W108" s="955"/>
      <c r="X108" s="2905">
        <f t="shared" si="39"/>
        <v>0</v>
      </c>
      <c r="Y108" s="2905">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8">
        <f t="shared" si="43"/>
        <v>0</v>
      </c>
      <c r="U109" s="2905">
        <f t="shared" si="37"/>
        <v>0</v>
      </c>
      <c r="V109" s="2905">
        <f t="shared" si="38"/>
        <v>0</v>
      </c>
      <c r="W109" s="955"/>
      <c r="X109" s="2905">
        <f t="shared" si="39"/>
        <v>0</v>
      </c>
      <c r="Y109" s="2905">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8">
        <f t="shared" si="43"/>
        <v>0</v>
      </c>
      <c r="U110" s="2905">
        <f t="shared" si="37"/>
        <v>0</v>
      </c>
      <c r="V110" s="2905">
        <f t="shared" si="38"/>
        <v>0</v>
      </c>
      <c r="W110" s="955"/>
      <c r="X110" s="2905">
        <f t="shared" si="39"/>
        <v>0</v>
      </c>
      <c r="Y110" s="2905">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8">
        <f t="shared" si="43"/>
        <v>0</v>
      </c>
      <c r="U111" s="2905">
        <f t="shared" si="37"/>
        <v>0</v>
      </c>
      <c r="V111" s="2905">
        <f t="shared" si="38"/>
        <v>0</v>
      </c>
      <c r="W111" s="955"/>
      <c r="X111" s="2905">
        <f t="shared" si="39"/>
        <v>0</v>
      </c>
      <c r="Y111" s="2905">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8">
        <f t="shared" si="43"/>
        <v>0</v>
      </c>
      <c r="U112" s="2905">
        <f t="shared" si="37"/>
        <v>0</v>
      </c>
      <c r="V112" s="2905">
        <f t="shared" si="38"/>
        <v>0</v>
      </c>
      <c r="W112" s="955"/>
      <c r="X112" s="2905">
        <f t="shared" si="39"/>
        <v>0</v>
      </c>
      <c r="Y112" s="2905">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8">
        <f t="shared" si="43"/>
        <v>0</v>
      </c>
      <c r="U113" s="2905">
        <f t="shared" si="37"/>
        <v>0</v>
      </c>
      <c r="V113" s="2905">
        <f t="shared" si="38"/>
        <v>0</v>
      </c>
      <c r="W113" s="955"/>
      <c r="X113" s="2905">
        <f t="shared" si="39"/>
        <v>0</v>
      </c>
      <c r="Y113" s="2905">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8">
        <f t="shared" si="43"/>
        <v>0</v>
      </c>
      <c r="U114" s="2905">
        <f t="shared" si="37"/>
        <v>0</v>
      </c>
      <c r="V114" s="2905">
        <f t="shared" si="38"/>
        <v>0</v>
      </c>
      <c r="W114" s="955"/>
      <c r="X114" s="2905">
        <f t="shared" si="39"/>
        <v>0</v>
      </c>
      <c r="Y114" s="2905">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8">
        <f t="shared" si="43"/>
        <v>0</v>
      </c>
      <c r="U115" s="2905">
        <f t="shared" si="37"/>
        <v>0</v>
      </c>
      <c r="V115" s="2905">
        <f t="shared" si="38"/>
        <v>0</v>
      </c>
      <c r="W115" s="955"/>
      <c r="X115" s="2905">
        <f t="shared" si="39"/>
        <v>0</v>
      </c>
      <c r="Y115" s="2905">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8">
        <f t="shared" si="43"/>
        <v>0</v>
      </c>
      <c r="U116" s="2905">
        <f t="shared" si="37"/>
        <v>0</v>
      </c>
      <c r="V116" s="2905">
        <f t="shared" si="38"/>
        <v>0</v>
      </c>
      <c r="W116" s="955"/>
      <c r="X116" s="2905">
        <f t="shared" si="39"/>
        <v>0</v>
      </c>
      <c r="Y116" s="2905">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8">
        <f t="shared" si="43"/>
        <v>0</v>
      </c>
      <c r="U117" s="2905">
        <f t="shared" si="37"/>
        <v>0</v>
      </c>
      <c r="V117" s="2905">
        <f t="shared" si="38"/>
        <v>0</v>
      </c>
      <c r="W117" s="955"/>
      <c r="X117" s="2905">
        <f t="shared" si="39"/>
        <v>0</v>
      </c>
      <c r="Y117" s="2905">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8">
        <f t="shared" si="43"/>
        <v>0</v>
      </c>
      <c r="U118" s="2905">
        <f t="shared" si="37"/>
        <v>0</v>
      </c>
      <c r="V118" s="2905">
        <f t="shared" si="38"/>
        <v>0</v>
      </c>
      <c r="W118" s="955"/>
      <c r="X118" s="2905">
        <f t="shared" si="39"/>
        <v>0</v>
      </c>
      <c r="Y118" s="2905">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8">
        <f t="shared" si="43"/>
        <v>0</v>
      </c>
      <c r="U119" s="2905">
        <f t="shared" si="37"/>
        <v>0</v>
      </c>
      <c r="V119" s="2905">
        <f t="shared" si="38"/>
        <v>0</v>
      </c>
      <c r="W119" s="955"/>
      <c r="X119" s="2905">
        <f t="shared" si="39"/>
        <v>0</v>
      </c>
      <c r="Y119" s="2905">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8">
        <f t="shared" si="43"/>
        <v>0</v>
      </c>
      <c r="U120" s="2905">
        <f t="shared" si="37"/>
        <v>0</v>
      </c>
      <c r="V120" s="2905">
        <f t="shared" si="38"/>
        <v>0</v>
      </c>
      <c r="W120" s="955"/>
      <c r="X120" s="2905">
        <f t="shared" si="39"/>
        <v>0</v>
      </c>
      <c r="Y120" s="2905">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8">
        <f t="shared" si="43"/>
        <v>0</v>
      </c>
      <c r="U121" s="2905">
        <f t="shared" si="37"/>
        <v>0</v>
      </c>
      <c r="V121" s="2905">
        <f t="shared" si="38"/>
        <v>0</v>
      </c>
      <c r="W121" s="955"/>
      <c r="X121" s="2905">
        <f t="shared" si="39"/>
        <v>0</v>
      </c>
      <c r="Y121" s="2905">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8">
        <f t="shared" si="43"/>
        <v>0</v>
      </c>
      <c r="U122" s="2905">
        <f t="shared" si="37"/>
        <v>0</v>
      </c>
      <c r="V122" s="2905">
        <f t="shared" si="38"/>
        <v>0</v>
      </c>
      <c r="W122" s="955"/>
      <c r="X122" s="2905">
        <f t="shared" si="39"/>
        <v>0</v>
      </c>
      <c r="Y122" s="2905">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8">
        <f t="shared" si="43"/>
        <v>0</v>
      </c>
      <c r="U123" s="2905">
        <f t="shared" si="37"/>
        <v>0</v>
      </c>
      <c r="V123" s="2905">
        <f t="shared" si="38"/>
        <v>0</v>
      </c>
      <c r="W123" s="955"/>
      <c r="X123" s="2905">
        <f t="shared" si="39"/>
        <v>0</v>
      </c>
      <c r="Y123" s="2905">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8">
        <f t="shared" si="43"/>
        <v>0</v>
      </c>
      <c r="U124" s="2905">
        <f t="shared" si="37"/>
        <v>0</v>
      </c>
      <c r="V124" s="2905">
        <f t="shared" si="38"/>
        <v>0</v>
      </c>
      <c r="W124" s="955"/>
      <c r="X124" s="2905">
        <f t="shared" si="39"/>
        <v>0</v>
      </c>
      <c r="Y124" s="2905">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8">
        <f t="shared" si="43"/>
        <v>0</v>
      </c>
      <c r="U125" s="2905">
        <f t="shared" si="37"/>
        <v>0</v>
      </c>
      <c r="V125" s="2905">
        <f t="shared" si="38"/>
        <v>0</v>
      </c>
      <c r="W125" s="955"/>
      <c r="X125" s="2905">
        <f t="shared" si="39"/>
        <v>0</v>
      </c>
      <c r="Y125" s="2905">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8">
        <f t="shared" si="43"/>
        <v>0</v>
      </c>
      <c r="U126" s="2905">
        <f t="shared" si="37"/>
        <v>0</v>
      </c>
      <c r="V126" s="2905">
        <f t="shared" si="38"/>
        <v>0</v>
      </c>
      <c r="W126" s="955"/>
      <c r="X126" s="2905">
        <f t="shared" si="39"/>
        <v>0</v>
      </c>
      <c r="Y126" s="2905">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8">
        <f t="shared" si="43"/>
        <v>0</v>
      </c>
      <c r="U127" s="2905">
        <f t="shared" si="37"/>
        <v>0</v>
      </c>
      <c r="V127" s="2905">
        <f t="shared" si="38"/>
        <v>0</v>
      </c>
      <c r="W127" s="955"/>
      <c r="X127" s="2905">
        <f t="shared" si="39"/>
        <v>0</v>
      </c>
      <c r="Y127" s="2905">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8">
        <f t="shared" si="43"/>
        <v>0</v>
      </c>
      <c r="U128" s="2905">
        <f t="shared" si="37"/>
        <v>0</v>
      </c>
      <c r="V128" s="2905">
        <f t="shared" si="38"/>
        <v>0</v>
      </c>
      <c r="W128" s="955"/>
      <c r="X128" s="2905">
        <f t="shared" si="39"/>
        <v>0</v>
      </c>
      <c r="Y128" s="2905">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8">
        <f t="shared" si="43"/>
        <v>0</v>
      </c>
      <c r="U129" s="2905">
        <f t="shared" si="37"/>
        <v>0</v>
      </c>
      <c r="V129" s="2905">
        <f t="shared" si="38"/>
        <v>0</v>
      </c>
      <c r="W129" s="955"/>
      <c r="X129" s="2905">
        <f t="shared" si="39"/>
        <v>0</v>
      </c>
      <c r="Y129" s="2905">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8">
        <f t="shared" si="43"/>
        <v>0</v>
      </c>
      <c r="U130" s="2905">
        <f t="shared" si="37"/>
        <v>0</v>
      </c>
      <c r="V130" s="2905">
        <f t="shared" si="38"/>
        <v>0</v>
      </c>
      <c r="W130" s="955"/>
      <c r="X130" s="2905">
        <f t="shared" si="39"/>
        <v>0</v>
      </c>
      <c r="Y130" s="2905">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8">
        <f t="shared" si="43"/>
        <v>0</v>
      </c>
      <c r="U131" s="2905">
        <f t="shared" si="37"/>
        <v>0</v>
      </c>
      <c r="V131" s="2905">
        <f t="shared" si="38"/>
        <v>0</v>
      </c>
      <c r="W131" s="955"/>
      <c r="X131" s="2905">
        <f t="shared" si="39"/>
        <v>0</v>
      </c>
      <c r="Y131" s="2905">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8">
        <f t="shared" si="43"/>
        <v>0</v>
      </c>
      <c r="U132" s="2905">
        <f t="shared" si="37"/>
        <v>0</v>
      </c>
      <c r="V132" s="2905">
        <f t="shared" si="38"/>
        <v>0</v>
      </c>
      <c r="W132" s="955"/>
      <c r="X132" s="2905">
        <f t="shared" si="39"/>
        <v>0</v>
      </c>
      <c r="Y132" s="2905">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8">
        <f t="shared" si="43"/>
        <v>0</v>
      </c>
      <c r="U133" s="2905">
        <f t="shared" si="37"/>
        <v>0</v>
      </c>
      <c r="V133" s="2905">
        <f t="shared" si="38"/>
        <v>0</v>
      </c>
      <c r="W133" s="955"/>
      <c r="X133" s="2905">
        <f t="shared" si="39"/>
        <v>0</v>
      </c>
      <c r="Y133" s="2905">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8">
        <f t="shared" si="43"/>
        <v>0</v>
      </c>
      <c r="U134" s="2905">
        <f t="shared" si="37"/>
        <v>0</v>
      </c>
      <c r="V134" s="2905">
        <f t="shared" si="38"/>
        <v>0</v>
      </c>
      <c r="W134" s="955"/>
      <c r="X134" s="2905">
        <f t="shared" si="39"/>
        <v>0</v>
      </c>
      <c r="Y134" s="2905">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8">
        <f t="shared" si="43"/>
        <v>0</v>
      </c>
      <c r="U135" s="2905">
        <f t="shared" si="37"/>
        <v>0</v>
      </c>
      <c r="V135" s="2905">
        <f t="shared" si="38"/>
        <v>0</v>
      </c>
      <c r="W135" s="955"/>
      <c r="X135" s="2905">
        <f t="shared" si="39"/>
        <v>0</v>
      </c>
      <c r="Y135" s="2905">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8">
        <f t="shared" si="43"/>
        <v>0</v>
      </c>
      <c r="U136" s="2905">
        <f t="shared" si="37"/>
        <v>0</v>
      </c>
      <c r="V136" s="2905">
        <f t="shared" si="38"/>
        <v>0</v>
      </c>
      <c r="W136" s="955"/>
      <c r="X136" s="2905">
        <f t="shared" si="39"/>
        <v>0</v>
      </c>
      <c r="Y136" s="2905">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8">
        <f t="shared" si="43"/>
        <v>0</v>
      </c>
      <c r="U137" s="2905">
        <f t="shared" si="37"/>
        <v>0</v>
      </c>
      <c r="V137" s="2905">
        <f t="shared" si="38"/>
        <v>0</v>
      </c>
      <c r="W137" s="955"/>
      <c r="X137" s="2905">
        <f t="shared" si="39"/>
        <v>0</v>
      </c>
      <c r="Y137" s="2905">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8">
        <f t="shared" si="43"/>
        <v>0</v>
      </c>
      <c r="U138" s="2905">
        <f t="shared" si="37"/>
        <v>0</v>
      </c>
      <c r="V138" s="2905">
        <f t="shared" si="38"/>
        <v>0</v>
      </c>
      <c r="W138" s="955"/>
      <c r="X138" s="2905">
        <f t="shared" si="39"/>
        <v>0</v>
      </c>
      <c r="Y138" s="2905">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8">
        <f t="shared" si="43"/>
        <v>0</v>
      </c>
      <c r="U139" s="2905">
        <f t="shared" si="37"/>
        <v>0</v>
      </c>
      <c r="V139" s="2905">
        <f t="shared" si="38"/>
        <v>0</v>
      </c>
      <c r="W139" s="955"/>
      <c r="X139" s="2905">
        <f t="shared" si="39"/>
        <v>0</v>
      </c>
      <c r="Y139" s="2905">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8">
        <f t="shared" si="43"/>
        <v>0</v>
      </c>
      <c r="U140" s="2905">
        <f t="shared" si="37"/>
        <v>0</v>
      </c>
      <c r="V140" s="2905">
        <f t="shared" si="38"/>
        <v>0</v>
      </c>
      <c r="W140" s="955"/>
      <c r="X140" s="2905">
        <f t="shared" si="39"/>
        <v>0</v>
      </c>
      <c r="Y140" s="2905">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8">
        <f t="shared" si="43"/>
        <v>0</v>
      </c>
      <c r="U141" s="2905">
        <f t="shared" si="37"/>
        <v>0</v>
      </c>
      <c r="V141" s="2905">
        <f t="shared" si="38"/>
        <v>0</v>
      </c>
      <c r="W141" s="955"/>
      <c r="X141" s="2905">
        <f t="shared" si="39"/>
        <v>0</v>
      </c>
      <c r="Y141" s="2905">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8">
        <f t="shared" si="43"/>
        <v>0</v>
      </c>
      <c r="U142" s="2905">
        <f t="shared" si="37"/>
        <v>0</v>
      </c>
      <c r="V142" s="2905">
        <f t="shared" si="38"/>
        <v>0</v>
      </c>
      <c r="W142" s="955"/>
      <c r="X142" s="2905">
        <f t="shared" si="39"/>
        <v>0</v>
      </c>
      <c r="Y142" s="2905">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8">
        <f t="shared" si="43"/>
        <v>0</v>
      </c>
      <c r="U143" s="2905">
        <f t="shared" si="37"/>
        <v>0</v>
      </c>
      <c r="V143" s="2905">
        <f t="shared" si="38"/>
        <v>0</v>
      </c>
      <c r="W143" s="955"/>
      <c r="X143" s="2905">
        <f t="shared" si="39"/>
        <v>0</v>
      </c>
      <c r="Y143" s="2905">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8">
        <f t="shared" si="43"/>
        <v>0</v>
      </c>
      <c r="U144" s="2905">
        <f t="shared" si="37"/>
        <v>0</v>
      </c>
      <c r="V144" s="2905">
        <f t="shared" si="38"/>
        <v>0</v>
      </c>
      <c r="W144" s="955"/>
      <c r="X144" s="2905">
        <f t="shared" si="39"/>
        <v>0</v>
      </c>
      <c r="Y144" s="2905">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8">
        <f t="shared" si="43"/>
        <v>0</v>
      </c>
      <c r="U145" s="2905">
        <f t="shared" si="37"/>
        <v>0</v>
      </c>
      <c r="V145" s="2905">
        <f t="shared" si="38"/>
        <v>0</v>
      </c>
      <c r="W145" s="955"/>
      <c r="X145" s="2905">
        <f t="shared" si="39"/>
        <v>0</v>
      </c>
      <c r="Y145" s="2905">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8">
        <f t="shared" si="43"/>
        <v>0</v>
      </c>
      <c r="U146" s="2905">
        <f t="shared" si="37"/>
        <v>0</v>
      </c>
      <c r="V146" s="2905">
        <f t="shared" si="38"/>
        <v>0</v>
      </c>
      <c r="W146" s="955"/>
      <c r="X146" s="2905">
        <f t="shared" si="39"/>
        <v>0</v>
      </c>
      <c r="Y146" s="2905">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8">
        <f t="shared" si="43"/>
        <v>0</v>
      </c>
      <c r="U147" s="2905">
        <f t="shared" si="37"/>
        <v>0</v>
      </c>
      <c r="V147" s="2905">
        <f t="shared" si="38"/>
        <v>0</v>
      </c>
      <c r="W147" s="955"/>
      <c r="X147" s="2905">
        <f t="shared" si="39"/>
        <v>0</v>
      </c>
      <c r="Y147" s="2905">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8">
        <f t="shared" si="43"/>
        <v>0</v>
      </c>
      <c r="U148" s="2905">
        <f t="shared" si="37"/>
        <v>0</v>
      </c>
      <c r="V148" s="2905">
        <f t="shared" si="38"/>
        <v>0</v>
      </c>
      <c r="W148" s="955"/>
      <c r="X148" s="2905">
        <f t="shared" si="39"/>
        <v>0</v>
      </c>
      <c r="Y148" s="2905">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8">
        <f t="shared" si="43"/>
        <v>0</v>
      </c>
      <c r="U149" s="2905">
        <f t="shared" si="37"/>
        <v>0</v>
      </c>
      <c r="V149" s="2905">
        <f t="shared" si="38"/>
        <v>0</v>
      </c>
      <c r="W149" s="955"/>
      <c r="X149" s="2905">
        <f t="shared" si="39"/>
        <v>0</v>
      </c>
      <c r="Y149" s="2905">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8">
        <f t="shared" si="43"/>
        <v>0</v>
      </c>
      <c r="U150" s="2905">
        <f t="shared" si="37"/>
        <v>0</v>
      </c>
      <c r="V150" s="2905">
        <f t="shared" si="38"/>
        <v>0</v>
      </c>
      <c r="W150" s="955"/>
      <c r="X150" s="2905">
        <f t="shared" si="39"/>
        <v>0</v>
      </c>
      <c r="Y150" s="2905">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8">
        <f t="shared" si="43"/>
        <v>0</v>
      </c>
      <c r="U151" s="2905">
        <f t="shared" si="37"/>
        <v>0</v>
      </c>
      <c r="V151" s="2905">
        <f t="shared" si="38"/>
        <v>0</v>
      </c>
      <c r="W151" s="955"/>
      <c r="X151" s="2905">
        <f t="shared" si="39"/>
        <v>0</v>
      </c>
      <c r="Y151" s="2905">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8">
        <f t="shared" si="43"/>
        <v>0</v>
      </c>
      <c r="U152" s="2905">
        <f t="shared" si="37"/>
        <v>0</v>
      </c>
      <c r="V152" s="2905">
        <f t="shared" si="38"/>
        <v>0</v>
      </c>
      <c r="W152" s="955"/>
      <c r="X152" s="2905">
        <f t="shared" si="39"/>
        <v>0</v>
      </c>
      <c r="Y152" s="2905">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8">
        <f t="shared" si="43"/>
        <v>0</v>
      </c>
      <c r="U153" s="2905">
        <f t="shared" si="37"/>
        <v>0</v>
      </c>
      <c r="V153" s="2905">
        <f t="shared" si="38"/>
        <v>0</v>
      </c>
      <c r="W153" s="955"/>
      <c r="X153" s="2905">
        <f t="shared" si="39"/>
        <v>0</v>
      </c>
      <c r="Y153" s="2905">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8">
        <f t="shared" si="43"/>
        <v>0</v>
      </c>
      <c r="U154" s="2905">
        <f t="shared" si="37"/>
        <v>0</v>
      </c>
      <c r="V154" s="2905">
        <f t="shared" si="38"/>
        <v>0</v>
      </c>
      <c r="W154" s="955"/>
      <c r="X154" s="2905">
        <f t="shared" si="39"/>
        <v>0</v>
      </c>
      <c r="Y154" s="2905">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8">
        <f t="shared" si="43"/>
        <v>0</v>
      </c>
      <c r="U155" s="2905">
        <f t="shared" si="37"/>
        <v>0</v>
      </c>
      <c r="V155" s="2905">
        <f t="shared" si="38"/>
        <v>0</v>
      </c>
      <c r="W155" s="955"/>
      <c r="X155" s="2905">
        <f t="shared" si="39"/>
        <v>0</v>
      </c>
      <c r="Y155" s="2905">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8">
        <f t="shared" si="43"/>
        <v>0</v>
      </c>
      <c r="U156" s="2905">
        <f t="shared" ref="U156:U219" si="52">ROUND(W156*B156,0)</f>
        <v>0</v>
      </c>
      <c r="V156" s="2905">
        <f t="shared" ref="V156:V219" si="53">ROUND(W156*B156/10000,0)</f>
        <v>0</v>
      </c>
      <c r="W156" s="955"/>
      <c r="X156" s="2905">
        <f t="shared" ref="X156:X219" si="54">ROUND(Z156*B156,0)</f>
        <v>0</v>
      </c>
      <c r="Y156" s="2905">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8">
        <f t="shared" ref="T157:T220" si="58">ROUND(R157*B157/10000,0)</f>
        <v>0</v>
      </c>
      <c r="U157" s="2905">
        <f t="shared" si="52"/>
        <v>0</v>
      </c>
      <c r="V157" s="2905">
        <f t="shared" si="53"/>
        <v>0</v>
      </c>
      <c r="W157" s="955"/>
      <c r="X157" s="2905">
        <f t="shared" si="54"/>
        <v>0</v>
      </c>
      <c r="Y157" s="2905">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8">
        <f t="shared" si="58"/>
        <v>0</v>
      </c>
      <c r="U158" s="2905">
        <f t="shared" si="52"/>
        <v>0</v>
      </c>
      <c r="V158" s="2905">
        <f t="shared" si="53"/>
        <v>0</v>
      </c>
      <c r="W158" s="955"/>
      <c r="X158" s="2905">
        <f t="shared" si="54"/>
        <v>0</v>
      </c>
      <c r="Y158" s="2905">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8">
        <f t="shared" si="58"/>
        <v>0</v>
      </c>
      <c r="U159" s="2905">
        <f t="shared" si="52"/>
        <v>0</v>
      </c>
      <c r="V159" s="2905">
        <f t="shared" si="53"/>
        <v>0</v>
      </c>
      <c r="W159" s="955"/>
      <c r="X159" s="2905">
        <f t="shared" si="54"/>
        <v>0</v>
      </c>
      <c r="Y159" s="2905">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8">
        <f t="shared" si="58"/>
        <v>0</v>
      </c>
      <c r="U160" s="2905">
        <f t="shared" si="52"/>
        <v>0</v>
      </c>
      <c r="V160" s="2905">
        <f t="shared" si="53"/>
        <v>0</v>
      </c>
      <c r="W160" s="955"/>
      <c r="X160" s="2905">
        <f t="shared" si="54"/>
        <v>0</v>
      </c>
      <c r="Y160" s="2905">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8">
        <f t="shared" si="58"/>
        <v>0</v>
      </c>
      <c r="U161" s="2905">
        <f t="shared" si="52"/>
        <v>0</v>
      </c>
      <c r="V161" s="2905">
        <f t="shared" si="53"/>
        <v>0</v>
      </c>
      <c r="W161" s="955"/>
      <c r="X161" s="2905">
        <f t="shared" si="54"/>
        <v>0</v>
      </c>
      <c r="Y161" s="2905">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8">
        <f t="shared" si="58"/>
        <v>0</v>
      </c>
      <c r="U162" s="2905">
        <f t="shared" si="52"/>
        <v>0</v>
      </c>
      <c r="V162" s="2905">
        <f t="shared" si="53"/>
        <v>0</v>
      </c>
      <c r="W162" s="955"/>
      <c r="X162" s="2905">
        <f t="shared" si="54"/>
        <v>0</v>
      </c>
      <c r="Y162" s="2905">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8">
        <f t="shared" si="58"/>
        <v>0</v>
      </c>
      <c r="U163" s="2905">
        <f t="shared" si="52"/>
        <v>0</v>
      </c>
      <c r="V163" s="2905">
        <f t="shared" si="53"/>
        <v>0</v>
      </c>
      <c r="W163" s="955"/>
      <c r="X163" s="2905">
        <f t="shared" si="54"/>
        <v>0</v>
      </c>
      <c r="Y163" s="2905">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8">
        <f t="shared" si="58"/>
        <v>0</v>
      </c>
      <c r="U164" s="2905">
        <f t="shared" si="52"/>
        <v>0</v>
      </c>
      <c r="V164" s="2905">
        <f t="shared" si="53"/>
        <v>0</v>
      </c>
      <c r="W164" s="955"/>
      <c r="X164" s="2905">
        <f t="shared" si="54"/>
        <v>0</v>
      </c>
      <c r="Y164" s="2905">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8">
        <f t="shared" si="58"/>
        <v>0</v>
      </c>
      <c r="U165" s="2905">
        <f t="shared" si="52"/>
        <v>0</v>
      </c>
      <c r="V165" s="2905">
        <f t="shared" si="53"/>
        <v>0</v>
      </c>
      <c r="W165" s="955"/>
      <c r="X165" s="2905">
        <f t="shared" si="54"/>
        <v>0</v>
      </c>
      <c r="Y165" s="2905">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8">
        <f t="shared" si="58"/>
        <v>0</v>
      </c>
      <c r="U166" s="2905">
        <f t="shared" si="52"/>
        <v>0</v>
      </c>
      <c r="V166" s="2905">
        <f t="shared" si="53"/>
        <v>0</v>
      </c>
      <c r="W166" s="955"/>
      <c r="X166" s="2905">
        <f t="shared" si="54"/>
        <v>0</v>
      </c>
      <c r="Y166" s="2905">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8">
        <f t="shared" si="58"/>
        <v>0</v>
      </c>
      <c r="U167" s="2905">
        <f t="shared" si="52"/>
        <v>0</v>
      </c>
      <c r="V167" s="2905">
        <f t="shared" si="53"/>
        <v>0</v>
      </c>
      <c r="W167" s="955"/>
      <c r="X167" s="2905">
        <f t="shared" si="54"/>
        <v>0</v>
      </c>
      <c r="Y167" s="2905">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8">
        <f t="shared" si="58"/>
        <v>0</v>
      </c>
      <c r="U168" s="2905">
        <f t="shared" si="52"/>
        <v>0</v>
      </c>
      <c r="V168" s="2905">
        <f t="shared" si="53"/>
        <v>0</v>
      </c>
      <c r="W168" s="955"/>
      <c r="X168" s="2905">
        <f t="shared" si="54"/>
        <v>0</v>
      </c>
      <c r="Y168" s="2905">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8">
        <f t="shared" si="58"/>
        <v>0</v>
      </c>
      <c r="U169" s="2905">
        <f t="shared" si="52"/>
        <v>0</v>
      </c>
      <c r="V169" s="2905">
        <f t="shared" si="53"/>
        <v>0</v>
      </c>
      <c r="W169" s="955"/>
      <c r="X169" s="2905">
        <f t="shared" si="54"/>
        <v>0</v>
      </c>
      <c r="Y169" s="2905">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8">
        <f t="shared" si="58"/>
        <v>0</v>
      </c>
      <c r="U170" s="2905">
        <f t="shared" si="52"/>
        <v>0</v>
      </c>
      <c r="V170" s="2905">
        <f t="shared" si="53"/>
        <v>0</v>
      </c>
      <c r="W170" s="955"/>
      <c r="X170" s="2905">
        <f t="shared" si="54"/>
        <v>0</v>
      </c>
      <c r="Y170" s="2905">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8">
        <f t="shared" si="58"/>
        <v>0</v>
      </c>
      <c r="U171" s="2905">
        <f t="shared" si="52"/>
        <v>0</v>
      </c>
      <c r="V171" s="2905">
        <f t="shared" si="53"/>
        <v>0</v>
      </c>
      <c r="W171" s="955"/>
      <c r="X171" s="2905">
        <f t="shared" si="54"/>
        <v>0</v>
      </c>
      <c r="Y171" s="2905">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8">
        <f t="shared" si="58"/>
        <v>0</v>
      </c>
      <c r="U172" s="2905">
        <f t="shared" si="52"/>
        <v>0</v>
      </c>
      <c r="V172" s="2905">
        <f t="shared" si="53"/>
        <v>0</v>
      </c>
      <c r="W172" s="955"/>
      <c r="X172" s="2905">
        <f t="shared" si="54"/>
        <v>0</v>
      </c>
      <c r="Y172" s="2905">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8">
        <f t="shared" si="58"/>
        <v>0</v>
      </c>
      <c r="U173" s="2905">
        <f t="shared" si="52"/>
        <v>0</v>
      </c>
      <c r="V173" s="2905">
        <f t="shared" si="53"/>
        <v>0</v>
      </c>
      <c r="W173" s="955"/>
      <c r="X173" s="2905">
        <f t="shared" si="54"/>
        <v>0</v>
      </c>
      <c r="Y173" s="2905">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8">
        <f t="shared" si="58"/>
        <v>0</v>
      </c>
      <c r="U174" s="2905">
        <f t="shared" si="52"/>
        <v>0</v>
      </c>
      <c r="V174" s="2905">
        <f t="shared" si="53"/>
        <v>0</v>
      </c>
      <c r="W174" s="955"/>
      <c r="X174" s="2905">
        <f t="shared" si="54"/>
        <v>0</v>
      </c>
      <c r="Y174" s="2905">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8">
        <f t="shared" si="58"/>
        <v>0</v>
      </c>
      <c r="U175" s="2905">
        <f t="shared" si="52"/>
        <v>0</v>
      </c>
      <c r="V175" s="2905">
        <f t="shared" si="53"/>
        <v>0</v>
      </c>
      <c r="W175" s="955"/>
      <c r="X175" s="2905">
        <f t="shared" si="54"/>
        <v>0</v>
      </c>
      <c r="Y175" s="2905">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8">
        <f t="shared" si="58"/>
        <v>0</v>
      </c>
      <c r="U176" s="2905">
        <f t="shared" si="52"/>
        <v>0</v>
      </c>
      <c r="V176" s="2905">
        <f t="shared" si="53"/>
        <v>0</v>
      </c>
      <c r="W176" s="955"/>
      <c r="X176" s="2905">
        <f t="shared" si="54"/>
        <v>0</v>
      </c>
      <c r="Y176" s="2905">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8">
        <f t="shared" si="58"/>
        <v>0</v>
      </c>
      <c r="U177" s="2905">
        <f t="shared" si="52"/>
        <v>0</v>
      </c>
      <c r="V177" s="2905">
        <f t="shared" si="53"/>
        <v>0</v>
      </c>
      <c r="W177" s="955"/>
      <c r="X177" s="2905">
        <f t="shared" si="54"/>
        <v>0</v>
      </c>
      <c r="Y177" s="2905">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8">
        <f t="shared" si="58"/>
        <v>0</v>
      </c>
      <c r="U178" s="2905">
        <f t="shared" si="52"/>
        <v>0</v>
      </c>
      <c r="V178" s="2905">
        <f t="shared" si="53"/>
        <v>0</v>
      </c>
      <c r="W178" s="955"/>
      <c r="X178" s="2905">
        <f t="shared" si="54"/>
        <v>0</v>
      </c>
      <c r="Y178" s="2905">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8">
        <f t="shared" si="58"/>
        <v>0</v>
      </c>
      <c r="U179" s="2905">
        <f t="shared" si="52"/>
        <v>0</v>
      </c>
      <c r="V179" s="2905">
        <f t="shared" si="53"/>
        <v>0</v>
      </c>
      <c r="W179" s="955"/>
      <c r="X179" s="2905">
        <f t="shared" si="54"/>
        <v>0</v>
      </c>
      <c r="Y179" s="2905">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8">
        <f t="shared" si="58"/>
        <v>0</v>
      </c>
      <c r="U180" s="2905">
        <f t="shared" si="52"/>
        <v>0</v>
      </c>
      <c r="V180" s="2905">
        <f t="shared" si="53"/>
        <v>0</v>
      </c>
      <c r="W180" s="955"/>
      <c r="X180" s="2905">
        <f t="shared" si="54"/>
        <v>0</v>
      </c>
      <c r="Y180" s="2905">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8">
        <f t="shared" si="58"/>
        <v>0</v>
      </c>
      <c r="U181" s="2905">
        <f t="shared" si="52"/>
        <v>0</v>
      </c>
      <c r="V181" s="2905">
        <f t="shared" si="53"/>
        <v>0</v>
      </c>
      <c r="W181" s="955"/>
      <c r="X181" s="2905">
        <f t="shared" si="54"/>
        <v>0</v>
      </c>
      <c r="Y181" s="2905">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8">
        <f t="shared" si="58"/>
        <v>0</v>
      </c>
      <c r="U182" s="2905">
        <f t="shared" si="52"/>
        <v>0</v>
      </c>
      <c r="V182" s="2905">
        <f t="shared" si="53"/>
        <v>0</v>
      </c>
      <c r="W182" s="955"/>
      <c r="X182" s="2905">
        <f t="shared" si="54"/>
        <v>0</v>
      </c>
      <c r="Y182" s="2905">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8">
        <f t="shared" si="58"/>
        <v>0</v>
      </c>
      <c r="U183" s="2905">
        <f t="shared" si="52"/>
        <v>0</v>
      </c>
      <c r="V183" s="2905">
        <f t="shared" si="53"/>
        <v>0</v>
      </c>
      <c r="W183" s="955"/>
      <c r="X183" s="2905">
        <f t="shared" si="54"/>
        <v>0</v>
      </c>
      <c r="Y183" s="2905">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8">
        <f t="shared" si="58"/>
        <v>0</v>
      </c>
      <c r="U184" s="2905">
        <f t="shared" si="52"/>
        <v>0</v>
      </c>
      <c r="V184" s="2905">
        <f t="shared" si="53"/>
        <v>0</v>
      </c>
      <c r="W184" s="955"/>
      <c r="X184" s="2905">
        <f t="shared" si="54"/>
        <v>0</v>
      </c>
      <c r="Y184" s="2905">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8">
        <f t="shared" si="58"/>
        <v>0</v>
      </c>
      <c r="U185" s="2905">
        <f t="shared" si="52"/>
        <v>0</v>
      </c>
      <c r="V185" s="2905">
        <f t="shared" si="53"/>
        <v>0</v>
      </c>
      <c r="W185" s="955"/>
      <c r="X185" s="2905">
        <f t="shared" si="54"/>
        <v>0</v>
      </c>
      <c r="Y185" s="2905">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8">
        <f t="shared" si="58"/>
        <v>0</v>
      </c>
      <c r="U186" s="2905">
        <f t="shared" si="52"/>
        <v>0</v>
      </c>
      <c r="V186" s="2905">
        <f t="shared" si="53"/>
        <v>0</v>
      </c>
      <c r="W186" s="955"/>
      <c r="X186" s="2905">
        <f t="shared" si="54"/>
        <v>0</v>
      </c>
      <c r="Y186" s="2905">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8">
        <f t="shared" si="58"/>
        <v>0</v>
      </c>
      <c r="U187" s="2905">
        <f t="shared" si="52"/>
        <v>0</v>
      </c>
      <c r="V187" s="2905">
        <f t="shared" si="53"/>
        <v>0</v>
      </c>
      <c r="W187" s="955"/>
      <c r="X187" s="2905">
        <f t="shared" si="54"/>
        <v>0</v>
      </c>
      <c r="Y187" s="2905">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8">
        <f t="shared" si="58"/>
        <v>0</v>
      </c>
      <c r="U188" s="2905">
        <f t="shared" si="52"/>
        <v>0</v>
      </c>
      <c r="V188" s="2905">
        <f t="shared" si="53"/>
        <v>0</v>
      </c>
      <c r="W188" s="955"/>
      <c r="X188" s="2905">
        <f t="shared" si="54"/>
        <v>0</v>
      </c>
      <c r="Y188" s="2905">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8">
        <f t="shared" si="58"/>
        <v>0</v>
      </c>
      <c r="U189" s="2905">
        <f t="shared" si="52"/>
        <v>0</v>
      </c>
      <c r="V189" s="2905">
        <f t="shared" si="53"/>
        <v>0</v>
      </c>
      <c r="W189" s="955"/>
      <c r="X189" s="2905">
        <f t="shared" si="54"/>
        <v>0</v>
      </c>
      <c r="Y189" s="2905">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8">
        <f t="shared" si="58"/>
        <v>0</v>
      </c>
      <c r="U190" s="2905">
        <f t="shared" si="52"/>
        <v>0</v>
      </c>
      <c r="V190" s="2905">
        <f t="shared" si="53"/>
        <v>0</v>
      </c>
      <c r="W190" s="955"/>
      <c r="X190" s="2905">
        <f t="shared" si="54"/>
        <v>0</v>
      </c>
      <c r="Y190" s="2905">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8">
        <f t="shared" si="58"/>
        <v>0</v>
      </c>
      <c r="U191" s="2905">
        <f t="shared" si="52"/>
        <v>0</v>
      </c>
      <c r="V191" s="2905">
        <f t="shared" si="53"/>
        <v>0</v>
      </c>
      <c r="W191" s="955"/>
      <c r="X191" s="2905">
        <f t="shared" si="54"/>
        <v>0</v>
      </c>
      <c r="Y191" s="2905">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8">
        <f t="shared" si="58"/>
        <v>0</v>
      </c>
      <c r="U192" s="2905">
        <f t="shared" si="52"/>
        <v>0</v>
      </c>
      <c r="V192" s="2905">
        <f t="shared" si="53"/>
        <v>0</v>
      </c>
      <c r="W192" s="955"/>
      <c r="X192" s="2905">
        <f t="shared" si="54"/>
        <v>0</v>
      </c>
      <c r="Y192" s="2905">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8">
        <f t="shared" si="58"/>
        <v>0</v>
      </c>
      <c r="U193" s="2905">
        <f t="shared" si="52"/>
        <v>0</v>
      </c>
      <c r="V193" s="2905">
        <f t="shared" si="53"/>
        <v>0</v>
      </c>
      <c r="W193" s="955"/>
      <c r="X193" s="2905">
        <f t="shared" si="54"/>
        <v>0</v>
      </c>
      <c r="Y193" s="2905">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8">
        <f t="shared" si="58"/>
        <v>0</v>
      </c>
      <c r="U194" s="2905">
        <f t="shared" si="52"/>
        <v>0</v>
      </c>
      <c r="V194" s="2905">
        <f t="shared" si="53"/>
        <v>0</v>
      </c>
      <c r="W194" s="955"/>
      <c r="X194" s="2905">
        <f t="shared" si="54"/>
        <v>0</v>
      </c>
      <c r="Y194" s="2905">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8">
        <f t="shared" si="58"/>
        <v>0</v>
      </c>
      <c r="U195" s="2905">
        <f t="shared" si="52"/>
        <v>0</v>
      </c>
      <c r="V195" s="2905">
        <f t="shared" si="53"/>
        <v>0</v>
      </c>
      <c r="W195" s="955"/>
      <c r="X195" s="2905">
        <f t="shared" si="54"/>
        <v>0</v>
      </c>
      <c r="Y195" s="2905">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8">
        <f t="shared" si="58"/>
        <v>0</v>
      </c>
      <c r="U196" s="2905">
        <f t="shared" si="52"/>
        <v>0</v>
      </c>
      <c r="V196" s="2905">
        <f t="shared" si="53"/>
        <v>0</v>
      </c>
      <c r="W196" s="955"/>
      <c r="X196" s="2905">
        <f t="shared" si="54"/>
        <v>0</v>
      </c>
      <c r="Y196" s="2905">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8">
        <f t="shared" si="58"/>
        <v>0</v>
      </c>
      <c r="U197" s="2905">
        <f t="shared" si="52"/>
        <v>0</v>
      </c>
      <c r="V197" s="2905">
        <f t="shared" si="53"/>
        <v>0</v>
      </c>
      <c r="W197" s="955"/>
      <c r="X197" s="2905">
        <f t="shared" si="54"/>
        <v>0</v>
      </c>
      <c r="Y197" s="2905">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8">
        <f t="shared" si="58"/>
        <v>0</v>
      </c>
      <c r="U198" s="2905">
        <f t="shared" si="52"/>
        <v>0</v>
      </c>
      <c r="V198" s="2905">
        <f t="shared" si="53"/>
        <v>0</v>
      </c>
      <c r="W198" s="955"/>
      <c r="X198" s="2905">
        <f t="shared" si="54"/>
        <v>0</v>
      </c>
      <c r="Y198" s="2905">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8">
        <f t="shared" si="58"/>
        <v>0</v>
      </c>
      <c r="U199" s="2905">
        <f t="shared" si="52"/>
        <v>0</v>
      </c>
      <c r="V199" s="2905">
        <f t="shared" si="53"/>
        <v>0</v>
      </c>
      <c r="W199" s="955"/>
      <c r="X199" s="2905">
        <f t="shared" si="54"/>
        <v>0</v>
      </c>
      <c r="Y199" s="2905">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8">
        <f t="shared" si="58"/>
        <v>0</v>
      </c>
      <c r="U200" s="2905">
        <f t="shared" si="52"/>
        <v>0</v>
      </c>
      <c r="V200" s="2905">
        <f t="shared" si="53"/>
        <v>0</v>
      </c>
      <c r="W200" s="955"/>
      <c r="X200" s="2905">
        <f t="shared" si="54"/>
        <v>0</v>
      </c>
      <c r="Y200" s="2905">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8">
        <f t="shared" si="58"/>
        <v>0</v>
      </c>
      <c r="U201" s="2905">
        <f t="shared" si="52"/>
        <v>0</v>
      </c>
      <c r="V201" s="2905">
        <f t="shared" si="53"/>
        <v>0</v>
      </c>
      <c r="W201" s="955"/>
      <c r="X201" s="2905">
        <f t="shared" si="54"/>
        <v>0</v>
      </c>
      <c r="Y201" s="2905">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8">
        <f t="shared" si="58"/>
        <v>0</v>
      </c>
      <c r="U202" s="2905">
        <f t="shared" si="52"/>
        <v>0</v>
      </c>
      <c r="V202" s="2905">
        <f t="shared" si="53"/>
        <v>0</v>
      </c>
      <c r="W202" s="955"/>
      <c r="X202" s="2905">
        <f t="shared" si="54"/>
        <v>0</v>
      </c>
      <c r="Y202" s="2905">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8">
        <f t="shared" si="58"/>
        <v>0</v>
      </c>
      <c r="U203" s="2905">
        <f t="shared" si="52"/>
        <v>0</v>
      </c>
      <c r="V203" s="2905">
        <f t="shared" si="53"/>
        <v>0</v>
      </c>
      <c r="W203" s="955"/>
      <c r="X203" s="2905">
        <f t="shared" si="54"/>
        <v>0</v>
      </c>
      <c r="Y203" s="2905">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8">
        <f t="shared" si="58"/>
        <v>0</v>
      </c>
      <c r="U204" s="2905">
        <f t="shared" si="52"/>
        <v>0</v>
      </c>
      <c r="V204" s="2905">
        <f t="shared" si="53"/>
        <v>0</v>
      </c>
      <c r="W204" s="955"/>
      <c r="X204" s="2905">
        <f t="shared" si="54"/>
        <v>0</v>
      </c>
      <c r="Y204" s="2905">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8">
        <f t="shared" si="58"/>
        <v>0</v>
      </c>
      <c r="U205" s="2905">
        <f t="shared" si="52"/>
        <v>0</v>
      </c>
      <c r="V205" s="2905">
        <f t="shared" si="53"/>
        <v>0</v>
      </c>
      <c r="W205" s="955"/>
      <c r="X205" s="2905">
        <f t="shared" si="54"/>
        <v>0</v>
      </c>
      <c r="Y205" s="2905">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8">
        <f t="shared" si="58"/>
        <v>0</v>
      </c>
      <c r="U206" s="2905">
        <f t="shared" si="52"/>
        <v>0</v>
      </c>
      <c r="V206" s="2905">
        <f t="shared" si="53"/>
        <v>0</v>
      </c>
      <c r="W206" s="955"/>
      <c r="X206" s="2905">
        <f t="shared" si="54"/>
        <v>0</v>
      </c>
      <c r="Y206" s="2905">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8">
        <f t="shared" si="58"/>
        <v>0</v>
      </c>
      <c r="U207" s="2905">
        <f t="shared" si="52"/>
        <v>0</v>
      </c>
      <c r="V207" s="2905">
        <f t="shared" si="53"/>
        <v>0</v>
      </c>
      <c r="W207" s="955"/>
      <c r="X207" s="2905">
        <f t="shared" si="54"/>
        <v>0</v>
      </c>
      <c r="Y207" s="2905">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8">
        <f t="shared" si="58"/>
        <v>0</v>
      </c>
      <c r="U208" s="2905">
        <f t="shared" si="52"/>
        <v>0</v>
      </c>
      <c r="V208" s="2905">
        <f t="shared" si="53"/>
        <v>0</v>
      </c>
      <c r="W208" s="955"/>
      <c r="X208" s="2905">
        <f t="shared" si="54"/>
        <v>0</v>
      </c>
      <c r="Y208" s="2905">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8">
        <f t="shared" si="58"/>
        <v>0</v>
      </c>
      <c r="U209" s="2905">
        <f t="shared" si="52"/>
        <v>0</v>
      </c>
      <c r="V209" s="2905">
        <f t="shared" si="53"/>
        <v>0</v>
      </c>
      <c r="W209" s="955"/>
      <c r="X209" s="2905">
        <f t="shared" si="54"/>
        <v>0</v>
      </c>
      <c r="Y209" s="2905">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8">
        <f t="shared" si="58"/>
        <v>0</v>
      </c>
      <c r="U210" s="2905">
        <f t="shared" si="52"/>
        <v>0</v>
      </c>
      <c r="V210" s="2905">
        <f t="shared" si="53"/>
        <v>0</v>
      </c>
      <c r="W210" s="955"/>
      <c r="X210" s="2905">
        <f t="shared" si="54"/>
        <v>0</v>
      </c>
      <c r="Y210" s="2905">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8">
        <f t="shared" si="58"/>
        <v>0</v>
      </c>
      <c r="U211" s="2905">
        <f t="shared" si="52"/>
        <v>0</v>
      </c>
      <c r="V211" s="2905">
        <f t="shared" si="53"/>
        <v>0</v>
      </c>
      <c r="W211" s="955"/>
      <c r="X211" s="2905">
        <f t="shared" si="54"/>
        <v>0</v>
      </c>
      <c r="Y211" s="2905">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8">
        <f t="shared" si="58"/>
        <v>0</v>
      </c>
      <c r="U212" s="2905">
        <f t="shared" si="52"/>
        <v>0</v>
      </c>
      <c r="V212" s="2905">
        <f t="shared" si="53"/>
        <v>0</v>
      </c>
      <c r="W212" s="955"/>
      <c r="X212" s="2905">
        <f t="shared" si="54"/>
        <v>0</v>
      </c>
      <c r="Y212" s="2905">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8">
        <f t="shared" si="58"/>
        <v>0</v>
      </c>
      <c r="U213" s="2905">
        <f t="shared" si="52"/>
        <v>0</v>
      </c>
      <c r="V213" s="2905">
        <f t="shared" si="53"/>
        <v>0</v>
      </c>
      <c r="W213" s="955"/>
      <c r="X213" s="2905">
        <f t="shared" si="54"/>
        <v>0</v>
      </c>
      <c r="Y213" s="2905">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8">
        <f t="shared" si="58"/>
        <v>0</v>
      </c>
      <c r="U214" s="2905">
        <f t="shared" si="52"/>
        <v>0</v>
      </c>
      <c r="V214" s="2905">
        <f t="shared" si="53"/>
        <v>0</v>
      </c>
      <c r="W214" s="955"/>
      <c r="X214" s="2905">
        <f t="shared" si="54"/>
        <v>0</v>
      </c>
      <c r="Y214" s="2905">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8">
        <f t="shared" si="58"/>
        <v>0</v>
      </c>
      <c r="U215" s="2905">
        <f t="shared" si="52"/>
        <v>0</v>
      </c>
      <c r="V215" s="2905">
        <f t="shared" si="53"/>
        <v>0</v>
      </c>
      <c r="W215" s="955"/>
      <c r="X215" s="2905">
        <f t="shared" si="54"/>
        <v>0</v>
      </c>
      <c r="Y215" s="2905">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8">
        <f t="shared" si="58"/>
        <v>0</v>
      </c>
      <c r="U216" s="2905">
        <f t="shared" si="52"/>
        <v>0</v>
      </c>
      <c r="V216" s="2905">
        <f t="shared" si="53"/>
        <v>0</v>
      </c>
      <c r="W216" s="955"/>
      <c r="X216" s="2905">
        <f t="shared" si="54"/>
        <v>0</v>
      </c>
      <c r="Y216" s="2905">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8">
        <f t="shared" si="58"/>
        <v>0</v>
      </c>
      <c r="U217" s="2905">
        <f t="shared" si="52"/>
        <v>0</v>
      </c>
      <c r="V217" s="2905">
        <f t="shared" si="53"/>
        <v>0</v>
      </c>
      <c r="W217" s="955"/>
      <c r="X217" s="2905">
        <f t="shared" si="54"/>
        <v>0</v>
      </c>
      <c r="Y217" s="2905">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8">
        <f t="shared" si="58"/>
        <v>0</v>
      </c>
      <c r="U218" s="2905">
        <f t="shared" si="52"/>
        <v>0</v>
      </c>
      <c r="V218" s="2905">
        <f t="shared" si="53"/>
        <v>0</v>
      </c>
      <c r="W218" s="955"/>
      <c r="X218" s="2905">
        <f t="shared" si="54"/>
        <v>0</v>
      </c>
      <c r="Y218" s="2905">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8">
        <f t="shared" si="58"/>
        <v>0</v>
      </c>
      <c r="U219" s="2905">
        <f t="shared" si="52"/>
        <v>0</v>
      </c>
      <c r="V219" s="2905">
        <f t="shared" si="53"/>
        <v>0</v>
      </c>
      <c r="W219" s="955"/>
      <c r="X219" s="2905">
        <f t="shared" si="54"/>
        <v>0</v>
      </c>
      <c r="Y219" s="2905">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8">
        <f t="shared" si="58"/>
        <v>0</v>
      </c>
      <c r="U220" s="2905">
        <f t="shared" ref="U220:U283" si="67">ROUND(W220*B220,0)</f>
        <v>0</v>
      </c>
      <c r="V220" s="2905">
        <f t="shared" ref="V220:V283" si="68">ROUND(W220*B220/10000,0)</f>
        <v>0</v>
      </c>
      <c r="W220" s="955"/>
      <c r="X220" s="2905">
        <f t="shared" ref="X220:X283" si="69">ROUND(Z220*B220,0)</f>
        <v>0</v>
      </c>
      <c r="Y220" s="2905">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8">
        <f t="shared" ref="T221:T284" si="73">ROUND(R221*B221/10000,0)</f>
        <v>0</v>
      </c>
      <c r="U221" s="2905">
        <f t="shared" si="67"/>
        <v>0</v>
      </c>
      <c r="V221" s="2905">
        <f t="shared" si="68"/>
        <v>0</v>
      </c>
      <c r="W221" s="955"/>
      <c r="X221" s="2905">
        <f t="shared" si="69"/>
        <v>0</v>
      </c>
      <c r="Y221" s="2905">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8">
        <f t="shared" si="73"/>
        <v>0</v>
      </c>
      <c r="U222" s="2905">
        <f t="shared" si="67"/>
        <v>0</v>
      </c>
      <c r="V222" s="2905">
        <f t="shared" si="68"/>
        <v>0</v>
      </c>
      <c r="W222" s="955"/>
      <c r="X222" s="2905">
        <f t="shared" si="69"/>
        <v>0</v>
      </c>
      <c r="Y222" s="2905">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8">
        <f t="shared" si="73"/>
        <v>0</v>
      </c>
      <c r="U223" s="2905">
        <f t="shared" si="67"/>
        <v>0</v>
      </c>
      <c r="V223" s="2905">
        <f t="shared" si="68"/>
        <v>0</v>
      </c>
      <c r="W223" s="955"/>
      <c r="X223" s="2905">
        <f t="shared" si="69"/>
        <v>0</v>
      </c>
      <c r="Y223" s="2905">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8">
        <f t="shared" si="73"/>
        <v>0</v>
      </c>
      <c r="U224" s="2905">
        <f t="shared" si="67"/>
        <v>0</v>
      </c>
      <c r="V224" s="2905">
        <f t="shared" si="68"/>
        <v>0</v>
      </c>
      <c r="W224" s="955"/>
      <c r="X224" s="2905">
        <f t="shared" si="69"/>
        <v>0</v>
      </c>
      <c r="Y224" s="2905">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8">
        <f t="shared" si="73"/>
        <v>0</v>
      </c>
      <c r="U225" s="2905">
        <f t="shared" si="67"/>
        <v>0</v>
      </c>
      <c r="V225" s="2905">
        <f t="shared" si="68"/>
        <v>0</v>
      </c>
      <c r="W225" s="955"/>
      <c r="X225" s="2905">
        <f t="shared" si="69"/>
        <v>0</v>
      </c>
      <c r="Y225" s="2905">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8">
        <f t="shared" si="73"/>
        <v>0</v>
      </c>
      <c r="U226" s="2905">
        <f t="shared" si="67"/>
        <v>0</v>
      </c>
      <c r="V226" s="2905">
        <f t="shared" si="68"/>
        <v>0</v>
      </c>
      <c r="W226" s="955"/>
      <c r="X226" s="2905">
        <f t="shared" si="69"/>
        <v>0</v>
      </c>
      <c r="Y226" s="2905">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8">
        <f t="shared" si="73"/>
        <v>0</v>
      </c>
      <c r="U227" s="2905">
        <f t="shared" si="67"/>
        <v>0</v>
      </c>
      <c r="V227" s="2905">
        <f t="shared" si="68"/>
        <v>0</v>
      </c>
      <c r="W227" s="955"/>
      <c r="X227" s="2905">
        <f t="shared" si="69"/>
        <v>0</v>
      </c>
      <c r="Y227" s="2905">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8">
        <f t="shared" si="73"/>
        <v>0</v>
      </c>
      <c r="U228" s="2905">
        <f t="shared" si="67"/>
        <v>0</v>
      </c>
      <c r="V228" s="2905">
        <f t="shared" si="68"/>
        <v>0</v>
      </c>
      <c r="W228" s="955"/>
      <c r="X228" s="2905">
        <f t="shared" si="69"/>
        <v>0</v>
      </c>
      <c r="Y228" s="2905">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8">
        <f t="shared" si="73"/>
        <v>0</v>
      </c>
      <c r="U229" s="2905">
        <f t="shared" si="67"/>
        <v>0</v>
      </c>
      <c r="V229" s="2905">
        <f t="shared" si="68"/>
        <v>0</v>
      </c>
      <c r="W229" s="955"/>
      <c r="X229" s="2905">
        <f t="shared" si="69"/>
        <v>0</v>
      </c>
      <c r="Y229" s="2905">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8">
        <f t="shared" si="73"/>
        <v>0</v>
      </c>
      <c r="U230" s="2905">
        <f t="shared" si="67"/>
        <v>0</v>
      </c>
      <c r="V230" s="2905">
        <f t="shared" si="68"/>
        <v>0</v>
      </c>
      <c r="W230" s="955"/>
      <c r="X230" s="2905">
        <f t="shared" si="69"/>
        <v>0</v>
      </c>
      <c r="Y230" s="2905">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8">
        <f t="shared" si="73"/>
        <v>0</v>
      </c>
      <c r="U231" s="2905">
        <f t="shared" si="67"/>
        <v>0</v>
      </c>
      <c r="V231" s="2905">
        <f t="shared" si="68"/>
        <v>0</v>
      </c>
      <c r="W231" s="955"/>
      <c r="X231" s="2905">
        <f t="shared" si="69"/>
        <v>0</v>
      </c>
      <c r="Y231" s="2905">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8">
        <f t="shared" si="73"/>
        <v>0</v>
      </c>
      <c r="U232" s="2905">
        <f t="shared" si="67"/>
        <v>0</v>
      </c>
      <c r="V232" s="2905">
        <f t="shared" si="68"/>
        <v>0</v>
      </c>
      <c r="W232" s="955"/>
      <c r="X232" s="2905">
        <f t="shared" si="69"/>
        <v>0</v>
      </c>
      <c r="Y232" s="2905">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8">
        <f t="shared" si="73"/>
        <v>0</v>
      </c>
      <c r="U233" s="2905">
        <f t="shared" si="67"/>
        <v>0</v>
      </c>
      <c r="V233" s="2905">
        <f t="shared" si="68"/>
        <v>0</v>
      </c>
      <c r="W233" s="955"/>
      <c r="X233" s="2905">
        <f t="shared" si="69"/>
        <v>0</v>
      </c>
      <c r="Y233" s="2905">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8">
        <f t="shared" si="73"/>
        <v>0</v>
      </c>
      <c r="U234" s="2905">
        <f t="shared" si="67"/>
        <v>0</v>
      </c>
      <c r="V234" s="2905">
        <f t="shared" si="68"/>
        <v>0</v>
      </c>
      <c r="W234" s="955"/>
      <c r="X234" s="2905">
        <f t="shared" si="69"/>
        <v>0</v>
      </c>
      <c r="Y234" s="2905">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8">
        <f t="shared" si="73"/>
        <v>0</v>
      </c>
      <c r="U235" s="2905">
        <f t="shared" si="67"/>
        <v>0</v>
      </c>
      <c r="V235" s="2905">
        <f t="shared" si="68"/>
        <v>0</v>
      </c>
      <c r="W235" s="955"/>
      <c r="X235" s="2905">
        <f t="shared" si="69"/>
        <v>0</v>
      </c>
      <c r="Y235" s="2905">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8">
        <f t="shared" si="73"/>
        <v>0</v>
      </c>
      <c r="U236" s="2905">
        <f t="shared" si="67"/>
        <v>0</v>
      </c>
      <c r="V236" s="2905">
        <f t="shared" si="68"/>
        <v>0</v>
      </c>
      <c r="W236" s="955"/>
      <c r="X236" s="2905">
        <f t="shared" si="69"/>
        <v>0</v>
      </c>
      <c r="Y236" s="2905">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8">
        <f t="shared" si="73"/>
        <v>0</v>
      </c>
      <c r="U237" s="2905">
        <f t="shared" si="67"/>
        <v>0</v>
      </c>
      <c r="V237" s="2905">
        <f t="shared" si="68"/>
        <v>0</v>
      </c>
      <c r="W237" s="955"/>
      <c r="X237" s="2905">
        <f t="shared" si="69"/>
        <v>0</v>
      </c>
      <c r="Y237" s="2905">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8">
        <f t="shared" si="73"/>
        <v>0</v>
      </c>
      <c r="U238" s="2905">
        <f t="shared" si="67"/>
        <v>0</v>
      </c>
      <c r="V238" s="2905">
        <f t="shared" si="68"/>
        <v>0</v>
      </c>
      <c r="W238" s="955"/>
      <c r="X238" s="2905">
        <f t="shared" si="69"/>
        <v>0</v>
      </c>
      <c r="Y238" s="2905">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8">
        <f t="shared" si="73"/>
        <v>0</v>
      </c>
      <c r="U239" s="2905">
        <f t="shared" si="67"/>
        <v>0</v>
      </c>
      <c r="V239" s="2905">
        <f t="shared" si="68"/>
        <v>0</v>
      </c>
      <c r="W239" s="955"/>
      <c r="X239" s="2905">
        <f t="shared" si="69"/>
        <v>0</v>
      </c>
      <c r="Y239" s="2905">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8">
        <f t="shared" si="73"/>
        <v>0</v>
      </c>
      <c r="U240" s="2905">
        <f t="shared" si="67"/>
        <v>0</v>
      </c>
      <c r="V240" s="2905">
        <f t="shared" si="68"/>
        <v>0</v>
      </c>
      <c r="W240" s="955"/>
      <c r="X240" s="2905">
        <f t="shared" si="69"/>
        <v>0</v>
      </c>
      <c r="Y240" s="2905">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8">
        <f t="shared" si="73"/>
        <v>0</v>
      </c>
      <c r="U241" s="2905">
        <f t="shared" si="67"/>
        <v>0</v>
      </c>
      <c r="V241" s="2905">
        <f t="shared" si="68"/>
        <v>0</v>
      </c>
      <c r="W241" s="955"/>
      <c r="X241" s="2905">
        <f t="shared" si="69"/>
        <v>0</v>
      </c>
      <c r="Y241" s="2905">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8">
        <f t="shared" si="73"/>
        <v>0</v>
      </c>
      <c r="U242" s="2905">
        <f t="shared" si="67"/>
        <v>0</v>
      </c>
      <c r="V242" s="2905">
        <f t="shared" si="68"/>
        <v>0</v>
      </c>
      <c r="W242" s="955"/>
      <c r="X242" s="2905">
        <f t="shared" si="69"/>
        <v>0</v>
      </c>
      <c r="Y242" s="2905">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8">
        <f t="shared" si="73"/>
        <v>0</v>
      </c>
      <c r="U243" s="2905">
        <f t="shared" si="67"/>
        <v>0</v>
      </c>
      <c r="V243" s="2905">
        <f t="shared" si="68"/>
        <v>0</v>
      </c>
      <c r="W243" s="955"/>
      <c r="X243" s="2905">
        <f t="shared" si="69"/>
        <v>0</v>
      </c>
      <c r="Y243" s="2905">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8">
        <f t="shared" si="73"/>
        <v>0</v>
      </c>
      <c r="U244" s="2905">
        <f t="shared" si="67"/>
        <v>0</v>
      </c>
      <c r="V244" s="2905">
        <f t="shared" si="68"/>
        <v>0</v>
      </c>
      <c r="W244" s="955"/>
      <c r="X244" s="2905">
        <f t="shared" si="69"/>
        <v>0</v>
      </c>
      <c r="Y244" s="2905">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8">
        <f t="shared" si="73"/>
        <v>0</v>
      </c>
      <c r="U245" s="2905">
        <f t="shared" si="67"/>
        <v>0</v>
      </c>
      <c r="V245" s="2905">
        <f t="shared" si="68"/>
        <v>0</v>
      </c>
      <c r="W245" s="955"/>
      <c r="X245" s="2905">
        <f t="shared" si="69"/>
        <v>0</v>
      </c>
      <c r="Y245" s="2905">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8">
        <f t="shared" si="73"/>
        <v>0</v>
      </c>
      <c r="U246" s="2905">
        <f t="shared" si="67"/>
        <v>0</v>
      </c>
      <c r="V246" s="2905">
        <f t="shared" si="68"/>
        <v>0</v>
      </c>
      <c r="W246" s="955"/>
      <c r="X246" s="2905">
        <f t="shared" si="69"/>
        <v>0</v>
      </c>
      <c r="Y246" s="2905">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8">
        <f t="shared" si="73"/>
        <v>0</v>
      </c>
      <c r="U247" s="2905">
        <f t="shared" si="67"/>
        <v>0</v>
      </c>
      <c r="V247" s="2905">
        <f t="shared" si="68"/>
        <v>0</v>
      </c>
      <c r="W247" s="955"/>
      <c r="X247" s="2905">
        <f t="shared" si="69"/>
        <v>0</v>
      </c>
      <c r="Y247" s="2905">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8">
        <f t="shared" si="73"/>
        <v>0</v>
      </c>
      <c r="U248" s="2905">
        <f t="shared" si="67"/>
        <v>0</v>
      </c>
      <c r="V248" s="2905">
        <f t="shared" si="68"/>
        <v>0</v>
      </c>
      <c r="W248" s="955"/>
      <c r="X248" s="2905">
        <f t="shared" si="69"/>
        <v>0</v>
      </c>
      <c r="Y248" s="2905">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8">
        <f t="shared" si="73"/>
        <v>0</v>
      </c>
      <c r="U249" s="2905">
        <f t="shared" si="67"/>
        <v>0</v>
      </c>
      <c r="V249" s="2905">
        <f t="shared" si="68"/>
        <v>0</v>
      </c>
      <c r="W249" s="955"/>
      <c r="X249" s="2905">
        <f t="shared" si="69"/>
        <v>0</v>
      </c>
      <c r="Y249" s="2905">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8">
        <f t="shared" si="73"/>
        <v>0</v>
      </c>
      <c r="U250" s="2905">
        <f t="shared" si="67"/>
        <v>0</v>
      </c>
      <c r="V250" s="2905">
        <f t="shared" si="68"/>
        <v>0</v>
      </c>
      <c r="W250" s="955"/>
      <c r="X250" s="2905">
        <f t="shared" si="69"/>
        <v>0</v>
      </c>
      <c r="Y250" s="2905">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8">
        <f t="shared" si="73"/>
        <v>0</v>
      </c>
      <c r="U251" s="2905">
        <f t="shared" si="67"/>
        <v>0</v>
      </c>
      <c r="V251" s="2905">
        <f t="shared" si="68"/>
        <v>0</v>
      </c>
      <c r="W251" s="955"/>
      <c r="X251" s="2905">
        <f t="shared" si="69"/>
        <v>0</v>
      </c>
      <c r="Y251" s="2905">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8">
        <f t="shared" si="73"/>
        <v>0</v>
      </c>
      <c r="U252" s="2905">
        <f t="shared" si="67"/>
        <v>0</v>
      </c>
      <c r="V252" s="2905">
        <f t="shared" si="68"/>
        <v>0</v>
      </c>
      <c r="W252" s="955"/>
      <c r="X252" s="2905">
        <f t="shared" si="69"/>
        <v>0</v>
      </c>
      <c r="Y252" s="2905">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8">
        <f t="shared" si="73"/>
        <v>0</v>
      </c>
      <c r="U253" s="2905">
        <f t="shared" si="67"/>
        <v>0</v>
      </c>
      <c r="V253" s="2905">
        <f t="shared" si="68"/>
        <v>0</v>
      </c>
      <c r="W253" s="955"/>
      <c r="X253" s="2905">
        <f t="shared" si="69"/>
        <v>0</v>
      </c>
      <c r="Y253" s="2905">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8">
        <f t="shared" si="73"/>
        <v>0</v>
      </c>
      <c r="U254" s="2905">
        <f t="shared" si="67"/>
        <v>0</v>
      </c>
      <c r="V254" s="2905">
        <f t="shared" si="68"/>
        <v>0</v>
      </c>
      <c r="W254" s="955"/>
      <c r="X254" s="2905">
        <f t="shared" si="69"/>
        <v>0</v>
      </c>
      <c r="Y254" s="2905">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8">
        <f t="shared" si="73"/>
        <v>0</v>
      </c>
      <c r="U255" s="2905">
        <f t="shared" si="67"/>
        <v>0</v>
      </c>
      <c r="V255" s="2905">
        <f t="shared" si="68"/>
        <v>0</v>
      </c>
      <c r="W255" s="955"/>
      <c r="X255" s="2905">
        <f t="shared" si="69"/>
        <v>0</v>
      </c>
      <c r="Y255" s="2905">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8">
        <f t="shared" si="73"/>
        <v>0</v>
      </c>
      <c r="U256" s="2905">
        <f t="shared" si="67"/>
        <v>0</v>
      </c>
      <c r="V256" s="2905">
        <f t="shared" si="68"/>
        <v>0</v>
      </c>
      <c r="W256" s="955"/>
      <c r="X256" s="2905">
        <f t="shared" si="69"/>
        <v>0</v>
      </c>
      <c r="Y256" s="2905">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8">
        <f t="shared" si="73"/>
        <v>0</v>
      </c>
      <c r="U257" s="2905">
        <f t="shared" si="67"/>
        <v>0</v>
      </c>
      <c r="V257" s="2905">
        <f t="shared" si="68"/>
        <v>0</v>
      </c>
      <c r="W257" s="955"/>
      <c r="X257" s="2905">
        <f t="shared" si="69"/>
        <v>0</v>
      </c>
      <c r="Y257" s="2905">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8">
        <f t="shared" si="73"/>
        <v>0</v>
      </c>
      <c r="U258" s="2905">
        <f t="shared" si="67"/>
        <v>0</v>
      </c>
      <c r="V258" s="2905">
        <f t="shared" si="68"/>
        <v>0</v>
      </c>
      <c r="W258" s="955"/>
      <c r="X258" s="2905">
        <f t="shared" si="69"/>
        <v>0</v>
      </c>
      <c r="Y258" s="2905">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8">
        <f t="shared" si="73"/>
        <v>0</v>
      </c>
      <c r="U259" s="2905">
        <f t="shared" si="67"/>
        <v>0</v>
      </c>
      <c r="V259" s="2905">
        <f t="shared" si="68"/>
        <v>0</v>
      </c>
      <c r="W259" s="955"/>
      <c r="X259" s="2905">
        <f t="shared" si="69"/>
        <v>0</v>
      </c>
      <c r="Y259" s="2905">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8">
        <f t="shared" si="73"/>
        <v>0</v>
      </c>
      <c r="U260" s="2905">
        <f t="shared" si="67"/>
        <v>0</v>
      </c>
      <c r="V260" s="2905">
        <f t="shared" si="68"/>
        <v>0</v>
      </c>
      <c r="W260" s="955"/>
      <c r="X260" s="2905">
        <f t="shared" si="69"/>
        <v>0</v>
      </c>
      <c r="Y260" s="2905">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8">
        <f t="shared" si="73"/>
        <v>0</v>
      </c>
      <c r="U261" s="2905">
        <f t="shared" si="67"/>
        <v>0</v>
      </c>
      <c r="V261" s="2905">
        <f t="shared" si="68"/>
        <v>0</v>
      </c>
      <c r="W261" s="955"/>
      <c r="X261" s="2905">
        <f t="shared" si="69"/>
        <v>0</v>
      </c>
      <c r="Y261" s="2905">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8">
        <f t="shared" si="73"/>
        <v>0</v>
      </c>
      <c r="U262" s="2905">
        <f t="shared" si="67"/>
        <v>0</v>
      </c>
      <c r="V262" s="2905">
        <f t="shared" si="68"/>
        <v>0</v>
      </c>
      <c r="W262" s="955"/>
      <c r="X262" s="2905">
        <f t="shared" si="69"/>
        <v>0</v>
      </c>
      <c r="Y262" s="2905">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8">
        <f t="shared" si="73"/>
        <v>0</v>
      </c>
      <c r="U263" s="2905">
        <f t="shared" si="67"/>
        <v>0</v>
      </c>
      <c r="V263" s="2905">
        <f t="shared" si="68"/>
        <v>0</v>
      </c>
      <c r="W263" s="955"/>
      <c r="X263" s="2905">
        <f t="shared" si="69"/>
        <v>0</v>
      </c>
      <c r="Y263" s="2905">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8">
        <f t="shared" si="73"/>
        <v>0</v>
      </c>
      <c r="U264" s="2905">
        <f t="shared" si="67"/>
        <v>0</v>
      </c>
      <c r="V264" s="2905">
        <f t="shared" si="68"/>
        <v>0</v>
      </c>
      <c r="W264" s="955"/>
      <c r="X264" s="2905">
        <f t="shared" si="69"/>
        <v>0</v>
      </c>
      <c r="Y264" s="2905">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8">
        <f t="shared" si="73"/>
        <v>0</v>
      </c>
      <c r="U265" s="2905">
        <f t="shared" si="67"/>
        <v>0</v>
      </c>
      <c r="V265" s="2905">
        <f t="shared" si="68"/>
        <v>0</v>
      </c>
      <c r="W265" s="955"/>
      <c r="X265" s="2905">
        <f t="shared" si="69"/>
        <v>0</v>
      </c>
      <c r="Y265" s="2905">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8">
        <f t="shared" si="73"/>
        <v>0</v>
      </c>
      <c r="U266" s="2905">
        <f t="shared" si="67"/>
        <v>0</v>
      </c>
      <c r="V266" s="2905">
        <f t="shared" si="68"/>
        <v>0</v>
      </c>
      <c r="W266" s="955"/>
      <c r="X266" s="2905">
        <f t="shared" si="69"/>
        <v>0</v>
      </c>
      <c r="Y266" s="2905">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8">
        <f t="shared" si="73"/>
        <v>0</v>
      </c>
      <c r="U267" s="2905">
        <f t="shared" si="67"/>
        <v>0</v>
      </c>
      <c r="V267" s="2905">
        <f t="shared" si="68"/>
        <v>0</v>
      </c>
      <c r="W267" s="955"/>
      <c r="X267" s="2905">
        <f t="shared" si="69"/>
        <v>0</v>
      </c>
      <c r="Y267" s="2905">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8">
        <f t="shared" si="73"/>
        <v>0</v>
      </c>
      <c r="U268" s="2905">
        <f t="shared" si="67"/>
        <v>0</v>
      </c>
      <c r="V268" s="2905">
        <f t="shared" si="68"/>
        <v>0</v>
      </c>
      <c r="W268" s="955"/>
      <c r="X268" s="2905">
        <f t="shared" si="69"/>
        <v>0</v>
      </c>
      <c r="Y268" s="2905">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8">
        <f t="shared" si="73"/>
        <v>0</v>
      </c>
      <c r="U269" s="2905">
        <f t="shared" si="67"/>
        <v>0</v>
      </c>
      <c r="V269" s="2905">
        <f t="shared" si="68"/>
        <v>0</v>
      </c>
      <c r="W269" s="955"/>
      <c r="X269" s="2905">
        <f t="shared" si="69"/>
        <v>0</v>
      </c>
      <c r="Y269" s="2905">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8">
        <f t="shared" si="73"/>
        <v>0</v>
      </c>
      <c r="U270" s="2905">
        <f t="shared" si="67"/>
        <v>0</v>
      </c>
      <c r="V270" s="2905">
        <f t="shared" si="68"/>
        <v>0</v>
      </c>
      <c r="W270" s="955"/>
      <c r="X270" s="2905">
        <f t="shared" si="69"/>
        <v>0</v>
      </c>
      <c r="Y270" s="2905">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8">
        <f t="shared" si="73"/>
        <v>0</v>
      </c>
      <c r="U271" s="2905">
        <f t="shared" si="67"/>
        <v>0</v>
      </c>
      <c r="V271" s="2905">
        <f t="shared" si="68"/>
        <v>0</v>
      </c>
      <c r="W271" s="955"/>
      <c r="X271" s="2905">
        <f t="shared" si="69"/>
        <v>0</v>
      </c>
      <c r="Y271" s="2905">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8">
        <f t="shared" si="73"/>
        <v>0</v>
      </c>
      <c r="U272" s="2905">
        <f t="shared" si="67"/>
        <v>0</v>
      </c>
      <c r="V272" s="2905">
        <f t="shared" si="68"/>
        <v>0</v>
      </c>
      <c r="W272" s="955"/>
      <c r="X272" s="2905">
        <f t="shared" si="69"/>
        <v>0</v>
      </c>
      <c r="Y272" s="2905">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8">
        <f t="shared" si="73"/>
        <v>0</v>
      </c>
      <c r="U273" s="2905">
        <f t="shared" si="67"/>
        <v>0</v>
      </c>
      <c r="V273" s="2905">
        <f t="shared" si="68"/>
        <v>0</v>
      </c>
      <c r="W273" s="955"/>
      <c r="X273" s="2905">
        <f t="shared" si="69"/>
        <v>0</v>
      </c>
      <c r="Y273" s="2905">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8">
        <f t="shared" si="73"/>
        <v>0</v>
      </c>
      <c r="U274" s="2905">
        <f t="shared" si="67"/>
        <v>0</v>
      </c>
      <c r="V274" s="2905">
        <f t="shared" si="68"/>
        <v>0</v>
      </c>
      <c r="W274" s="955"/>
      <c r="X274" s="2905">
        <f t="shared" si="69"/>
        <v>0</v>
      </c>
      <c r="Y274" s="2905">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8">
        <f t="shared" si="73"/>
        <v>0</v>
      </c>
      <c r="U275" s="2905">
        <f t="shared" si="67"/>
        <v>0</v>
      </c>
      <c r="V275" s="2905">
        <f t="shared" si="68"/>
        <v>0</v>
      </c>
      <c r="W275" s="955"/>
      <c r="X275" s="2905">
        <f t="shared" si="69"/>
        <v>0</v>
      </c>
      <c r="Y275" s="2905">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8">
        <f t="shared" si="73"/>
        <v>0</v>
      </c>
      <c r="U276" s="2905">
        <f t="shared" si="67"/>
        <v>0</v>
      </c>
      <c r="V276" s="2905">
        <f t="shared" si="68"/>
        <v>0</v>
      </c>
      <c r="W276" s="955"/>
      <c r="X276" s="2905">
        <f t="shared" si="69"/>
        <v>0</v>
      </c>
      <c r="Y276" s="2905">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8">
        <f t="shared" si="73"/>
        <v>0</v>
      </c>
      <c r="U277" s="2905">
        <f t="shared" si="67"/>
        <v>0</v>
      </c>
      <c r="V277" s="2905">
        <f t="shared" si="68"/>
        <v>0</v>
      </c>
      <c r="W277" s="955"/>
      <c r="X277" s="2905">
        <f t="shared" si="69"/>
        <v>0</v>
      </c>
      <c r="Y277" s="2905">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8">
        <f t="shared" si="73"/>
        <v>0</v>
      </c>
      <c r="U278" s="2905">
        <f t="shared" si="67"/>
        <v>0</v>
      </c>
      <c r="V278" s="2905">
        <f t="shared" si="68"/>
        <v>0</v>
      </c>
      <c r="W278" s="955"/>
      <c r="X278" s="2905">
        <f t="shared" si="69"/>
        <v>0</v>
      </c>
      <c r="Y278" s="2905">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8">
        <f t="shared" si="73"/>
        <v>0</v>
      </c>
      <c r="U279" s="2905">
        <f t="shared" si="67"/>
        <v>0</v>
      </c>
      <c r="V279" s="2905">
        <f t="shared" si="68"/>
        <v>0</v>
      </c>
      <c r="W279" s="955"/>
      <c r="X279" s="2905">
        <f t="shared" si="69"/>
        <v>0</v>
      </c>
      <c r="Y279" s="2905">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8">
        <f t="shared" si="73"/>
        <v>0</v>
      </c>
      <c r="U280" s="2905">
        <f t="shared" si="67"/>
        <v>0</v>
      </c>
      <c r="V280" s="2905">
        <f t="shared" si="68"/>
        <v>0</v>
      </c>
      <c r="W280" s="955"/>
      <c r="X280" s="2905">
        <f t="shared" si="69"/>
        <v>0</v>
      </c>
      <c r="Y280" s="2905">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8">
        <f t="shared" si="73"/>
        <v>0</v>
      </c>
      <c r="U281" s="2905">
        <f t="shared" si="67"/>
        <v>0</v>
      </c>
      <c r="V281" s="2905">
        <f t="shared" si="68"/>
        <v>0</v>
      </c>
      <c r="W281" s="955"/>
      <c r="X281" s="2905">
        <f t="shared" si="69"/>
        <v>0</v>
      </c>
      <c r="Y281" s="2905">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8">
        <f t="shared" si="73"/>
        <v>0</v>
      </c>
      <c r="U282" s="2905">
        <f t="shared" si="67"/>
        <v>0</v>
      </c>
      <c r="V282" s="2905">
        <f t="shared" si="68"/>
        <v>0</v>
      </c>
      <c r="W282" s="955"/>
      <c r="X282" s="2905">
        <f t="shared" si="69"/>
        <v>0</v>
      </c>
      <c r="Y282" s="2905">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8">
        <f t="shared" si="73"/>
        <v>0</v>
      </c>
      <c r="U283" s="2905">
        <f t="shared" si="67"/>
        <v>0</v>
      </c>
      <c r="V283" s="2905">
        <f t="shared" si="68"/>
        <v>0</v>
      </c>
      <c r="W283" s="955"/>
      <c r="X283" s="2905">
        <f t="shared" si="69"/>
        <v>0</v>
      </c>
      <c r="Y283" s="2905">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8">
        <f t="shared" si="73"/>
        <v>0</v>
      </c>
      <c r="U284" s="2905">
        <f t="shared" ref="U284:U347" si="82">ROUND(W284*B284,0)</f>
        <v>0</v>
      </c>
      <c r="V284" s="2905">
        <f t="shared" ref="V284:V347" si="83">ROUND(W284*B284/10000,0)</f>
        <v>0</v>
      </c>
      <c r="W284" s="955"/>
      <c r="X284" s="2905">
        <f t="shared" ref="X284:X347" si="84">ROUND(Z284*B284,0)</f>
        <v>0</v>
      </c>
      <c r="Y284" s="2905">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8">
        <f t="shared" ref="T285:T348" si="88">ROUND(R285*B285/10000,0)</f>
        <v>0</v>
      </c>
      <c r="U285" s="2905">
        <f t="shared" si="82"/>
        <v>0</v>
      </c>
      <c r="V285" s="2905">
        <f t="shared" si="83"/>
        <v>0</v>
      </c>
      <c r="W285" s="955"/>
      <c r="X285" s="2905">
        <f t="shared" si="84"/>
        <v>0</v>
      </c>
      <c r="Y285" s="2905">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8">
        <f t="shared" si="88"/>
        <v>0</v>
      </c>
      <c r="U286" s="2905">
        <f t="shared" si="82"/>
        <v>0</v>
      </c>
      <c r="V286" s="2905">
        <f t="shared" si="83"/>
        <v>0</v>
      </c>
      <c r="W286" s="955"/>
      <c r="X286" s="2905">
        <f t="shared" si="84"/>
        <v>0</v>
      </c>
      <c r="Y286" s="2905">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8">
        <f t="shared" si="88"/>
        <v>0</v>
      </c>
      <c r="U287" s="2905">
        <f t="shared" si="82"/>
        <v>0</v>
      </c>
      <c r="V287" s="2905">
        <f t="shared" si="83"/>
        <v>0</v>
      </c>
      <c r="W287" s="955"/>
      <c r="X287" s="2905">
        <f t="shared" si="84"/>
        <v>0</v>
      </c>
      <c r="Y287" s="2905">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8">
        <f t="shared" si="88"/>
        <v>0</v>
      </c>
      <c r="U288" s="2905">
        <f t="shared" si="82"/>
        <v>0</v>
      </c>
      <c r="V288" s="2905">
        <f t="shared" si="83"/>
        <v>0</v>
      </c>
      <c r="W288" s="955"/>
      <c r="X288" s="2905">
        <f t="shared" si="84"/>
        <v>0</v>
      </c>
      <c r="Y288" s="2905">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8">
        <f t="shared" si="88"/>
        <v>0</v>
      </c>
      <c r="U289" s="2905">
        <f t="shared" si="82"/>
        <v>0</v>
      </c>
      <c r="V289" s="2905">
        <f t="shared" si="83"/>
        <v>0</v>
      </c>
      <c r="W289" s="955"/>
      <c r="X289" s="2905">
        <f t="shared" si="84"/>
        <v>0</v>
      </c>
      <c r="Y289" s="2905">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8">
        <f t="shared" si="88"/>
        <v>0</v>
      </c>
      <c r="U290" s="2905">
        <f t="shared" si="82"/>
        <v>0</v>
      </c>
      <c r="V290" s="2905">
        <f t="shared" si="83"/>
        <v>0</v>
      </c>
      <c r="W290" s="955"/>
      <c r="X290" s="2905">
        <f t="shared" si="84"/>
        <v>0</v>
      </c>
      <c r="Y290" s="2905">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8">
        <f t="shared" si="88"/>
        <v>0</v>
      </c>
      <c r="U291" s="2905">
        <f t="shared" si="82"/>
        <v>0</v>
      </c>
      <c r="V291" s="2905">
        <f t="shared" si="83"/>
        <v>0</v>
      </c>
      <c r="W291" s="955"/>
      <c r="X291" s="2905">
        <f t="shared" si="84"/>
        <v>0</v>
      </c>
      <c r="Y291" s="2905">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8">
        <f t="shared" si="88"/>
        <v>0</v>
      </c>
      <c r="U292" s="2905">
        <f t="shared" si="82"/>
        <v>0</v>
      </c>
      <c r="V292" s="2905">
        <f t="shared" si="83"/>
        <v>0</v>
      </c>
      <c r="W292" s="955"/>
      <c r="X292" s="2905">
        <f t="shared" si="84"/>
        <v>0</v>
      </c>
      <c r="Y292" s="2905">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8">
        <f t="shared" si="88"/>
        <v>0</v>
      </c>
      <c r="U293" s="2905">
        <f t="shared" si="82"/>
        <v>0</v>
      </c>
      <c r="V293" s="2905">
        <f t="shared" si="83"/>
        <v>0</v>
      </c>
      <c r="W293" s="955"/>
      <c r="X293" s="2905">
        <f t="shared" si="84"/>
        <v>0</v>
      </c>
      <c r="Y293" s="2905">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8">
        <f t="shared" si="88"/>
        <v>0</v>
      </c>
      <c r="U294" s="2905">
        <f t="shared" si="82"/>
        <v>0</v>
      </c>
      <c r="V294" s="2905">
        <f t="shared" si="83"/>
        <v>0</v>
      </c>
      <c r="W294" s="955"/>
      <c r="X294" s="2905">
        <f t="shared" si="84"/>
        <v>0</v>
      </c>
      <c r="Y294" s="2905">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8">
        <f t="shared" si="88"/>
        <v>0</v>
      </c>
      <c r="U295" s="2905">
        <f t="shared" si="82"/>
        <v>0</v>
      </c>
      <c r="V295" s="2905">
        <f t="shared" si="83"/>
        <v>0</v>
      </c>
      <c r="W295" s="955"/>
      <c r="X295" s="2905">
        <f t="shared" si="84"/>
        <v>0</v>
      </c>
      <c r="Y295" s="2905">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8">
        <f t="shared" si="88"/>
        <v>0</v>
      </c>
      <c r="U296" s="2905">
        <f t="shared" si="82"/>
        <v>0</v>
      </c>
      <c r="V296" s="2905">
        <f t="shared" si="83"/>
        <v>0</v>
      </c>
      <c r="W296" s="955"/>
      <c r="X296" s="2905">
        <f t="shared" si="84"/>
        <v>0</v>
      </c>
      <c r="Y296" s="2905">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8">
        <f t="shared" si="88"/>
        <v>0</v>
      </c>
      <c r="U297" s="2905">
        <f t="shared" si="82"/>
        <v>0</v>
      </c>
      <c r="V297" s="2905">
        <f t="shared" si="83"/>
        <v>0</v>
      </c>
      <c r="W297" s="955"/>
      <c r="X297" s="2905">
        <f t="shared" si="84"/>
        <v>0</v>
      </c>
      <c r="Y297" s="2905">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8">
        <f t="shared" si="88"/>
        <v>0</v>
      </c>
      <c r="U298" s="2905">
        <f t="shared" si="82"/>
        <v>0</v>
      </c>
      <c r="V298" s="2905">
        <f t="shared" si="83"/>
        <v>0</v>
      </c>
      <c r="W298" s="955"/>
      <c r="X298" s="2905">
        <f t="shared" si="84"/>
        <v>0</v>
      </c>
      <c r="Y298" s="2905">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8">
        <f t="shared" si="88"/>
        <v>0</v>
      </c>
      <c r="U299" s="2905">
        <f t="shared" si="82"/>
        <v>0</v>
      </c>
      <c r="V299" s="2905">
        <f t="shared" si="83"/>
        <v>0</v>
      </c>
      <c r="W299" s="955"/>
      <c r="X299" s="2905">
        <f t="shared" si="84"/>
        <v>0</v>
      </c>
      <c r="Y299" s="2905">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8">
        <f t="shared" si="88"/>
        <v>0</v>
      </c>
      <c r="U300" s="2905">
        <f t="shared" si="82"/>
        <v>0</v>
      </c>
      <c r="V300" s="2905">
        <f t="shared" si="83"/>
        <v>0</v>
      </c>
      <c r="W300" s="955"/>
      <c r="X300" s="2905">
        <f t="shared" si="84"/>
        <v>0</v>
      </c>
      <c r="Y300" s="2905">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8">
        <f t="shared" si="88"/>
        <v>0</v>
      </c>
      <c r="U301" s="2905">
        <f t="shared" si="82"/>
        <v>0</v>
      </c>
      <c r="V301" s="2905">
        <f t="shared" si="83"/>
        <v>0</v>
      </c>
      <c r="W301" s="955"/>
      <c r="X301" s="2905">
        <f t="shared" si="84"/>
        <v>0</v>
      </c>
      <c r="Y301" s="2905">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8">
        <f t="shared" si="88"/>
        <v>0</v>
      </c>
      <c r="U302" s="2905">
        <f t="shared" si="82"/>
        <v>0</v>
      </c>
      <c r="V302" s="2905">
        <f t="shared" si="83"/>
        <v>0</v>
      </c>
      <c r="W302" s="955"/>
      <c r="X302" s="2905">
        <f t="shared" si="84"/>
        <v>0</v>
      </c>
      <c r="Y302" s="2905">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8">
        <f t="shared" si="88"/>
        <v>0</v>
      </c>
      <c r="U303" s="2905">
        <f t="shared" si="82"/>
        <v>0</v>
      </c>
      <c r="V303" s="2905">
        <f t="shared" si="83"/>
        <v>0</v>
      </c>
      <c r="W303" s="955"/>
      <c r="X303" s="2905">
        <f t="shared" si="84"/>
        <v>0</v>
      </c>
      <c r="Y303" s="2905">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8">
        <f t="shared" si="88"/>
        <v>0</v>
      </c>
      <c r="U304" s="2905">
        <f t="shared" si="82"/>
        <v>0</v>
      </c>
      <c r="V304" s="2905">
        <f t="shared" si="83"/>
        <v>0</v>
      </c>
      <c r="W304" s="955"/>
      <c r="X304" s="2905">
        <f t="shared" si="84"/>
        <v>0</v>
      </c>
      <c r="Y304" s="2905">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8">
        <f t="shared" si="88"/>
        <v>0</v>
      </c>
      <c r="U305" s="2905">
        <f t="shared" si="82"/>
        <v>0</v>
      </c>
      <c r="V305" s="2905">
        <f t="shared" si="83"/>
        <v>0</v>
      </c>
      <c r="W305" s="955"/>
      <c r="X305" s="2905">
        <f t="shared" si="84"/>
        <v>0</v>
      </c>
      <c r="Y305" s="2905">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8">
        <f t="shared" si="88"/>
        <v>0</v>
      </c>
      <c r="U306" s="2905">
        <f t="shared" si="82"/>
        <v>0</v>
      </c>
      <c r="V306" s="2905">
        <f t="shared" si="83"/>
        <v>0</v>
      </c>
      <c r="W306" s="955"/>
      <c r="X306" s="2905">
        <f t="shared" si="84"/>
        <v>0</v>
      </c>
      <c r="Y306" s="2905">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8">
        <f t="shared" si="88"/>
        <v>0</v>
      </c>
      <c r="U307" s="2905">
        <f t="shared" si="82"/>
        <v>0</v>
      </c>
      <c r="V307" s="2905">
        <f t="shared" si="83"/>
        <v>0</v>
      </c>
      <c r="W307" s="955"/>
      <c r="X307" s="2905">
        <f t="shared" si="84"/>
        <v>0</v>
      </c>
      <c r="Y307" s="2905">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8">
        <f t="shared" si="88"/>
        <v>0</v>
      </c>
      <c r="U308" s="2905">
        <f t="shared" si="82"/>
        <v>0</v>
      </c>
      <c r="V308" s="2905">
        <f t="shared" si="83"/>
        <v>0</v>
      </c>
      <c r="W308" s="955"/>
      <c r="X308" s="2905">
        <f t="shared" si="84"/>
        <v>0</v>
      </c>
      <c r="Y308" s="2905">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8">
        <f t="shared" si="88"/>
        <v>0</v>
      </c>
      <c r="U309" s="2905">
        <f t="shared" si="82"/>
        <v>0</v>
      </c>
      <c r="V309" s="2905">
        <f t="shared" si="83"/>
        <v>0</v>
      </c>
      <c r="W309" s="955"/>
      <c r="X309" s="2905">
        <f t="shared" si="84"/>
        <v>0</v>
      </c>
      <c r="Y309" s="2905">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8">
        <f t="shared" si="88"/>
        <v>0</v>
      </c>
      <c r="U310" s="2905">
        <f t="shared" si="82"/>
        <v>0</v>
      </c>
      <c r="V310" s="2905">
        <f t="shared" si="83"/>
        <v>0</v>
      </c>
      <c r="W310" s="955"/>
      <c r="X310" s="2905">
        <f t="shared" si="84"/>
        <v>0</v>
      </c>
      <c r="Y310" s="2905">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8">
        <f t="shared" si="88"/>
        <v>0</v>
      </c>
      <c r="U311" s="2905">
        <f t="shared" si="82"/>
        <v>0</v>
      </c>
      <c r="V311" s="2905">
        <f t="shared" si="83"/>
        <v>0</v>
      </c>
      <c r="W311" s="955"/>
      <c r="X311" s="2905">
        <f t="shared" si="84"/>
        <v>0</v>
      </c>
      <c r="Y311" s="2905">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8">
        <f t="shared" si="88"/>
        <v>0</v>
      </c>
      <c r="U312" s="2905">
        <f t="shared" si="82"/>
        <v>0</v>
      </c>
      <c r="V312" s="2905">
        <f t="shared" si="83"/>
        <v>0</v>
      </c>
      <c r="W312" s="955"/>
      <c r="X312" s="2905">
        <f t="shared" si="84"/>
        <v>0</v>
      </c>
      <c r="Y312" s="2905">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8">
        <f t="shared" si="88"/>
        <v>0</v>
      </c>
      <c r="U313" s="2905">
        <f t="shared" si="82"/>
        <v>0</v>
      </c>
      <c r="V313" s="2905">
        <f t="shared" si="83"/>
        <v>0</v>
      </c>
      <c r="W313" s="955"/>
      <c r="X313" s="2905">
        <f t="shared" si="84"/>
        <v>0</v>
      </c>
      <c r="Y313" s="2905">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8">
        <f t="shared" si="88"/>
        <v>0</v>
      </c>
      <c r="U314" s="2905">
        <f t="shared" si="82"/>
        <v>0</v>
      </c>
      <c r="V314" s="2905">
        <f t="shared" si="83"/>
        <v>0</v>
      </c>
      <c r="W314" s="955"/>
      <c r="X314" s="2905">
        <f t="shared" si="84"/>
        <v>0</v>
      </c>
      <c r="Y314" s="2905">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8">
        <f t="shared" si="88"/>
        <v>0</v>
      </c>
      <c r="U315" s="2905">
        <f t="shared" si="82"/>
        <v>0</v>
      </c>
      <c r="V315" s="2905">
        <f t="shared" si="83"/>
        <v>0</v>
      </c>
      <c r="W315" s="955"/>
      <c r="X315" s="2905">
        <f t="shared" si="84"/>
        <v>0</v>
      </c>
      <c r="Y315" s="2905">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8">
        <f t="shared" si="88"/>
        <v>0</v>
      </c>
      <c r="U316" s="2905">
        <f t="shared" si="82"/>
        <v>0</v>
      </c>
      <c r="V316" s="2905">
        <f t="shared" si="83"/>
        <v>0</v>
      </c>
      <c r="W316" s="955"/>
      <c r="X316" s="2905">
        <f t="shared" si="84"/>
        <v>0</v>
      </c>
      <c r="Y316" s="2905">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8">
        <f t="shared" si="88"/>
        <v>0</v>
      </c>
      <c r="U317" s="2905">
        <f t="shared" si="82"/>
        <v>0</v>
      </c>
      <c r="V317" s="2905">
        <f t="shared" si="83"/>
        <v>0</v>
      </c>
      <c r="W317" s="955"/>
      <c r="X317" s="2905">
        <f t="shared" si="84"/>
        <v>0</v>
      </c>
      <c r="Y317" s="2905">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8">
        <f t="shared" si="88"/>
        <v>0</v>
      </c>
      <c r="U318" s="2905">
        <f t="shared" si="82"/>
        <v>0</v>
      </c>
      <c r="V318" s="2905">
        <f t="shared" si="83"/>
        <v>0</v>
      </c>
      <c r="W318" s="955"/>
      <c r="X318" s="2905">
        <f t="shared" si="84"/>
        <v>0</v>
      </c>
      <c r="Y318" s="2905">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8">
        <f t="shared" si="88"/>
        <v>0</v>
      </c>
      <c r="U319" s="2905">
        <f t="shared" si="82"/>
        <v>0</v>
      </c>
      <c r="V319" s="2905">
        <f t="shared" si="83"/>
        <v>0</v>
      </c>
      <c r="W319" s="955"/>
      <c r="X319" s="2905">
        <f t="shared" si="84"/>
        <v>0</v>
      </c>
      <c r="Y319" s="2905">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8">
        <f t="shared" si="88"/>
        <v>0</v>
      </c>
      <c r="U320" s="2905">
        <f t="shared" si="82"/>
        <v>0</v>
      </c>
      <c r="V320" s="2905">
        <f t="shared" si="83"/>
        <v>0</v>
      </c>
      <c r="W320" s="955"/>
      <c r="X320" s="2905">
        <f t="shared" si="84"/>
        <v>0</v>
      </c>
      <c r="Y320" s="2905">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8">
        <f t="shared" si="88"/>
        <v>0</v>
      </c>
      <c r="U321" s="2905">
        <f t="shared" si="82"/>
        <v>0</v>
      </c>
      <c r="V321" s="2905">
        <f t="shared" si="83"/>
        <v>0</v>
      </c>
      <c r="W321" s="955"/>
      <c r="X321" s="2905">
        <f t="shared" si="84"/>
        <v>0</v>
      </c>
      <c r="Y321" s="2905">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8">
        <f t="shared" si="88"/>
        <v>0</v>
      </c>
      <c r="U322" s="2905">
        <f t="shared" si="82"/>
        <v>0</v>
      </c>
      <c r="V322" s="2905">
        <f t="shared" si="83"/>
        <v>0</v>
      </c>
      <c r="W322" s="955"/>
      <c r="X322" s="2905">
        <f t="shared" si="84"/>
        <v>0</v>
      </c>
      <c r="Y322" s="2905">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8">
        <f t="shared" si="88"/>
        <v>0</v>
      </c>
      <c r="U323" s="2905">
        <f t="shared" si="82"/>
        <v>0</v>
      </c>
      <c r="V323" s="2905">
        <f t="shared" si="83"/>
        <v>0</v>
      </c>
      <c r="W323" s="955"/>
      <c r="X323" s="2905">
        <f t="shared" si="84"/>
        <v>0</v>
      </c>
      <c r="Y323" s="2905">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8">
        <f t="shared" si="88"/>
        <v>0</v>
      </c>
      <c r="U324" s="2905">
        <f t="shared" si="82"/>
        <v>0</v>
      </c>
      <c r="V324" s="2905">
        <f t="shared" si="83"/>
        <v>0</v>
      </c>
      <c r="W324" s="955"/>
      <c r="X324" s="2905">
        <f t="shared" si="84"/>
        <v>0</v>
      </c>
      <c r="Y324" s="2905">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8">
        <f t="shared" si="88"/>
        <v>0</v>
      </c>
      <c r="U325" s="2905">
        <f t="shared" si="82"/>
        <v>0</v>
      </c>
      <c r="V325" s="2905">
        <f t="shared" si="83"/>
        <v>0</v>
      </c>
      <c r="W325" s="955"/>
      <c r="X325" s="2905">
        <f t="shared" si="84"/>
        <v>0</v>
      </c>
      <c r="Y325" s="2905">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8">
        <f t="shared" si="88"/>
        <v>0</v>
      </c>
      <c r="U326" s="2905">
        <f t="shared" si="82"/>
        <v>0</v>
      </c>
      <c r="V326" s="2905">
        <f t="shared" si="83"/>
        <v>0</v>
      </c>
      <c r="W326" s="955"/>
      <c r="X326" s="2905">
        <f t="shared" si="84"/>
        <v>0</v>
      </c>
      <c r="Y326" s="2905">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8">
        <f t="shared" si="88"/>
        <v>0</v>
      </c>
      <c r="U327" s="2905">
        <f t="shared" si="82"/>
        <v>0</v>
      </c>
      <c r="V327" s="2905">
        <f t="shared" si="83"/>
        <v>0</v>
      </c>
      <c r="W327" s="955"/>
      <c r="X327" s="2905">
        <f t="shared" si="84"/>
        <v>0</v>
      </c>
      <c r="Y327" s="2905">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8">
        <f t="shared" si="88"/>
        <v>0</v>
      </c>
      <c r="U328" s="2905">
        <f t="shared" si="82"/>
        <v>0</v>
      </c>
      <c r="V328" s="2905">
        <f t="shared" si="83"/>
        <v>0</v>
      </c>
      <c r="W328" s="955"/>
      <c r="X328" s="2905">
        <f t="shared" si="84"/>
        <v>0</v>
      </c>
      <c r="Y328" s="2905">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8">
        <f t="shared" si="88"/>
        <v>0</v>
      </c>
      <c r="U329" s="2905">
        <f t="shared" si="82"/>
        <v>0</v>
      </c>
      <c r="V329" s="2905">
        <f t="shared" si="83"/>
        <v>0</v>
      </c>
      <c r="W329" s="955"/>
      <c r="X329" s="2905">
        <f t="shared" si="84"/>
        <v>0</v>
      </c>
      <c r="Y329" s="2905">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8">
        <f t="shared" si="88"/>
        <v>0</v>
      </c>
      <c r="U330" s="2905">
        <f t="shared" si="82"/>
        <v>0</v>
      </c>
      <c r="V330" s="2905">
        <f t="shared" si="83"/>
        <v>0</v>
      </c>
      <c r="W330" s="955"/>
      <c r="X330" s="2905">
        <f t="shared" si="84"/>
        <v>0</v>
      </c>
      <c r="Y330" s="2905">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8">
        <f t="shared" si="88"/>
        <v>0</v>
      </c>
      <c r="U331" s="2905">
        <f t="shared" si="82"/>
        <v>0</v>
      </c>
      <c r="V331" s="2905">
        <f t="shared" si="83"/>
        <v>0</v>
      </c>
      <c r="W331" s="955"/>
      <c r="X331" s="2905">
        <f t="shared" si="84"/>
        <v>0</v>
      </c>
      <c r="Y331" s="2905">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8">
        <f t="shared" si="88"/>
        <v>0</v>
      </c>
      <c r="U332" s="2905">
        <f t="shared" si="82"/>
        <v>0</v>
      </c>
      <c r="V332" s="2905">
        <f t="shared" si="83"/>
        <v>0</v>
      </c>
      <c r="W332" s="955"/>
      <c r="X332" s="2905">
        <f t="shared" si="84"/>
        <v>0</v>
      </c>
      <c r="Y332" s="2905">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8">
        <f t="shared" si="88"/>
        <v>0</v>
      </c>
      <c r="U333" s="2905">
        <f t="shared" si="82"/>
        <v>0</v>
      </c>
      <c r="V333" s="2905">
        <f t="shared" si="83"/>
        <v>0</v>
      </c>
      <c r="W333" s="955"/>
      <c r="X333" s="2905">
        <f t="shared" si="84"/>
        <v>0</v>
      </c>
      <c r="Y333" s="2905">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8">
        <f t="shared" si="88"/>
        <v>0</v>
      </c>
      <c r="U334" s="2905">
        <f t="shared" si="82"/>
        <v>0</v>
      </c>
      <c r="V334" s="2905">
        <f t="shared" si="83"/>
        <v>0</v>
      </c>
      <c r="W334" s="955"/>
      <c r="X334" s="2905">
        <f t="shared" si="84"/>
        <v>0</v>
      </c>
      <c r="Y334" s="2905">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8">
        <f t="shared" si="88"/>
        <v>0</v>
      </c>
      <c r="U335" s="2905">
        <f t="shared" si="82"/>
        <v>0</v>
      </c>
      <c r="V335" s="2905">
        <f t="shared" si="83"/>
        <v>0</v>
      </c>
      <c r="W335" s="955"/>
      <c r="X335" s="2905">
        <f t="shared" si="84"/>
        <v>0</v>
      </c>
      <c r="Y335" s="2905">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8">
        <f t="shared" si="88"/>
        <v>0</v>
      </c>
      <c r="U336" s="2905">
        <f t="shared" si="82"/>
        <v>0</v>
      </c>
      <c r="V336" s="2905">
        <f t="shared" si="83"/>
        <v>0</v>
      </c>
      <c r="W336" s="955"/>
      <c r="X336" s="2905">
        <f t="shared" si="84"/>
        <v>0</v>
      </c>
      <c r="Y336" s="2905">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8">
        <f t="shared" si="88"/>
        <v>0</v>
      </c>
      <c r="U337" s="2905">
        <f t="shared" si="82"/>
        <v>0</v>
      </c>
      <c r="V337" s="2905">
        <f t="shared" si="83"/>
        <v>0</v>
      </c>
      <c r="W337" s="955"/>
      <c r="X337" s="2905">
        <f t="shared" si="84"/>
        <v>0</v>
      </c>
      <c r="Y337" s="2905">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8">
        <f t="shared" si="88"/>
        <v>0</v>
      </c>
      <c r="U338" s="2905">
        <f t="shared" si="82"/>
        <v>0</v>
      </c>
      <c r="V338" s="2905">
        <f t="shared" si="83"/>
        <v>0</v>
      </c>
      <c r="W338" s="955"/>
      <c r="X338" s="2905">
        <f t="shared" si="84"/>
        <v>0</v>
      </c>
      <c r="Y338" s="2905">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8">
        <f t="shared" si="88"/>
        <v>0</v>
      </c>
      <c r="U339" s="2905">
        <f t="shared" si="82"/>
        <v>0</v>
      </c>
      <c r="V339" s="2905">
        <f t="shared" si="83"/>
        <v>0</v>
      </c>
      <c r="W339" s="955"/>
      <c r="X339" s="2905">
        <f t="shared" si="84"/>
        <v>0</v>
      </c>
      <c r="Y339" s="2905">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8">
        <f t="shared" si="88"/>
        <v>0</v>
      </c>
      <c r="U340" s="2905">
        <f t="shared" si="82"/>
        <v>0</v>
      </c>
      <c r="V340" s="2905">
        <f t="shared" si="83"/>
        <v>0</v>
      </c>
      <c r="W340" s="955"/>
      <c r="X340" s="2905">
        <f t="shared" si="84"/>
        <v>0</v>
      </c>
      <c r="Y340" s="2905">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8">
        <f t="shared" si="88"/>
        <v>0</v>
      </c>
      <c r="U341" s="2905">
        <f t="shared" si="82"/>
        <v>0</v>
      </c>
      <c r="V341" s="2905">
        <f t="shared" si="83"/>
        <v>0</v>
      </c>
      <c r="W341" s="955"/>
      <c r="X341" s="2905">
        <f t="shared" si="84"/>
        <v>0</v>
      </c>
      <c r="Y341" s="2905">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8">
        <f t="shared" si="88"/>
        <v>0</v>
      </c>
      <c r="U342" s="2905">
        <f t="shared" si="82"/>
        <v>0</v>
      </c>
      <c r="V342" s="2905">
        <f t="shared" si="83"/>
        <v>0</v>
      </c>
      <c r="W342" s="955"/>
      <c r="X342" s="2905">
        <f t="shared" si="84"/>
        <v>0</v>
      </c>
      <c r="Y342" s="2905">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8">
        <f t="shared" si="88"/>
        <v>0</v>
      </c>
      <c r="U343" s="2905">
        <f t="shared" si="82"/>
        <v>0</v>
      </c>
      <c r="V343" s="2905">
        <f t="shared" si="83"/>
        <v>0</v>
      </c>
      <c r="W343" s="955"/>
      <c r="X343" s="2905">
        <f t="shared" si="84"/>
        <v>0</v>
      </c>
      <c r="Y343" s="2905">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8">
        <f t="shared" si="88"/>
        <v>0</v>
      </c>
      <c r="U344" s="2905">
        <f t="shared" si="82"/>
        <v>0</v>
      </c>
      <c r="V344" s="2905">
        <f t="shared" si="83"/>
        <v>0</v>
      </c>
      <c r="W344" s="955"/>
      <c r="X344" s="2905">
        <f t="shared" si="84"/>
        <v>0</v>
      </c>
      <c r="Y344" s="2905">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8">
        <f t="shared" si="88"/>
        <v>0</v>
      </c>
      <c r="U345" s="2905">
        <f t="shared" si="82"/>
        <v>0</v>
      </c>
      <c r="V345" s="2905">
        <f t="shared" si="83"/>
        <v>0</v>
      </c>
      <c r="W345" s="955"/>
      <c r="X345" s="2905">
        <f t="shared" si="84"/>
        <v>0</v>
      </c>
      <c r="Y345" s="2905">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8">
        <f t="shared" si="88"/>
        <v>0</v>
      </c>
      <c r="U346" s="2905">
        <f t="shared" si="82"/>
        <v>0</v>
      </c>
      <c r="V346" s="2905">
        <f t="shared" si="83"/>
        <v>0</v>
      </c>
      <c r="W346" s="955"/>
      <c r="X346" s="2905">
        <f t="shared" si="84"/>
        <v>0</v>
      </c>
      <c r="Y346" s="2905">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8">
        <f t="shared" si="88"/>
        <v>0</v>
      </c>
      <c r="U347" s="2905">
        <f t="shared" si="82"/>
        <v>0</v>
      </c>
      <c r="V347" s="2905">
        <f t="shared" si="83"/>
        <v>0</v>
      </c>
      <c r="W347" s="955"/>
      <c r="X347" s="2905">
        <f t="shared" si="84"/>
        <v>0</v>
      </c>
      <c r="Y347" s="2905">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8">
        <f t="shared" si="88"/>
        <v>0</v>
      </c>
      <c r="U348" s="2905">
        <f t="shared" ref="U348:U411" si="97">ROUND(W348*B348,0)</f>
        <v>0</v>
      </c>
      <c r="V348" s="2905">
        <f t="shared" ref="V348:V411" si="98">ROUND(W348*B348/10000,0)</f>
        <v>0</v>
      </c>
      <c r="W348" s="955"/>
      <c r="X348" s="2905">
        <f t="shared" ref="X348:X411" si="99">ROUND(Z348*B348,0)</f>
        <v>0</v>
      </c>
      <c r="Y348" s="2905">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8">
        <f t="shared" ref="T349:T412" si="103">ROUND(R349*B349/10000,0)</f>
        <v>0</v>
      </c>
      <c r="U349" s="2905">
        <f t="shared" si="97"/>
        <v>0</v>
      </c>
      <c r="V349" s="2905">
        <f t="shared" si="98"/>
        <v>0</v>
      </c>
      <c r="W349" s="955"/>
      <c r="X349" s="2905">
        <f t="shared" si="99"/>
        <v>0</v>
      </c>
      <c r="Y349" s="2905">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8">
        <f t="shared" si="103"/>
        <v>0</v>
      </c>
      <c r="U350" s="2905">
        <f t="shared" si="97"/>
        <v>0</v>
      </c>
      <c r="V350" s="2905">
        <f t="shared" si="98"/>
        <v>0</v>
      </c>
      <c r="W350" s="955"/>
      <c r="X350" s="2905">
        <f t="shared" si="99"/>
        <v>0</v>
      </c>
      <c r="Y350" s="2905">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8">
        <f t="shared" si="103"/>
        <v>0</v>
      </c>
      <c r="U351" s="2905">
        <f t="shared" si="97"/>
        <v>0</v>
      </c>
      <c r="V351" s="2905">
        <f t="shared" si="98"/>
        <v>0</v>
      </c>
      <c r="W351" s="955"/>
      <c r="X351" s="2905">
        <f t="shared" si="99"/>
        <v>0</v>
      </c>
      <c r="Y351" s="2905">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8">
        <f t="shared" si="103"/>
        <v>0</v>
      </c>
      <c r="U352" s="2905">
        <f t="shared" si="97"/>
        <v>0</v>
      </c>
      <c r="V352" s="2905">
        <f t="shared" si="98"/>
        <v>0</v>
      </c>
      <c r="W352" s="955"/>
      <c r="X352" s="2905">
        <f t="shared" si="99"/>
        <v>0</v>
      </c>
      <c r="Y352" s="2905">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8">
        <f t="shared" si="103"/>
        <v>0</v>
      </c>
      <c r="U353" s="2905">
        <f t="shared" si="97"/>
        <v>0</v>
      </c>
      <c r="V353" s="2905">
        <f t="shared" si="98"/>
        <v>0</v>
      </c>
      <c r="W353" s="955"/>
      <c r="X353" s="2905">
        <f t="shared" si="99"/>
        <v>0</v>
      </c>
      <c r="Y353" s="2905">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8">
        <f t="shared" si="103"/>
        <v>0</v>
      </c>
      <c r="U354" s="2905">
        <f t="shared" si="97"/>
        <v>0</v>
      </c>
      <c r="V354" s="2905">
        <f t="shared" si="98"/>
        <v>0</v>
      </c>
      <c r="W354" s="955"/>
      <c r="X354" s="2905">
        <f t="shared" si="99"/>
        <v>0</v>
      </c>
      <c r="Y354" s="2905">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8">
        <f t="shared" si="103"/>
        <v>0</v>
      </c>
      <c r="U355" s="2905">
        <f t="shared" si="97"/>
        <v>0</v>
      </c>
      <c r="V355" s="2905">
        <f t="shared" si="98"/>
        <v>0</v>
      </c>
      <c r="W355" s="955"/>
      <c r="X355" s="2905">
        <f t="shared" si="99"/>
        <v>0</v>
      </c>
      <c r="Y355" s="2905">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8">
        <f t="shared" si="103"/>
        <v>0</v>
      </c>
      <c r="U356" s="2905">
        <f t="shared" si="97"/>
        <v>0</v>
      </c>
      <c r="V356" s="2905">
        <f t="shared" si="98"/>
        <v>0</v>
      </c>
      <c r="W356" s="955"/>
      <c r="X356" s="2905">
        <f t="shared" si="99"/>
        <v>0</v>
      </c>
      <c r="Y356" s="2905">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8">
        <f t="shared" si="103"/>
        <v>0</v>
      </c>
      <c r="U357" s="2905">
        <f t="shared" si="97"/>
        <v>0</v>
      </c>
      <c r="V357" s="2905">
        <f t="shared" si="98"/>
        <v>0</v>
      </c>
      <c r="W357" s="955"/>
      <c r="X357" s="2905">
        <f t="shared" si="99"/>
        <v>0</v>
      </c>
      <c r="Y357" s="2905">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8">
        <f t="shared" si="103"/>
        <v>0</v>
      </c>
      <c r="U358" s="2905">
        <f t="shared" si="97"/>
        <v>0</v>
      </c>
      <c r="V358" s="2905">
        <f t="shared" si="98"/>
        <v>0</v>
      </c>
      <c r="W358" s="955"/>
      <c r="X358" s="2905">
        <f t="shared" si="99"/>
        <v>0</v>
      </c>
      <c r="Y358" s="2905">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8">
        <f t="shared" si="103"/>
        <v>0</v>
      </c>
      <c r="U359" s="2905">
        <f t="shared" si="97"/>
        <v>0</v>
      </c>
      <c r="V359" s="2905">
        <f t="shared" si="98"/>
        <v>0</v>
      </c>
      <c r="W359" s="955"/>
      <c r="X359" s="2905">
        <f t="shared" si="99"/>
        <v>0</v>
      </c>
      <c r="Y359" s="2905">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8">
        <f t="shared" si="103"/>
        <v>0</v>
      </c>
      <c r="U360" s="2905">
        <f t="shared" si="97"/>
        <v>0</v>
      </c>
      <c r="V360" s="2905">
        <f t="shared" si="98"/>
        <v>0</v>
      </c>
      <c r="W360" s="955"/>
      <c r="X360" s="2905">
        <f t="shared" si="99"/>
        <v>0</v>
      </c>
      <c r="Y360" s="2905">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8">
        <f t="shared" si="103"/>
        <v>0</v>
      </c>
      <c r="U361" s="2905">
        <f t="shared" si="97"/>
        <v>0</v>
      </c>
      <c r="V361" s="2905">
        <f t="shared" si="98"/>
        <v>0</v>
      </c>
      <c r="W361" s="955"/>
      <c r="X361" s="2905">
        <f t="shared" si="99"/>
        <v>0</v>
      </c>
      <c r="Y361" s="2905">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8">
        <f t="shared" si="103"/>
        <v>0</v>
      </c>
      <c r="U362" s="2905">
        <f t="shared" si="97"/>
        <v>0</v>
      </c>
      <c r="V362" s="2905">
        <f t="shared" si="98"/>
        <v>0</v>
      </c>
      <c r="W362" s="955"/>
      <c r="X362" s="2905">
        <f t="shared" si="99"/>
        <v>0</v>
      </c>
      <c r="Y362" s="2905">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8">
        <f t="shared" si="103"/>
        <v>0</v>
      </c>
      <c r="U363" s="2905">
        <f t="shared" si="97"/>
        <v>0</v>
      </c>
      <c r="V363" s="2905">
        <f t="shared" si="98"/>
        <v>0</v>
      </c>
      <c r="W363" s="955"/>
      <c r="X363" s="2905">
        <f t="shared" si="99"/>
        <v>0</v>
      </c>
      <c r="Y363" s="2905">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8">
        <f t="shared" si="103"/>
        <v>0</v>
      </c>
      <c r="U364" s="2905">
        <f t="shared" si="97"/>
        <v>0</v>
      </c>
      <c r="V364" s="2905">
        <f t="shared" si="98"/>
        <v>0</v>
      </c>
      <c r="W364" s="955"/>
      <c r="X364" s="2905">
        <f t="shared" si="99"/>
        <v>0</v>
      </c>
      <c r="Y364" s="2905">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8">
        <f t="shared" si="103"/>
        <v>0</v>
      </c>
      <c r="U365" s="2905">
        <f t="shared" si="97"/>
        <v>0</v>
      </c>
      <c r="V365" s="2905">
        <f t="shared" si="98"/>
        <v>0</v>
      </c>
      <c r="W365" s="955"/>
      <c r="X365" s="2905">
        <f t="shared" si="99"/>
        <v>0</v>
      </c>
      <c r="Y365" s="2905">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8">
        <f t="shared" si="103"/>
        <v>0</v>
      </c>
      <c r="U366" s="2905">
        <f t="shared" si="97"/>
        <v>0</v>
      </c>
      <c r="V366" s="2905">
        <f t="shared" si="98"/>
        <v>0</v>
      </c>
      <c r="W366" s="955"/>
      <c r="X366" s="2905">
        <f t="shared" si="99"/>
        <v>0</v>
      </c>
      <c r="Y366" s="2905">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8">
        <f t="shared" si="103"/>
        <v>0</v>
      </c>
      <c r="U367" s="2905">
        <f t="shared" si="97"/>
        <v>0</v>
      </c>
      <c r="V367" s="2905">
        <f t="shared" si="98"/>
        <v>0</v>
      </c>
      <c r="W367" s="955"/>
      <c r="X367" s="2905">
        <f t="shared" si="99"/>
        <v>0</v>
      </c>
      <c r="Y367" s="2905">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8">
        <f t="shared" si="103"/>
        <v>0</v>
      </c>
      <c r="U368" s="2905">
        <f t="shared" si="97"/>
        <v>0</v>
      </c>
      <c r="V368" s="2905">
        <f t="shared" si="98"/>
        <v>0</v>
      </c>
      <c r="W368" s="955"/>
      <c r="X368" s="2905">
        <f t="shared" si="99"/>
        <v>0</v>
      </c>
      <c r="Y368" s="2905">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8">
        <f t="shared" si="103"/>
        <v>0</v>
      </c>
      <c r="U369" s="2905">
        <f t="shared" si="97"/>
        <v>0</v>
      </c>
      <c r="V369" s="2905">
        <f t="shared" si="98"/>
        <v>0</v>
      </c>
      <c r="W369" s="955"/>
      <c r="X369" s="2905">
        <f t="shared" si="99"/>
        <v>0</v>
      </c>
      <c r="Y369" s="2905">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8">
        <f t="shared" si="103"/>
        <v>0</v>
      </c>
      <c r="U370" s="2905">
        <f t="shared" si="97"/>
        <v>0</v>
      </c>
      <c r="V370" s="2905">
        <f t="shared" si="98"/>
        <v>0</v>
      </c>
      <c r="W370" s="955"/>
      <c r="X370" s="2905">
        <f t="shared" si="99"/>
        <v>0</v>
      </c>
      <c r="Y370" s="2905">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8">
        <f t="shared" si="103"/>
        <v>0</v>
      </c>
      <c r="U371" s="2905">
        <f t="shared" si="97"/>
        <v>0</v>
      </c>
      <c r="V371" s="2905">
        <f t="shared" si="98"/>
        <v>0</v>
      </c>
      <c r="W371" s="955"/>
      <c r="X371" s="2905">
        <f t="shared" si="99"/>
        <v>0</v>
      </c>
      <c r="Y371" s="2905">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8">
        <f t="shared" si="103"/>
        <v>0</v>
      </c>
      <c r="U372" s="2905">
        <f t="shared" si="97"/>
        <v>0</v>
      </c>
      <c r="V372" s="2905">
        <f t="shared" si="98"/>
        <v>0</v>
      </c>
      <c r="W372" s="955"/>
      <c r="X372" s="2905">
        <f t="shared" si="99"/>
        <v>0</v>
      </c>
      <c r="Y372" s="2905">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8">
        <f t="shared" si="103"/>
        <v>0</v>
      </c>
      <c r="U373" s="2905">
        <f t="shared" si="97"/>
        <v>0</v>
      </c>
      <c r="V373" s="2905">
        <f t="shared" si="98"/>
        <v>0</v>
      </c>
      <c r="W373" s="955"/>
      <c r="X373" s="2905">
        <f t="shared" si="99"/>
        <v>0</v>
      </c>
      <c r="Y373" s="2905">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8">
        <f t="shared" si="103"/>
        <v>0</v>
      </c>
      <c r="U374" s="2905">
        <f t="shared" si="97"/>
        <v>0</v>
      </c>
      <c r="V374" s="2905">
        <f t="shared" si="98"/>
        <v>0</v>
      </c>
      <c r="W374" s="955"/>
      <c r="X374" s="2905">
        <f t="shared" si="99"/>
        <v>0</v>
      </c>
      <c r="Y374" s="2905">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8">
        <f t="shared" si="103"/>
        <v>0</v>
      </c>
      <c r="U375" s="2905">
        <f t="shared" si="97"/>
        <v>0</v>
      </c>
      <c r="V375" s="2905">
        <f t="shared" si="98"/>
        <v>0</v>
      </c>
      <c r="W375" s="955"/>
      <c r="X375" s="2905">
        <f t="shared" si="99"/>
        <v>0</v>
      </c>
      <c r="Y375" s="2905">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8">
        <f t="shared" si="103"/>
        <v>0</v>
      </c>
      <c r="U376" s="2905">
        <f t="shared" si="97"/>
        <v>0</v>
      </c>
      <c r="V376" s="2905">
        <f t="shared" si="98"/>
        <v>0</v>
      </c>
      <c r="W376" s="955"/>
      <c r="X376" s="2905">
        <f t="shared" si="99"/>
        <v>0</v>
      </c>
      <c r="Y376" s="2905">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8">
        <f t="shared" si="103"/>
        <v>0</v>
      </c>
      <c r="U377" s="2905">
        <f t="shared" si="97"/>
        <v>0</v>
      </c>
      <c r="V377" s="2905">
        <f t="shared" si="98"/>
        <v>0</v>
      </c>
      <c r="W377" s="955"/>
      <c r="X377" s="2905">
        <f t="shared" si="99"/>
        <v>0</v>
      </c>
      <c r="Y377" s="2905">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8">
        <f t="shared" si="103"/>
        <v>0</v>
      </c>
      <c r="U378" s="2905">
        <f t="shared" si="97"/>
        <v>0</v>
      </c>
      <c r="V378" s="2905">
        <f t="shared" si="98"/>
        <v>0</v>
      </c>
      <c r="W378" s="955"/>
      <c r="X378" s="2905">
        <f t="shared" si="99"/>
        <v>0</v>
      </c>
      <c r="Y378" s="2905">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8">
        <f t="shared" si="103"/>
        <v>0</v>
      </c>
      <c r="U379" s="2905">
        <f t="shared" si="97"/>
        <v>0</v>
      </c>
      <c r="V379" s="2905">
        <f t="shared" si="98"/>
        <v>0</v>
      </c>
      <c r="W379" s="955"/>
      <c r="X379" s="2905">
        <f t="shared" si="99"/>
        <v>0</v>
      </c>
      <c r="Y379" s="2905">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8">
        <f t="shared" si="103"/>
        <v>0</v>
      </c>
      <c r="U380" s="2905">
        <f t="shared" si="97"/>
        <v>0</v>
      </c>
      <c r="V380" s="2905">
        <f t="shared" si="98"/>
        <v>0</v>
      </c>
      <c r="W380" s="955"/>
      <c r="X380" s="2905">
        <f t="shared" si="99"/>
        <v>0</v>
      </c>
      <c r="Y380" s="2905">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8">
        <f t="shared" si="103"/>
        <v>0</v>
      </c>
      <c r="U381" s="2905">
        <f t="shared" si="97"/>
        <v>0</v>
      </c>
      <c r="V381" s="2905">
        <f t="shared" si="98"/>
        <v>0</v>
      </c>
      <c r="W381" s="955"/>
      <c r="X381" s="2905">
        <f t="shared" si="99"/>
        <v>0</v>
      </c>
      <c r="Y381" s="2905">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8">
        <f t="shared" si="103"/>
        <v>0</v>
      </c>
      <c r="U382" s="2905">
        <f t="shared" si="97"/>
        <v>0</v>
      </c>
      <c r="V382" s="2905">
        <f t="shared" si="98"/>
        <v>0</v>
      </c>
      <c r="W382" s="955"/>
      <c r="X382" s="2905">
        <f t="shared" si="99"/>
        <v>0</v>
      </c>
      <c r="Y382" s="2905">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8">
        <f t="shared" si="103"/>
        <v>0</v>
      </c>
      <c r="U383" s="2905">
        <f t="shared" si="97"/>
        <v>0</v>
      </c>
      <c r="V383" s="2905">
        <f t="shared" si="98"/>
        <v>0</v>
      </c>
      <c r="W383" s="955"/>
      <c r="X383" s="2905">
        <f t="shared" si="99"/>
        <v>0</v>
      </c>
      <c r="Y383" s="2905">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8">
        <f t="shared" si="103"/>
        <v>0</v>
      </c>
      <c r="U384" s="2905">
        <f t="shared" si="97"/>
        <v>0</v>
      </c>
      <c r="V384" s="2905">
        <f t="shared" si="98"/>
        <v>0</v>
      </c>
      <c r="W384" s="955"/>
      <c r="X384" s="2905">
        <f t="shared" si="99"/>
        <v>0</v>
      </c>
      <c r="Y384" s="2905">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8">
        <f t="shared" si="103"/>
        <v>0</v>
      </c>
      <c r="U385" s="2905">
        <f t="shared" si="97"/>
        <v>0</v>
      </c>
      <c r="V385" s="2905">
        <f t="shared" si="98"/>
        <v>0</v>
      </c>
      <c r="W385" s="955"/>
      <c r="X385" s="2905">
        <f t="shared" si="99"/>
        <v>0</v>
      </c>
      <c r="Y385" s="2905">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8">
        <f t="shared" si="103"/>
        <v>0</v>
      </c>
      <c r="U386" s="2905">
        <f t="shared" si="97"/>
        <v>0</v>
      </c>
      <c r="V386" s="2905">
        <f t="shared" si="98"/>
        <v>0</v>
      </c>
      <c r="W386" s="955"/>
      <c r="X386" s="2905">
        <f t="shared" si="99"/>
        <v>0</v>
      </c>
      <c r="Y386" s="2905">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8">
        <f t="shared" si="103"/>
        <v>0</v>
      </c>
      <c r="U387" s="2905">
        <f t="shared" si="97"/>
        <v>0</v>
      </c>
      <c r="V387" s="2905">
        <f t="shared" si="98"/>
        <v>0</v>
      </c>
      <c r="W387" s="955"/>
      <c r="X387" s="2905">
        <f t="shared" si="99"/>
        <v>0</v>
      </c>
      <c r="Y387" s="2905">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8">
        <f t="shared" si="103"/>
        <v>0</v>
      </c>
      <c r="U388" s="2905">
        <f t="shared" si="97"/>
        <v>0</v>
      </c>
      <c r="V388" s="2905">
        <f t="shared" si="98"/>
        <v>0</v>
      </c>
      <c r="W388" s="955"/>
      <c r="X388" s="2905">
        <f t="shared" si="99"/>
        <v>0</v>
      </c>
      <c r="Y388" s="2905">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8">
        <f t="shared" si="103"/>
        <v>0</v>
      </c>
      <c r="U389" s="2905">
        <f t="shared" si="97"/>
        <v>0</v>
      </c>
      <c r="V389" s="2905">
        <f t="shared" si="98"/>
        <v>0</v>
      </c>
      <c r="W389" s="955"/>
      <c r="X389" s="2905">
        <f t="shared" si="99"/>
        <v>0</v>
      </c>
      <c r="Y389" s="2905">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8">
        <f t="shared" si="103"/>
        <v>0</v>
      </c>
      <c r="U390" s="2905">
        <f t="shared" si="97"/>
        <v>0</v>
      </c>
      <c r="V390" s="2905">
        <f t="shared" si="98"/>
        <v>0</v>
      </c>
      <c r="W390" s="955"/>
      <c r="X390" s="2905">
        <f t="shared" si="99"/>
        <v>0</v>
      </c>
      <c r="Y390" s="2905">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8">
        <f t="shared" si="103"/>
        <v>0</v>
      </c>
      <c r="U391" s="2905">
        <f t="shared" si="97"/>
        <v>0</v>
      </c>
      <c r="V391" s="2905">
        <f t="shared" si="98"/>
        <v>0</v>
      </c>
      <c r="W391" s="955"/>
      <c r="X391" s="2905">
        <f t="shared" si="99"/>
        <v>0</v>
      </c>
      <c r="Y391" s="2905">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8">
        <f t="shared" si="103"/>
        <v>0</v>
      </c>
      <c r="U392" s="2905">
        <f t="shared" si="97"/>
        <v>0</v>
      </c>
      <c r="V392" s="2905">
        <f t="shared" si="98"/>
        <v>0</v>
      </c>
      <c r="W392" s="955"/>
      <c r="X392" s="2905">
        <f t="shared" si="99"/>
        <v>0</v>
      </c>
      <c r="Y392" s="2905">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8">
        <f t="shared" si="103"/>
        <v>0</v>
      </c>
      <c r="U393" s="2905">
        <f t="shared" si="97"/>
        <v>0</v>
      </c>
      <c r="V393" s="2905">
        <f t="shared" si="98"/>
        <v>0</v>
      </c>
      <c r="W393" s="955"/>
      <c r="X393" s="2905">
        <f t="shared" si="99"/>
        <v>0</v>
      </c>
      <c r="Y393" s="2905">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8">
        <f t="shared" si="103"/>
        <v>0</v>
      </c>
      <c r="U394" s="2905">
        <f t="shared" si="97"/>
        <v>0</v>
      </c>
      <c r="V394" s="2905">
        <f t="shared" si="98"/>
        <v>0</v>
      </c>
      <c r="W394" s="955"/>
      <c r="X394" s="2905">
        <f t="shared" si="99"/>
        <v>0</v>
      </c>
      <c r="Y394" s="2905">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8">
        <f t="shared" si="103"/>
        <v>0</v>
      </c>
      <c r="U395" s="2905">
        <f t="shared" si="97"/>
        <v>0</v>
      </c>
      <c r="V395" s="2905">
        <f t="shared" si="98"/>
        <v>0</v>
      </c>
      <c r="W395" s="955"/>
      <c r="X395" s="2905">
        <f t="shared" si="99"/>
        <v>0</v>
      </c>
      <c r="Y395" s="2905">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8">
        <f t="shared" si="103"/>
        <v>0</v>
      </c>
      <c r="U396" s="2905">
        <f t="shared" si="97"/>
        <v>0</v>
      </c>
      <c r="V396" s="2905">
        <f t="shared" si="98"/>
        <v>0</v>
      </c>
      <c r="W396" s="955"/>
      <c r="X396" s="2905">
        <f t="shared" si="99"/>
        <v>0</v>
      </c>
      <c r="Y396" s="2905">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8">
        <f t="shared" si="103"/>
        <v>0</v>
      </c>
      <c r="U397" s="2905">
        <f t="shared" si="97"/>
        <v>0</v>
      </c>
      <c r="V397" s="2905">
        <f t="shared" si="98"/>
        <v>0</v>
      </c>
      <c r="W397" s="955"/>
      <c r="X397" s="2905">
        <f t="shared" si="99"/>
        <v>0</v>
      </c>
      <c r="Y397" s="2905">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8">
        <f t="shared" si="103"/>
        <v>0</v>
      </c>
      <c r="U398" s="2905">
        <f t="shared" si="97"/>
        <v>0</v>
      </c>
      <c r="V398" s="2905">
        <f t="shared" si="98"/>
        <v>0</v>
      </c>
      <c r="W398" s="955"/>
      <c r="X398" s="2905">
        <f t="shared" si="99"/>
        <v>0</v>
      </c>
      <c r="Y398" s="2905">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8">
        <f t="shared" si="103"/>
        <v>0</v>
      </c>
      <c r="U399" s="2905">
        <f t="shared" si="97"/>
        <v>0</v>
      </c>
      <c r="V399" s="2905">
        <f t="shared" si="98"/>
        <v>0</v>
      </c>
      <c r="W399" s="955"/>
      <c r="X399" s="2905">
        <f t="shared" si="99"/>
        <v>0</v>
      </c>
      <c r="Y399" s="2905">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8">
        <f t="shared" si="103"/>
        <v>0</v>
      </c>
      <c r="U400" s="2905">
        <f t="shared" si="97"/>
        <v>0</v>
      </c>
      <c r="V400" s="2905">
        <f t="shared" si="98"/>
        <v>0</v>
      </c>
      <c r="W400" s="955"/>
      <c r="X400" s="2905">
        <f t="shared" si="99"/>
        <v>0</v>
      </c>
      <c r="Y400" s="2905">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8">
        <f t="shared" si="103"/>
        <v>0</v>
      </c>
      <c r="U401" s="2905">
        <f t="shared" si="97"/>
        <v>0</v>
      </c>
      <c r="V401" s="2905">
        <f t="shared" si="98"/>
        <v>0</v>
      </c>
      <c r="W401" s="955"/>
      <c r="X401" s="2905">
        <f t="shared" si="99"/>
        <v>0</v>
      </c>
      <c r="Y401" s="2905">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8">
        <f t="shared" si="103"/>
        <v>0</v>
      </c>
      <c r="U402" s="2905">
        <f t="shared" si="97"/>
        <v>0</v>
      </c>
      <c r="V402" s="2905">
        <f t="shared" si="98"/>
        <v>0</v>
      </c>
      <c r="W402" s="955"/>
      <c r="X402" s="2905">
        <f t="shared" si="99"/>
        <v>0</v>
      </c>
      <c r="Y402" s="2905">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8">
        <f t="shared" si="103"/>
        <v>0</v>
      </c>
      <c r="U403" s="2905">
        <f t="shared" si="97"/>
        <v>0</v>
      </c>
      <c r="V403" s="2905">
        <f t="shared" si="98"/>
        <v>0</v>
      </c>
      <c r="W403" s="955"/>
      <c r="X403" s="2905">
        <f t="shared" si="99"/>
        <v>0</v>
      </c>
      <c r="Y403" s="2905">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8">
        <f t="shared" si="103"/>
        <v>0</v>
      </c>
      <c r="U404" s="2905">
        <f t="shared" si="97"/>
        <v>0</v>
      </c>
      <c r="V404" s="2905">
        <f t="shared" si="98"/>
        <v>0</v>
      </c>
      <c r="W404" s="955"/>
      <c r="X404" s="2905">
        <f t="shared" si="99"/>
        <v>0</v>
      </c>
      <c r="Y404" s="2905">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8">
        <f t="shared" si="103"/>
        <v>0</v>
      </c>
      <c r="U405" s="2905">
        <f t="shared" si="97"/>
        <v>0</v>
      </c>
      <c r="V405" s="2905">
        <f t="shared" si="98"/>
        <v>0</v>
      </c>
      <c r="W405" s="955"/>
      <c r="X405" s="2905">
        <f t="shared" si="99"/>
        <v>0</v>
      </c>
      <c r="Y405" s="2905">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8">
        <f t="shared" si="103"/>
        <v>0</v>
      </c>
      <c r="U406" s="2905">
        <f t="shared" si="97"/>
        <v>0</v>
      </c>
      <c r="V406" s="2905">
        <f t="shared" si="98"/>
        <v>0</v>
      </c>
      <c r="W406" s="955"/>
      <c r="X406" s="2905">
        <f t="shared" si="99"/>
        <v>0</v>
      </c>
      <c r="Y406" s="2905">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8">
        <f t="shared" si="103"/>
        <v>0</v>
      </c>
      <c r="U407" s="2905">
        <f t="shared" si="97"/>
        <v>0</v>
      </c>
      <c r="V407" s="2905">
        <f t="shared" si="98"/>
        <v>0</v>
      </c>
      <c r="W407" s="955"/>
      <c r="X407" s="2905">
        <f t="shared" si="99"/>
        <v>0</v>
      </c>
      <c r="Y407" s="2905">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8">
        <f t="shared" si="103"/>
        <v>0</v>
      </c>
      <c r="U408" s="2905">
        <f t="shared" si="97"/>
        <v>0</v>
      </c>
      <c r="V408" s="2905">
        <f t="shared" si="98"/>
        <v>0</v>
      </c>
      <c r="W408" s="955"/>
      <c r="X408" s="2905">
        <f t="shared" si="99"/>
        <v>0</v>
      </c>
      <c r="Y408" s="2905">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8">
        <f t="shared" si="103"/>
        <v>0</v>
      </c>
      <c r="U409" s="2905">
        <f t="shared" si="97"/>
        <v>0</v>
      </c>
      <c r="V409" s="2905">
        <f t="shared" si="98"/>
        <v>0</v>
      </c>
      <c r="W409" s="955"/>
      <c r="X409" s="2905">
        <f t="shared" si="99"/>
        <v>0</v>
      </c>
      <c r="Y409" s="2905">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8">
        <f t="shared" si="103"/>
        <v>0</v>
      </c>
      <c r="U410" s="2905">
        <f t="shared" si="97"/>
        <v>0</v>
      </c>
      <c r="V410" s="2905">
        <f t="shared" si="98"/>
        <v>0</v>
      </c>
      <c r="W410" s="955"/>
      <c r="X410" s="2905">
        <f t="shared" si="99"/>
        <v>0</v>
      </c>
      <c r="Y410" s="2905">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8">
        <f t="shared" si="103"/>
        <v>0</v>
      </c>
      <c r="U411" s="2905">
        <f t="shared" si="97"/>
        <v>0</v>
      </c>
      <c r="V411" s="2905">
        <f t="shared" si="98"/>
        <v>0</v>
      </c>
      <c r="W411" s="955"/>
      <c r="X411" s="2905">
        <f t="shared" si="99"/>
        <v>0</v>
      </c>
      <c r="Y411" s="2905">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8">
        <f t="shared" si="103"/>
        <v>0</v>
      </c>
      <c r="U412" s="2905">
        <f t="shared" ref="U412:U475" si="112">ROUND(W412*B412,0)</f>
        <v>0</v>
      </c>
      <c r="V412" s="2905">
        <f t="shared" ref="V412:V475" si="113">ROUND(W412*B412/10000,0)</f>
        <v>0</v>
      </c>
      <c r="W412" s="955"/>
      <c r="X412" s="2905">
        <f t="shared" ref="X412:X475" si="114">ROUND(Z412*B412,0)</f>
        <v>0</v>
      </c>
      <c r="Y412" s="2905">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8">
        <f t="shared" ref="T413:T476" si="118">ROUND(R413*B413/10000,0)</f>
        <v>0</v>
      </c>
      <c r="U413" s="2905">
        <f t="shared" si="112"/>
        <v>0</v>
      </c>
      <c r="V413" s="2905">
        <f t="shared" si="113"/>
        <v>0</v>
      </c>
      <c r="W413" s="955"/>
      <c r="X413" s="2905">
        <f t="shared" si="114"/>
        <v>0</v>
      </c>
      <c r="Y413" s="2905">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8">
        <f t="shared" si="118"/>
        <v>0</v>
      </c>
      <c r="U414" s="2905">
        <f t="shared" si="112"/>
        <v>0</v>
      </c>
      <c r="V414" s="2905">
        <f t="shared" si="113"/>
        <v>0</v>
      </c>
      <c r="W414" s="955"/>
      <c r="X414" s="2905">
        <f t="shared" si="114"/>
        <v>0</v>
      </c>
      <c r="Y414" s="2905">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8">
        <f t="shared" si="118"/>
        <v>0</v>
      </c>
      <c r="U415" s="2905">
        <f t="shared" si="112"/>
        <v>0</v>
      </c>
      <c r="V415" s="2905">
        <f t="shared" si="113"/>
        <v>0</v>
      </c>
      <c r="W415" s="955"/>
      <c r="X415" s="2905">
        <f t="shared" si="114"/>
        <v>0</v>
      </c>
      <c r="Y415" s="2905">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8">
        <f t="shared" si="118"/>
        <v>0</v>
      </c>
      <c r="U416" s="2905">
        <f t="shared" si="112"/>
        <v>0</v>
      </c>
      <c r="V416" s="2905">
        <f t="shared" si="113"/>
        <v>0</v>
      </c>
      <c r="W416" s="955"/>
      <c r="X416" s="2905">
        <f t="shared" si="114"/>
        <v>0</v>
      </c>
      <c r="Y416" s="2905">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8">
        <f t="shared" si="118"/>
        <v>0</v>
      </c>
      <c r="U417" s="2905">
        <f t="shared" si="112"/>
        <v>0</v>
      </c>
      <c r="V417" s="2905">
        <f t="shared" si="113"/>
        <v>0</v>
      </c>
      <c r="W417" s="955"/>
      <c r="X417" s="2905">
        <f t="shared" si="114"/>
        <v>0</v>
      </c>
      <c r="Y417" s="2905">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8">
        <f t="shared" si="118"/>
        <v>0</v>
      </c>
      <c r="U418" s="2905">
        <f t="shared" si="112"/>
        <v>0</v>
      </c>
      <c r="V418" s="2905">
        <f t="shared" si="113"/>
        <v>0</v>
      </c>
      <c r="W418" s="955"/>
      <c r="X418" s="2905">
        <f t="shared" si="114"/>
        <v>0</v>
      </c>
      <c r="Y418" s="2905">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8">
        <f t="shared" si="118"/>
        <v>0</v>
      </c>
      <c r="U419" s="2905">
        <f t="shared" si="112"/>
        <v>0</v>
      </c>
      <c r="V419" s="2905">
        <f t="shared" si="113"/>
        <v>0</v>
      </c>
      <c r="W419" s="955"/>
      <c r="X419" s="2905">
        <f t="shared" si="114"/>
        <v>0</v>
      </c>
      <c r="Y419" s="2905">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8">
        <f t="shared" si="118"/>
        <v>0</v>
      </c>
      <c r="U420" s="2905">
        <f t="shared" si="112"/>
        <v>0</v>
      </c>
      <c r="V420" s="2905">
        <f t="shared" si="113"/>
        <v>0</v>
      </c>
      <c r="W420" s="955"/>
      <c r="X420" s="2905">
        <f t="shared" si="114"/>
        <v>0</v>
      </c>
      <c r="Y420" s="2905">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8">
        <f t="shared" si="118"/>
        <v>0</v>
      </c>
      <c r="U421" s="2905">
        <f t="shared" si="112"/>
        <v>0</v>
      </c>
      <c r="V421" s="2905">
        <f t="shared" si="113"/>
        <v>0</v>
      </c>
      <c r="W421" s="955"/>
      <c r="X421" s="2905">
        <f t="shared" si="114"/>
        <v>0</v>
      </c>
      <c r="Y421" s="2905">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8">
        <f t="shared" si="118"/>
        <v>0</v>
      </c>
      <c r="U422" s="2905">
        <f t="shared" si="112"/>
        <v>0</v>
      </c>
      <c r="V422" s="2905">
        <f t="shared" si="113"/>
        <v>0</v>
      </c>
      <c r="W422" s="955"/>
      <c r="X422" s="2905">
        <f t="shared" si="114"/>
        <v>0</v>
      </c>
      <c r="Y422" s="2905">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8">
        <f t="shared" si="118"/>
        <v>0</v>
      </c>
      <c r="U423" s="2905">
        <f t="shared" si="112"/>
        <v>0</v>
      </c>
      <c r="V423" s="2905">
        <f t="shared" si="113"/>
        <v>0</v>
      </c>
      <c r="W423" s="955"/>
      <c r="X423" s="2905">
        <f t="shared" si="114"/>
        <v>0</v>
      </c>
      <c r="Y423" s="2905">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8">
        <f t="shared" si="118"/>
        <v>0</v>
      </c>
      <c r="U424" s="2905">
        <f t="shared" si="112"/>
        <v>0</v>
      </c>
      <c r="V424" s="2905">
        <f t="shared" si="113"/>
        <v>0</v>
      </c>
      <c r="W424" s="955"/>
      <c r="X424" s="2905">
        <f t="shared" si="114"/>
        <v>0</v>
      </c>
      <c r="Y424" s="2905">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8">
        <f t="shared" si="118"/>
        <v>0</v>
      </c>
      <c r="U425" s="2905">
        <f t="shared" si="112"/>
        <v>0</v>
      </c>
      <c r="V425" s="2905">
        <f t="shared" si="113"/>
        <v>0</v>
      </c>
      <c r="W425" s="955"/>
      <c r="X425" s="2905">
        <f t="shared" si="114"/>
        <v>0</v>
      </c>
      <c r="Y425" s="2905">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8">
        <f t="shared" si="118"/>
        <v>0</v>
      </c>
      <c r="U426" s="2905">
        <f t="shared" si="112"/>
        <v>0</v>
      </c>
      <c r="V426" s="2905">
        <f t="shared" si="113"/>
        <v>0</v>
      </c>
      <c r="W426" s="955"/>
      <c r="X426" s="2905">
        <f t="shared" si="114"/>
        <v>0</v>
      </c>
      <c r="Y426" s="2905">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8">
        <f t="shared" si="118"/>
        <v>0</v>
      </c>
      <c r="U427" s="2905">
        <f t="shared" si="112"/>
        <v>0</v>
      </c>
      <c r="V427" s="2905">
        <f t="shared" si="113"/>
        <v>0</v>
      </c>
      <c r="W427" s="955"/>
      <c r="X427" s="2905">
        <f t="shared" si="114"/>
        <v>0</v>
      </c>
      <c r="Y427" s="2905">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8">
        <f t="shared" si="118"/>
        <v>0</v>
      </c>
      <c r="U428" s="2905">
        <f t="shared" si="112"/>
        <v>0</v>
      </c>
      <c r="V428" s="2905">
        <f t="shared" si="113"/>
        <v>0</v>
      </c>
      <c r="W428" s="955"/>
      <c r="X428" s="2905">
        <f t="shared" si="114"/>
        <v>0</v>
      </c>
      <c r="Y428" s="2905">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8">
        <f t="shared" si="118"/>
        <v>0</v>
      </c>
      <c r="U429" s="2905">
        <f t="shared" si="112"/>
        <v>0</v>
      </c>
      <c r="V429" s="2905">
        <f t="shared" si="113"/>
        <v>0</v>
      </c>
      <c r="W429" s="955"/>
      <c r="X429" s="2905">
        <f t="shared" si="114"/>
        <v>0</v>
      </c>
      <c r="Y429" s="2905">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8">
        <f t="shared" si="118"/>
        <v>0</v>
      </c>
      <c r="U430" s="2905">
        <f t="shared" si="112"/>
        <v>0</v>
      </c>
      <c r="V430" s="2905">
        <f t="shared" si="113"/>
        <v>0</v>
      </c>
      <c r="W430" s="955"/>
      <c r="X430" s="2905">
        <f t="shared" si="114"/>
        <v>0</v>
      </c>
      <c r="Y430" s="2905">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8">
        <f t="shared" si="118"/>
        <v>0</v>
      </c>
      <c r="U431" s="2905">
        <f t="shared" si="112"/>
        <v>0</v>
      </c>
      <c r="V431" s="2905">
        <f t="shared" si="113"/>
        <v>0</v>
      </c>
      <c r="W431" s="955"/>
      <c r="X431" s="2905">
        <f t="shared" si="114"/>
        <v>0</v>
      </c>
      <c r="Y431" s="2905">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8">
        <f t="shared" si="118"/>
        <v>0</v>
      </c>
      <c r="U432" s="2905">
        <f t="shared" si="112"/>
        <v>0</v>
      </c>
      <c r="V432" s="2905">
        <f t="shared" si="113"/>
        <v>0</v>
      </c>
      <c r="W432" s="955"/>
      <c r="X432" s="2905">
        <f t="shared" si="114"/>
        <v>0</v>
      </c>
      <c r="Y432" s="2905">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8">
        <f t="shared" si="118"/>
        <v>0</v>
      </c>
      <c r="U433" s="2905">
        <f t="shared" si="112"/>
        <v>0</v>
      </c>
      <c r="V433" s="2905">
        <f t="shared" si="113"/>
        <v>0</v>
      </c>
      <c r="W433" s="955"/>
      <c r="X433" s="2905">
        <f t="shared" si="114"/>
        <v>0</v>
      </c>
      <c r="Y433" s="2905">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8">
        <f t="shared" si="118"/>
        <v>0</v>
      </c>
      <c r="U434" s="2905">
        <f t="shared" si="112"/>
        <v>0</v>
      </c>
      <c r="V434" s="2905">
        <f t="shared" si="113"/>
        <v>0</v>
      </c>
      <c r="W434" s="955"/>
      <c r="X434" s="2905">
        <f t="shared" si="114"/>
        <v>0</v>
      </c>
      <c r="Y434" s="2905">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8">
        <f t="shared" si="118"/>
        <v>0</v>
      </c>
      <c r="U435" s="2905">
        <f t="shared" si="112"/>
        <v>0</v>
      </c>
      <c r="V435" s="2905">
        <f t="shared" si="113"/>
        <v>0</v>
      </c>
      <c r="W435" s="955"/>
      <c r="X435" s="2905">
        <f t="shared" si="114"/>
        <v>0</v>
      </c>
      <c r="Y435" s="2905">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8">
        <f t="shared" si="118"/>
        <v>0</v>
      </c>
      <c r="U436" s="2905">
        <f t="shared" si="112"/>
        <v>0</v>
      </c>
      <c r="V436" s="2905">
        <f t="shared" si="113"/>
        <v>0</v>
      </c>
      <c r="W436" s="955"/>
      <c r="X436" s="2905">
        <f t="shared" si="114"/>
        <v>0</v>
      </c>
      <c r="Y436" s="2905">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8">
        <f t="shared" si="118"/>
        <v>0</v>
      </c>
      <c r="U437" s="2905">
        <f t="shared" si="112"/>
        <v>0</v>
      </c>
      <c r="V437" s="2905">
        <f t="shared" si="113"/>
        <v>0</v>
      </c>
      <c r="W437" s="955"/>
      <c r="X437" s="2905">
        <f t="shared" si="114"/>
        <v>0</v>
      </c>
      <c r="Y437" s="2905">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8">
        <f t="shared" si="118"/>
        <v>0</v>
      </c>
      <c r="U438" s="2905">
        <f t="shared" si="112"/>
        <v>0</v>
      </c>
      <c r="V438" s="2905">
        <f t="shared" si="113"/>
        <v>0</v>
      </c>
      <c r="W438" s="955"/>
      <c r="X438" s="2905">
        <f t="shared" si="114"/>
        <v>0</v>
      </c>
      <c r="Y438" s="2905">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8">
        <f t="shared" si="118"/>
        <v>0</v>
      </c>
      <c r="U439" s="2905">
        <f t="shared" si="112"/>
        <v>0</v>
      </c>
      <c r="V439" s="2905">
        <f t="shared" si="113"/>
        <v>0</v>
      </c>
      <c r="W439" s="955"/>
      <c r="X439" s="2905">
        <f t="shared" si="114"/>
        <v>0</v>
      </c>
      <c r="Y439" s="2905">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8">
        <f t="shared" si="118"/>
        <v>0</v>
      </c>
      <c r="U440" s="2905">
        <f t="shared" si="112"/>
        <v>0</v>
      </c>
      <c r="V440" s="2905">
        <f t="shared" si="113"/>
        <v>0</v>
      </c>
      <c r="W440" s="955"/>
      <c r="X440" s="2905">
        <f t="shared" si="114"/>
        <v>0</v>
      </c>
      <c r="Y440" s="2905">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8">
        <f t="shared" si="118"/>
        <v>0</v>
      </c>
      <c r="U441" s="2905">
        <f t="shared" si="112"/>
        <v>0</v>
      </c>
      <c r="V441" s="2905">
        <f t="shared" si="113"/>
        <v>0</v>
      </c>
      <c r="W441" s="955"/>
      <c r="X441" s="2905">
        <f t="shared" si="114"/>
        <v>0</v>
      </c>
      <c r="Y441" s="2905">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8">
        <f t="shared" si="118"/>
        <v>0</v>
      </c>
      <c r="U442" s="2905">
        <f t="shared" si="112"/>
        <v>0</v>
      </c>
      <c r="V442" s="2905">
        <f t="shared" si="113"/>
        <v>0</v>
      </c>
      <c r="W442" s="955"/>
      <c r="X442" s="2905">
        <f t="shared" si="114"/>
        <v>0</v>
      </c>
      <c r="Y442" s="2905">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8">
        <f t="shared" si="118"/>
        <v>0</v>
      </c>
      <c r="U443" s="2905">
        <f t="shared" si="112"/>
        <v>0</v>
      </c>
      <c r="V443" s="2905">
        <f t="shared" si="113"/>
        <v>0</v>
      </c>
      <c r="W443" s="955"/>
      <c r="X443" s="2905">
        <f t="shared" si="114"/>
        <v>0</v>
      </c>
      <c r="Y443" s="2905">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8">
        <f t="shared" si="118"/>
        <v>0</v>
      </c>
      <c r="U444" s="2905">
        <f t="shared" si="112"/>
        <v>0</v>
      </c>
      <c r="V444" s="2905">
        <f t="shared" si="113"/>
        <v>0</v>
      </c>
      <c r="W444" s="955"/>
      <c r="X444" s="2905">
        <f t="shared" si="114"/>
        <v>0</v>
      </c>
      <c r="Y444" s="2905">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8">
        <f t="shared" si="118"/>
        <v>0</v>
      </c>
      <c r="U445" s="2905">
        <f t="shared" si="112"/>
        <v>0</v>
      </c>
      <c r="V445" s="2905">
        <f t="shared" si="113"/>
        <v>0</v>
      </c>
      <c r="W445" s="955"/>
      <c r="X445" s="2905">
        <f t="shared" si="114"/>
        <v>0</v>
      </c>
      <c r="Y445" s="2905">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8">
        <f t="shared" si="118"/>
        <v>0</v>
      </c>
      <c r="U446" s="2905">
        <f t="shared" si="112"/>
        <v>0</v>
      </c>
      <c r="V446" s="2905">
        <f t="shared" si="113"/>
        <v>0</v>
      </c>
      <c r="W446" s="955"/>
      <c r="X446" s="2905">
        <f t="shared" si="114"/>
        <v>0</v>
      </c>
      <c r="Y446" s="2905">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8">
        <f t="shared" si="118"/>
        <v>0</v>
      </c>
      <c r="U447" s="2905">
        <f t="shared" si="112"/>
        <v>0</v>
      </c>
      <c r="V447" s="2905">
        <f t="shared" si="113"/>
        <v>0</v>
      </c>
      <c r="W447" s="955"/>
      <c r="X447" s="2905">
        <f t="shared" si="114"/>
        <v>0</v>
      </c>
      <c r="Y447" s="2905">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8">
        <f t="shared" si="118"/>
        <v>0</v>
      </c>
      <c r="U448" s="2905">
        <f t="shared" si="112"/>
        <v>0</v>
      </c>
      <c r="V448" s="2905">
        <f t="shared" si="113"/>
        <v>0</v>
      </c>
      <c r="W448" s="955"/>
      <c r="X448" s="2905">
        <f t="shared" si="114"/>
        <v>0</v>
      </c>
      <c r="Y448" s="2905">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8">
        <f t="shared" si="118"/>
        <v>0</v>
      </c>
      <c r="U449" s="2905">
        <f t="shared" si="112"/>
        <v>0</v>
      </c>
      <c r="V449" s="2905">
        <f t="shared" si="113"/>
        <v>0</v>
      </c>
      <c r="W449" s="955"/>
      <c r="X449" s="2905">
        <f t="shared" si="114"/>
        <v>0</v>
      </c>
      <c r="Y449" s="2905">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8">
        <f t="shared" si="118"/>
        <v>0</v>
      </c>
      <c r="U450" s="2905">
        <f t="shared" si="112"/>
        <v>0</v>
      </c>
      <c r="V450" s="2905">
        <f t="shared" si="113"/>
        <v>0</v>
      </c>
      <c r="W450" s="955"/>
      <c r="X450" s="2905">
        <f t="shared" si="114"/>
        <v>0</v>
      </c>
      <c r="Y450" s="2905">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8">
        <f t="shared" si="118"/>
        <v>0</v>
      </c>
      <c r="U451" s="2905">
        <f t="shared" si="112"/>
        <v>0</v>
      </c>
      <c r="V451" s="2905">
        <f t="shared" si="113"/>
        <v>0</v>
      </c>
      <c r="W451" s="955"/>
      <c r="X451" s="2905">
        <f t="shared" si="114"/>
        <v>0</v>
      </c>
      <c r="Y451" s="2905">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8">
        <f t="shared" si="118"/>
        <v>0</v>
      </c>
      <c r="U452" s="2905">
        <f t="shared" si="112"/>
        <v>0</v>
      </c>
      <c r="V452" s="2905">
        <f t="shared" si="113"/>
        <v>0</v>
      </c>
      <c r="W452" s="955"/>
      <c r="X452" s="2905">
        <f t="shared" si="114"/>
        <v>0</v>
      </c>
      <c r="Y452" s="2905">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8">
        <f t="shared" si="118"/>
        <v>0</v>
      </c>
      <c r="U453" s="2905">
        <f t="shared" si="112"/>
        <v>0</v>
      </c>
      <c r="V453" s="2905">
        <f t="shared" si="113"/>
        <v>0</v>
      </c>
      <c r="W453" s="955"/>
      <c r="X453" s="2905">
        <f t="shared" si="114"/>
        <v>0</v>
      </c>
      <c r="Y453" s="2905">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8">
        <f t="shared" si="118"/>
        <v>0</v>
      </c>
      <c r="U454" s="2905">
        <f t="shared" si="112"/>
        <v>0</v>
      </c>
      <c r="V454" s="2905">
        <f t="shared" si="113"/>
        <v>0</v>
      </c>
      <c r="W454" s="955"/>
      <c r="X454" s="2905">
        <f t="shared" si="114"/>
        <v>0</v>
      </c>
      <c r="Y454" s="2905">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8">
        <f t="shared" si="118"/>
        <v>0</v>
      </c>
      <c r="U455" s="2905">
        <f t="shared" si="112"/>
        <v>0</v>
      </c>
      <c r="V455" s="2905">
        <f t="shared" si="113"/>
        <v>0</v>
      </c>
      <c r="W455" s="955"/>
      <c r="X455" s="2905">
        <f t="shared" si="114"/>
        <v>0</v>
      </c>
      <c r="Y455" s="2905">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8">
        <f t="shared" si="118"/>
        <v>0</v>
      </c>
      <c r="U456" s="2905">
        <f t="shared" si="112"/>
        <v>0</v>
      </c>
      <c r="V456" s="2905">
        <f t="shared" si="113"/>
        <v>0</v>
      </c>
      <c r="W456" s="955"/>
      <c r="X456" s="2905">
        <f t="shared" si="114"/>
        <v>0</v>
      </c>
      <c r="Y456" s="2905">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8">
        <f t="shared" si="118"/>
        <v>0</v>
      </c>
      <c r="U457" s="2905">
        <f t="shared" si="112"/>
        <v>0</v>
      </c>
      <c r="V457" s="2905">
        <f t="shared" si="113"/>
        <v>0</v>
      </c>
      <c r="W457" s="955"/>
      <c r="X457" s="2905">
        <f t="shared" si="114"/>
        <v>0</v>
      </c>
      <c r="Y457" s="2905">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8">
        <f t="shared" si="118"/>
        <v>0</v>
      </c>
      <c r="U458" s="2905">
        <f t="shared" si="112"/>
        <v>0</v>
      </c>
      <c r="V458" s="2905">
        <f t="shared" si="113"/>
        <v>0</v>
      </c>
      <c r="W458" s="955"/>
      <c r="X458" s="2905">
        <f t="shared" si="114"/>
        <v>0</v>
      </c>
      <c r="Y458" s="2905">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8">
        <f t="shared" si="118"/>
        <v>0</v>
      </c>
      <c r="U459" s="2905">
        <f t="shared" si="112"/>
        <v>0</v>
      </c>
      <c r="V459" s="2905">
        <f t="shared" si="113"/>
        <v>0</v>
      </c>
      <c r="W459" s="955"/>
      <c r="X459" s="2905">
        <f t="shared" si="114"/>
        <v>0</v>
      </c>
      <c r="Y459" s="2905">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8">
        <f t="shared" si="118"/>
        <v>0</v>
      </c>
      <c r="U460" s="2905">
        <f t="shared" si="112"/>
        <v>0</v>
      </c>
      <c r="V460" s="2905">
        <f t="shared" si="113"/>
        <v>0</v>
      </c>
      <c r="W460" s="955"/>
      <c r="X460" s="2905">
        <f t="shared" si="114"/>
        <v>0</v>
      </c>
      <c r="Y460" s="2905">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8">
        <f t="shared" si="118"/>
        <v>0</v>
      </c>
      <c r="U461" s="2905">
        <f t="shared" si="112"/>
        <v>0</v>
      </c>
      <c r="V461" s="2905">
        <f t="shared" si="113"/>
        <v>0</v>
      </c>
      <c r="W461" s="955"/>
      <c r="X461" s="2905">
        <f t="shared" si="114"/>
        <v>0</v>
      </c>
      <c r="Y461" s="2905">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8">
        <f t="shared" si="118"/>
        <v>0</v>
      </c>
      <c r="U462" s="2905">
        <f t="shared" si="112"/>
        <v>0</v>
      </c>
      <c r="V462" s="2905">
        <f t="shared" si="113"/>
        <v>0</v>
      </c>
      <c r="W462" s="955"/>
      <c r="X462" s="2905">
        <f t="shared" si="114"/>
        <v>0</v>
      </c>
      <c r="Y462" s="2905">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8">
        <f t="shared" si="118"/>
        <v>0</v>
      </c>
      <c r="U463" s="2905">
        <f t="shared" si="112"/>
        <v>0</v>
      </c>
      <c r="V463" s="2905">
        <f t="shared" si="113"/>
        <v>0</v>
      </c>
      <c r="W463" s="955"/>
      <c r="X463" s="2905">
        <f t="shared" si="114"/>
        <v>0</v>
      </c>
      <c r="Y463" s="2905">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8">
        <f t="shared" si="118"/>
        <v>0</v>
      </c>
      <c r="U464" s="2905">
        <f t="shared" si="112"/>
        <v>0</v>
      </c>
      <c r="V464" s="2905">
        <f t="shared" si="113"/>
        <v>0</v>
      </c>
      <c r="W464" s="955"/>
      <c r="X464" s="2905">
        <f t="shared" si="114"/>
        <v>0</v>
      </c>
      <c r="Y464" s="2905">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8">
        <f t="shared" si="118"/>
        <v>0</v>
      </c>
      <c r="U465" s="2905">
        <f t="shared" si="112"/>
        <v>0</v>
      </c>
      <c r="V465" s="2905">
        <f t="shared" si="113"/>
        <v>0</v>
      </c>
      <c r="W465" s="955"/>
      <c r="X465" s="2905">
        <f t="shared" si="114"/>
        <v>0</v>
      </c>
      <c r="Y465" s="2905">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8">
        <f t="shared" si="118"/>
        <v>0</v>
      </c>
      <c r="U466" s="2905">
        <f t="shared" si="112"/>
        <v>0</v>
      </c>
      <c r="V466" s="2905">
        <f t="shared" si="113"/>
        <v>0</v>
      </c>
      <c r="W466" s="955"/>
      <c r="X466" s="2905">
        <f t="shared" si="114"/>
        <v>0</v>
      </c>
      <c r="Y466" s="2905">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8">
        <f t="shared" si="118"/>
        <v>0</v>
      </c>
      <c r="U467" s="2905">
        <f t="shared" si="112"/>
        <v>0</v>
      </c>
      <c r="V467" s="2905">
        <f t="shared" si="113"/>
        <v>0</v>
      </c>
      <c r="W467" s="955"/>
      <c r="X467" s="2905">
        <f t="shared" si="114"/>
        <v>0</v>
      </c>
      <c r="Y467" s="2905">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8">
        <f t="shared" si="118"/>
        <v>0</v>
      </c>
      <c r="U468" s="2905">
        <f t="shared" si="112"/>
        <v>0</v>
      </c>
      <c r="V468" s="2905">
        <f t="shared" si="113"/>
        <v>0</v>
      </c>
      <c r="W468" s="955"/>
      <c r="X468" s="2905">
        <f t="shared" si="114"/>
        <v>0</v>
      </c>
      <c r="Y468" s="2905">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8">
        <f t="shared" si="118"/>
        <v>0</v>
      </c>
      <c r="U469" s="2905">
        <f t="shared" si="112"/>
        <v>0</v>
      </c>
      <c r="V469" s="2905">
        <f t="shared" si="113"/>
        <v>0</v>
      </c>
      <c r="W469" s="955"/>
      <c r="X469" s="2905">
        <f t="shared" si="114"/>
        <v>0</v>
      </c>
      <c r="Y469" s="2905">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8">
        <f t="shared" si="118"/>
        <v>0</v>
      </c>
      <c r="U470" s="2905">
        <f t="shared" si="112"/>
        <v>0</v>
      </c>
      <c r="V470" s="2905">
        <f t="shared" si="113"/>
        <v>0</v>
      </c>
      <c r="W470" s="955"/>
      <c r="X470" s="2905">
        <f t="shared" si="114"/>
        <v>0</v>
      </c>
      <c r="Y470" s="2905">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8">
        <f t="shared" si="118"/>
        <v>0</v>
      </c>
      <c r="U471" s="2905">
        <f t="shared" si="112"/>
        <v>0</v>
      </c>
      <c r="V471" s="2905">
        <f t="shared" si="113"/>
        <v>0</v>
      </c>
      <c r="W471" s="955"/>
      <c r="X471" s="2905">
        <f t="shared" si="114"/>
        <v>0</v>
      </c>
      <c r="Y471" s="2905">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8">
        <f t="shared" si="118"/>
        <v>0</v>
      </c>
      <c r="U472" s="2905">
        <f t="shared" si="112"/>
        <v>0</v>
      </c>
      <c r="V472" s="2905">
        <f t="shared" si="113"/>
        <v>0</v>
      </c>
      <c r="W472" s="955"/>
      <c r="X472" s="2905">
        <f t="shared" si="114"/>
        <v>0</v>
      </c>
      <c r="Y472" s="2905">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8">
        <f t="shared" si="118"/>
        <v>0</v>
      </c>
      <c r="U473" s="2905">
        <f t="shared" si="112"/>
        <v>0</v>
      </c>
      <c r="V473" s="2905">
        <f t="shared" si="113"/>
        <v>0</v>
      </c>
      <c r="W473" s="955"/>
      <c r="X473" s="2905">
        <f t="shared" si="114"/>
        <v>0</v>
      </c>
      <c r="Y473" s="2905">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8">
        <f t="shared" si="118"/>
        <v>0</v>
      </c>
      <c r="U474" s="2905">
        <f t="shared" si="112"/>
        <v>0</v>
      </c>
      <c r="V474" s="2905">
        <f t="shared" si="113"/>
        <v>0</v>
      </c>
      <c r="W474" s="955"/>
      <c r="X474" s="2905">
        <f t="shared" si="114"/>
        <v>0</v>
      </c>
      <c r="Y474" s="2905">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8">
        <f t="shared" si="118"/>
        <v>0</v>
      </c>
      <c r="U475" s="2905">
        <f t="shared" si="112"/>
        <v>0</v>
      </c>
      <c r="V475" s="2905">
        <f t="shared" si="113"/>
        <v>0</v>
      </c>
      <c r="W475" s="955"/>
      <c r="X475" s="2905">
        <f t="shared" si="114"/>
        <v>0</v>
      </c>
      <c r="Y475" s="2905">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8">
        <f t="shared" si="118"/>
        <v>0</v>
      </c>
      <c r="U476" s="2905">
        <f t="shared" ref="U476:U527" si="127">ROUND(W476*B476,0)</f>
        <v>0</v>
      </c>
      <c r="V476" s="2905">
        <f t="shared" ref="V476:V527" si="128">ROUND(W476*B476/10000,0)</f>
        <v>0</v>
      </c>
      <c r="W476" s="955"/>
      <c r="X476" s="2905">
        <f t="shared" ref="X476:X527" si="129">ROUND(Z476*B476,0)</f>
        <v>0</v>
      </c>
      <c r="Y476" s="2905">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8">
        <f t="shared" ref="T477:T527" si="133">ROUND(R477*B477/10000,0)</f>
        <v>0</v>
      </c>
      <c r="U477" s="2905">
        <f t="shared" si="127"/>
        <v>0</v>
      </c>
      <c r="V477" s="2905">
        <f t="shared" si="128"/>
        <v>0</v>
      </c>
      <c r="W477" s="955"/>
      <c r="X477" s="2905">
        <f t="shared" si="129"/>
        <v>0</v>
      </c>
      <c r="Y477" s="2905">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8">
        <f t="shared" si="133"/>
        <v>0</v>
      </c>
      <c r="U478" s="2905">
        <f t="shared" si="127"/>
        <v>0</v>
      </c>
      <c r="V478" s="2905">
        <f t="shared" si="128"/>
        <v>0</v>
      </c>
      <c r="W478" s="955"/>
      <c r="X478" s="2905">
        <f t="shared" si="129"/>
        <v>0</v>
      </c>
      <c r="Y478" s="2905">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8">
        <f t="shared" si="133"/>
        <v>0</v>
      </c>
      <c r="U479" s="2905">
        <f t="shared" si="127"/>
        <v>0</v>
      </c>
      <c r="V479" s="2905">
        <f t="shared" si="128"/>
        <v>0</v>
      </c>
      <c r="W479" s="955"/>
      <c r="X479" s="2905">
        <f t="shared" si="129"/>
        <v>0</v>
      </c>
      <c r="Y479" s="2905">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8">
        <f t="shared" si="133"/>
        <v>0</v>
      </c>
      <c r="U480" s="2905">
        <f t="shared" si="127"/>
        <v>0</v>
      </c>
      <c r="V480" s="2905">
        <f t="shared" si="128"/>
        <v>0</v>
      </c>
      <c r="W480" s="955"/>
      <c r="X480" s="2905">
        <f t="shared" si="129"/>
        <v>0</v>
      </c>
      <c r="Y480" s="2905">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8">
        <f t="shared" si="133"/>
        <v>0</v>
      </c>
      <c r="U481" s="2905">
        <f t="shared" si="127"/>
        <v>0</v>
      </c>
      <c r="V481" s="2905">
        <f t="shared" si="128"/>
        <v>0</v>
      </c>
      <c r="W481" s="955"/>
      <c r="X481" s="2905">
        <f t="shared" si="129"/>
        <v>0</v>
      </c>
      <c r="Y481" s="2905">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8">
        <f t="shared" si="133"/>
        <v>0</v>
      </c>
      <c r="U482" s="2905">
        <f t="shared" si="127"/>
        <v>0</v>
      </c>
      <c r="V482" s="2905">
        <f t="shared" si="128"/>
        <v>0</v>
      </c>
      <c r="W482" s="955"/>
      <c r="X482" s="2905">
        <f t="shared" si="129"/>
        <v>0</v>
      </c>
      <c r="Y482" s="2905">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8">
        <f t="shared" si="133"/>
        <v>0</v>
      </c>
      <c r="U483" s="2905">
        <f t="shared" si="127"/>
        <v>0</v>
      </c>
      <c r="V483" s="2905">
        <f t="shared" si="128"/>
        <v>0</v>
      </c>
      <c r="W483" s="955"/>
      <c r="X483" s="2905">
        <f t="shared" si="129"/>
        <v>0</v>
      </c>
      <c r="Y483" s="2905">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8">
        <f t="shared" si="133"/>
        <v>0</v>
      </c>
      <c r="U484" s="2905">
        <f t="shared" si="127"/>
        <v>0</v>
      </c>
      <c r="V484" s="2905">
        <f t="shared" si="128"/>
        <v>0</v>
      </c>
      <c r="W484" s="955"/>
      <c r="X484" s="2905">
        <f t="shared" si="129"/>
        <v>0</v>
      </c>
      <c r="Y484" s="2905">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8">
        <f t="shared" si="133"/>
        <v>0</v>
      </c>
      <c r="U485" s="2905">
        <f t="shared" si="127"/>
        <v>0</v>
      </c>
      <c r="V485" s="2905">
        <f t="shared" si="128"/>
        <v>0</v>
      </c>
      <c r="W485" s="955"/>
      <c r="X485" s="2905">
        <f t="shared" si="129"/>
        <v>0</v>
      </c>
      <c r="Y485" s="2905">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8">
        <f t="shared" si="133"/>
        <v>0</v>
      </c>
      <c r="U486" s="2905">
        <f t="shared" si="127"/>
        <v>0</v>
      </c>
      <c r="V486" s="2905">
        <f t="shared" si="128"/>
        <v>0</v>
      </c>
      <c r="W486" s="955"/>
      <c r="X486" s="2905">
        <f t="shared" si="129"/>
        <v>0</v>
      </c>
      <c r="Y486" s="2905">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8">
        <f t="shared" si="133"/>
        <v>0</v>
      </c>
      <c r="U487" s="2905">
        <f t="shared" si="127"/>
        <v>0</v>
      </c>
      <c r="V487" s="2905">
        <f t="shared" si="128"/>
        <v>0</v>
      </c>
      <c r="W487" s="955"/>
      <c r="X487" s="2905">
        <f t="shared" si="129"/>
        <v>0</v>
      </c>
      <c r="Y487" s="2905">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8">
        <f t="shared" si="133"/>
        <v>0</v>
      </c>
      <c r="U488" s="2905">
        <f t="shared" si="127"/>
        <v>0</v>
      </c>
      <c r="V488" s="2905">
        <f t="shared" si="128"/>
        <v>0</v>
      </c>
      <c r="W488" s="955"/>
      <c r="X488" s="2905">
        <f t="shared" si="129"/>
        <v>0</v>
      </c>
      <c r="Y488" s="2905">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8">
        <f t="shared" si="133"/>
        <v>0</v>
      </c>
      <c r="U489" s="2905">
        <f t="shared" si="127"/>
        <v>0</v>
      </c>
      <c r="V489" s="2905">
        <f t="shared" si="128"/>
        <v>0</v>
      </c>
      <c r="W489" s="955"/>
      <c r="X489" s="2905">
        <f t="shared" si="129"/>
        <v>0</v>
      </c>
      <c r="Y489" s="2905">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8">
        <f t="shared" si="133"/>
        <v>0</v>
      </c>
      <c r="U490" s="2905">
        <f t="shared" si="127"/>
        <v>0</v>
      </c>
      <c r="V490" s="2905">
        <f t="shared" si="128"/>
        <v>0</v>
      </c>
      <c r="W490" s="955"/>
      <c r="X490" s="2905">
        <f t="shared" si="129"/>
        <v>0</v>
      </c>
      <c r="Y490" s="2905">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8">
        <f t="shared" si="133"/>
        <v>0</v>
      </c>
      <c r="U491" s="2905">
        <f t="shared" si="127"/>
        <v>0</v>
      </c>
      <c r="V491" s="2905">
        <f t="shared" si="128"/>
        <v>0</v>
      </c>
      <c r="W491" s="955"/>
      <c r="X491" s="2905">
        <f t="shared" si="129"/>
        <v>0</v>
      </c>
      <c r="Y491" s="2905">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8">
        <f t="shared" si="133"/>
        <v>0</v>
      </c>
      <c r="U492" s="2905">
        <f t="shared" si="127"/>
        <v>0</v>
      </c>
      <c r="V492" s="2905">
        <f t="shared" si="128"/>
        <v>0</v>
      </c>
      <c r="W492" s="955"/>
      <c r="X492" s="2905">
        <f t="shared" si="129"/>
        <v>0</v>
      </c>
      <c r="Y492" s="2905">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8">
        <f t="shared" si="133"/>
        <v>0</v>
      </c>
      <c r="U493" s="2905">
        <f t="shared" si="127"/>
        <v>0</v>
      </c>
      <c r="V493" s="2905">
        <f t="shared" si="128"/>
        <v>0</v>
      </c>
      <c r="W493" s="955"/>
      <c r="X493" s="2905">
        <f t="shared" si="129"/>
        <v>0</v>
      </c>
      <c r="Y493" s="2905">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8">
        <f t="shared" si="133"/>
        <v>0</v>
      </c>
      <c r="U494" s="2905">
        <f t="shared" si="127"/>
        <v>0</v>
      </c>
      <c r="V494" s="2905">
        <f t="shared" si="128"/>
        <v>0</v>
      </c>
      <c r="W494" s="955"/>
      <c r="X494" s="2905">
        <f t="shared" si="129"/>
        <v>0</v>
      </c>
      <c r="Y494" s="2905">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8">
        <f t="shared" si="133"/>
        <v>0</v>
      </c>
      <c r="U495" s="2905">
        <f t="shared" si="127"/>
        <v>0</v>
      </c>
      <c r="V495" s="2905">
        <f t="shared" si="128"/>
        <v>0</v>
      </c>
      <c r="W495" s="955"/>
      <c r="X495" s="2905">
        <f t="shared" si="129"/>
        <v>0</v>
      </c>
      <c r="Y495" s="2905">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8">
        <f t="shared" si="133"/>
        <v>0</v>
      </c>
      <c r="U496" s="2905">
        <f t="shared" si="127"/>
        <v>0</v>
      </c>
      <c r="V496" s="2905">
        <f t="shared" si="128"/>
        <v>0</v>
      </c>
      <c r="W496" s="955"/>
      <c r="X496" s="2905">
        <f t="shared" si="129"/>
        <v>0</v>
      </c>
      <c r="Y496" s="2905">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8">
        <f t="shared" si="133"/>
        <v>0</v>
      </c>
      <c r="U497" s="2905">
        <f t="shared" si="127"/>
        <v>0</v>
      </c>
      <c r="V497" s="2905">
        <f t="shared" si="128"/>
        <v>0</v>
      </c>
      <c r="W497" s="955"/>
      <c r="X497" s="2905">
        <f t="shared" si="129"/>
        <v>0</v>
      </c>
      <c r="Y497" s="2905">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8">
        <f t="shared" si="133"/>
        <v>0</v>
      </c>
      <c r="U498" s="2905">
        <f t="shared" si="127"/>
        <v>0</v>
      </c>
      <c r="V498" s="2905">
        <f t="shared" si="128"/>
        <v>0</v>
      </c>
      <c r="W498" s="955"/>
      <c r="X498" s="2905">
        <f t="shared" si="129"/>
        <v>0</v>
      </c>
      <c r="Y498" s="2905">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8">
        <f t="shared" si="133"/>
        <v>0</v>
      </c>
      <c r="U499" s="2905">
        <f t="shared" si="127"/>
        <v>0</v>
      </c>
      <c r="V499" s="2905">
        <f t="shared" si="128"/>
        <v>0</v>
      </c>
      <c r="W499" s="955"/>
      <c r="X499" s="2905">
        <f t="shared" si="129"/>
        <v>0</v>
      </c>
      <c r="Y499" s="2905">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8">
        <f t="shared" si="133"/>
        <v>0</v>
      </c>
      <c r="U500" s="2905">
        <f t="shared" si="127"/>
        <v>0</v>
      </c>
      <c r="V500" s="2905">
        <f t="shared" si="128"/>
        <v>0</v>
      </c>
      <c r="W500" s="955"/>
      <c r="X500" s="2905">
        <f t="shared" si="129"/>
        <v>0</v>
      </c>
      <c r="Y500" s="2905">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8">
        <f t="shared" si="133"/>
        <v>0</v>
      </c>
      <c r="U501" s="2905">
        <f t="shared" si="127"/>
        <v>0</v>
      </c>
      <c r="V501" s="2905">
        <f t="shared" si="128"/>
        <v>0</v>
      </c>
      <c r="W501" s="955"/>
      <c r="X501" s="2905">
        <f t="shared" si="129"/>
        <v>0</v>
      </c>
      <c r="Y501" s="2905">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8">
        <f t="shared" si="133"/>
        <v>0</v>
      </c>
      <c r="U502" s="2905">
        <f t="shared" si="127"/>
        <v>0</v>
      </c>
      <c r="V502" s="2905">
        <f t="shared" si="128"/>
        <v>0</v>
      </c>
      <c r="W502" s="955"/>
      <c r="X502" s="2905">
        <f t="shared" si="129"/>
        <v>0</v>
      </c>
      <c r="Y502" s="2905">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8">
        <f t="shared" si="133"/>
        <v>0</v>
      </c>
      <c r="U503" s="2905">
        <f t="shared" si="127"/>
        <v>0</v>
      </c>
      <c r="V503" s="2905">
        <f t="shared" si="128"/>
        <v>0</v>
      </c>
      <c r="W503" s="955"/>
      <c r="X503" s="2905">
        <f t="shared" si="129"/>
        <v>0</v>
      </c>
      <c r="Y503" s="2905">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8">
        <f t="shared" si="133"/>
        <v>0</v>
      </c>
      <c r="U504" s="2905">
        <f t="shared" si="127"/>
        <v>0</v>
      </c>
      <c r="V504" s="2905">
        <f t="shared" si="128"/>
        <v>0</v>
      </c>
      <c r="W504" s="955"/>
      <c r="X504" s="2905">
        <f t="shared" si="129"/>
        <v>0</v>
      </c>
      <c r="Y504" s="2905">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8">
        <f t="shared" si="133"/>
        <v>0</v>
      </c>
      <c r="U505" s="2905">
        <f t="shared" si="127"/>
        <v>0</v>
      </c>
      <c r="V505" s="2905">
        <f t="shared" si="128"/>
        <v>0</v>
      </c>
      <c r="W505" s="955"/>
      <c r="X505" s="2905">
        <f t="shared" si="129"/>
        <v>0</v>
      </c>
      <c r="Y505" s="2905">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8">
        <f t="shared" si="133"/>
        <v>0</v>
      </c>
      <c r="U506" s="2905">
        <f t="shared" si="127"/>
        <v>0</v>
      </c>
      <c r="V506" s="2905">
        <f t="shared" si="128"/>
        <v>0</v>
      </c>
      <c r="W506" s="955"/>
      <c r="X506" s="2905">
        <f t="shared" si="129"/>
        <v>0</v>
      </c>
      <c r="Y506" s="2905">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8">
        <f t="shared" si="133"/>
        <v>0</v>
      </c>
      <c r="U507" s="2905">
        <f t="shared" si="127"/>
        <v>0</v>
      </c>
      <c r="V507" s="2905">
        <f t="shared" si="128"/>
        <v>0</v>
      </c>
      <c r="W507" s="955"/>
      <c r="X507" s="2905">
        <f t="shared" si="129"/>
        <v>0</v>
      </c>
      <c r="Y507" s="2905">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8">
        <f t="shared" si="133"/>
        <v>0</v>
      </c>
      <c r="U508" s="2905">
        <f t="shared" si="127"/>
        <v>0</v>
      </c>
      <c r="V508" s="2905">
        <f t="shared" si="128"/>
        <v>0</v>
      </c>
      <c r="W508" s="955"/>
      <c r="X508" s="2905">
        <f t="shared" si="129"/>
        <v>0</v>
      </c>
      <c r="Y508" s="2905">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8">
        <f t="shared" si="133"/>
        <v>0</v>
      </c>
      <c r="U509" s="2905">
        <f t="shared" si="127"/>
        <v>0</v>
      </c>
      <c r="V509" s="2905">
        <f t="shared" si="128"/>
        <v>0</v>
      </c>
      <c r="W509" s="955"/>
      <c r="X509" s="2905">
        <f t="shared" si="129"/>
        <v>0</v>
      </c>
      <c r="Y509" s="2905">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8">
        <f t="shared" si="133"/>
        <v>0</v>
      </c>
      <c r="U510" s="2905">
        <f t="shared" si="127"/>
        <v>0</v>
      </c>
      <c r="V510" s="2905">
        <f t="shared" si="128"/>
        <v>0</v>
      </c>
      <c r="W510" s="955"/>
      <c r="X510" s="2905">
        <f t="shared" si="129"/>
        <v>0</v>
      </c>
      <c r="Y510" s="2905">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8">
        <f t="shared" si="133"/>
        <v>0</v>
      </c>
      <c r="U511" s="2905">
        <f t="shared" si="127"/>
        <v>0</v>
      </c>
      <c r="V511" s="2905">
        <f t="shared" si="128"/>
        <v>0</v>
      </c>
      <c r="W511" s="955"/>
      <c r="X511" s="2905">
        <f t="shared" si="129"/>
        <v>0</v>
      </c>
      <c r="Y511" s="2905">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8">
        <f t="shared" si="133"/>
        <v>0</v>
      </c>
      <c r="U512" s="2905">
        <f t="shared" si="127"/>
        <v>0</v>
      </c>
      <c r="V512" s="2905">
        <f t="shared" si="128"/>
        <v>0</v>
      </c>
      <c r="W512" s="955"/>
      <c r="X512" s="2905">
        <f t="shared" si="129"/>
        <v>0</v>
      </c>
      <c r="Y512" s="2905">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8">
        <f t="shared" si="133"/>
        <v>0</v>
      </c>
      <c r="U513" s="2905">
        <f t="shared" si="127"/>
        <v>0</v>
      </c>
      <c r="V513" s="2905">
        <f t="shared" si="128"/>
        <v>0</v>
      </c>
      <c r="W513" s="955"/>
      <c r="X513" s="2905">
        <f t="shared" si="129"/>
        <v>0</v>
      </c>
      <c r="Y513" s="2905">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8">
        <f t="shared" si="133"/>
        <v>0</v>
      </c>
      <c r="U514" s="2905">
        <f t="shared" si="127"/>
        <v>0</v>
      </c>
      <c r="V514" s="2905">
        <f t="shared" si="128"/>
        <v>0</v>
      </c>
      <c r="W514" s="955"/>
      <c r="X514" s="2905">
        <f t="shared" si="129"/>
        <v>0</v>
      </c>
      <c r="Y514" s="2905">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8">
        <f t="shared" si="133"/>
        <v>0</v>
      </c>
      <c r="U515" s="2905">
        <f t="shared" si="127"/>
        <v>0</v>
      </c>
      <c r="V515" s="2905">
        <f t="shared" si="128"/>
        <v>0</v>
      </c>
      <c r="W515" s="955"/>
      <c r="X515" s="2905">
        <f t="shared" si="129"/>
        <v>0</v>
      </c>
      <c r="Y515" s="2905">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8">
        <f t="shared" si="133"/>
        <v>0</v>
      </c>
      <c r="U516" s="2905">
        <f t="shared" si="127"/>
        <v>0</v>
      </c>
      <c r="V516" s="2905">
        <f t="shared" si="128"/>
        <v>0</v>
      </c>
      <c r="W516" s="955"/>
      <c r="X516" s="2905">
        <f t="shared" si="129"/>
        <v>0</v>
      </c>
      <c r="Y516" s="2905">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8">
        <f t="shared" si="133"/>
        <v>0</v>
      </c>
      <c r="U517" s="2905">
        <f t="shared" si="127"/>
        <v>0</v>
      </c>
      <c r="V517" s="2905">
        <f t="shared" si="128"/>
        <v>0</v>
      </c>
      <c r="W517" s="955"/>
      <c r="X517" s="2905">
        <f t="shared" si="129"/>
        <v>0</v>
      </c>
      <c r="Y517" s="2905">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8">
        <f t="shared" si="133"/>
        <v>0</v>
      </c>
      <c r="U518" s="2905">
        <f t="shared" si="127"/>
        <v>0</v>
      </c>
      <c r="V518" s="2905">
        <f t="shared" si="128"/>
        <v>0</v>
      </c>
      <c r="W518" s="955"/>
      <c r="X518" s="2905">
        <f t="shared" si="129"/>
        <v>0</v>
      </c>
      <c r="Y518" s="2905">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8">
        <f t="shared" si="133"/>
        <v>0</v>
      </c>
      <c r="U519" s="2905">
        <f t="shared" si="127"/>
        <v>0</v>
      </c>
      <c r="V519" s="2905">
        <f t="shared" si="128"/>
        <v>0</v>
      </c>
      <c r="W519" s="955"/>
      <c r="X519" s="2905">
        <f t="shared" si="129"/>
        <v>0</v>
      </c>
      <c r="Y519" s="2905">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8">
        <f t="shared" si="133"/>
        <v>0</v>
      </c>
      <c r="U520" s="2905">
        <f t="shared" si="127"/>
        <v>0</v>
      </c>
      <c r="V520" s="2905">
        <f t="shared" si="128"/>
        <v>0</v>
      </c>
      <c r="W520" s="955"/>
      <c r="X520" s="2905">
        <f t="shared" si="129"/>
        <v>0</v>
      </c>
      <c r="Y520" s="2905">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8">
        <f t="shared" si="133"/>
        <v>0</v>
      </c>
      <c r="U521" s="2905">
        <f t="shared" si="127"/>
        <v>0</v>
      </c>
      <c r="V521" s="2905">
        <f t="shared" si="128"/>
        <v>0</v>
      </c>
      <c r="W521" s="955"/>
      <c r="X521" s="2905">
        <f t="shared" si="129"/>
        <v>0</v>
      </c>
      <c r="Y521" s="2905">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8">
        <f t="shared" si="133"/>
        <v>0</v>
      </c>
      <c r="U522" s="2905">
        <f t="shared" si="127"/>
        <v>0</v>
      </c>
      <c r="V522" s="2905">
        <f t="shared" si="128"/>
        <v>0</v>
      </c>
      <c r="W522" s="955"/>
      <c r="X522" s="2905">
        <f t="shared" si="129"/>
        <v>0</v>
      </c>
      <c r="Y522" s="2905">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8">
        <f t="shared" si="133"/>
        <v>0</v>
      </c>
      <c r="U523" s="2905">
        <f t="shared" si="127"/>
        <v>0</v>
      </c>
      <c r="V523" s="2905">
        <f t="shared" si="128"/>
        <v>0</v>
      </c>
      <c r="W523" s="955"/>
      <c r="X523" s="2905">
        <f t="shared" si="129"/>
        <v>0</v>
      </c>
      <c r="Y523" s="2905">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8">
        <f t="shared" si="133"/>
        <v>0</v>
      </c>
      <c r="U524" s="2905">
        <f t="shared" si="127"/>
        <v>0</v>
      </c>
      <c r="V524" s="2905">
        <f t="shared" si="128"/>
        <v>0</v>
      </c>
      <c r="W524" s="955"/>
      <c r="X524" s="2905">
        <f t="shared" si="129"/>
        <v>0</v>
      </c>
      <c r="Y524" s="2905">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8">
        <f t="shared" si="133"/>
        <v>0</v>
      </c>
      <c r="U525" s="2905">
        <f t="shared" si="127"/>
        <v>0</v>
      </c>
      <c r="V525" s="2905">
        <f t="shared" si="128"/>
        <v>0</v>
      </c>
      <c r="W525" s="955"/>
      <c r="X525" s="2905">
        <f t="shared" si="129"/>
        <v>0</v>
      </c>
      <c r="Y525" s="2905">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8">
        <f t="shared" si="133"/>
        <v>0</v>
      </c>
      <c r="U526" s="2905">
        <f t="shared" si="127"/>
        <v>0</v>
      </c>
      <c r="V526" s="2905">
        <f t="shared" si="128"/>
        <v>0</v>
      </c>
      <c r="W526" s="955"/>
      <c r="X526" s="2905">
        <f t="shared" si="129"/>
        <v>0</v>
      </c>
      <c r="Y526" s="2905">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8">
        <f t="shared" si="133"/>
        <v>0</v>
      </c>
      <c r="U527" s="2905">
        <f t="shared" si="127"/>
        <v>0</v>
      </c>
      <c r="V527" s="2905">
        <f t="shared" si="128"/>
        <v>0</v>
      </c>
      <c r="W527" s="955"/>
      <c r="X527" s="2905">
        <f t="shared" si="129"/>
        <v>0</v>
      </c>
      <c r="Y527" s="2905">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4"/>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4" customFormat="1" ht="28.5" customHeight="1" thickTop="1">
      <c r="A2" s="1576" t="s">
        <v>1674</v>
      </c>
      <c r="B2" s="1577" t="e">
        <f ca="1">IF(D2="——",IF(C2="元",ROUND(C49*D3,0),ROUND(C49*D3/10000,0)),IF(C2="元",ROUND(C49*D3,0),ROUND(C49*D3/10000,0))-E2)</f>
        <v>#DIV/0!</v>
      </c>
      <c r="C2" s="1578" t="str">
        <f>'数据-取费表'!B3</f>
        <v>万元</v>
      </c>
      <c r="D2" s="1579"/>
      <c r="E2" s="2385" t="e">
        <f ca="1">SUMIF(INDIRECT("'"&amp;G2&amp;"'"&amp;"!A:A"),"承租人权益价值",INDIRECT("'"&amp;G2&amp;"'"&amp;"!c:c"))</f>
        <v>#REF!</v>
      </c>
      <c r="F2" s="1581" t="str">
        <f>C2</f>
        <v>万元</v>
      </c>
      <c r="G2" s="1582"/>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6" t="s">
        <v>1675</v>
      </c>
      <c r="B3" s="1887" t="e">
        <f ca="1">ROUND(IF(D2="——",C49,IF(C2="万元",B2*10000/D3,B2/D3)),0)</f>
        <v>#DIV/0!</v>
      </c>
      <c r="C3" s="1587" t="s">
        <v>2005</v>
      </c>
      <c r="D3" s="1587">
        <f>IF(C1="仅计算典型户型",'数据-取费表'!E5,'数据-取费表'!B5)</f>
        <v>770.88</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0" t="s">
        <v>2006</v>
      </c>
      <c r="B4" s="1591"/>
      <c r="C4" s="3574" t="s">
        <v>2007</v>
      </c>
      <c r="D4" s="3575"/>
      <c r="E4" s="3576" t="s">
        <v>2008</v>
      </c>
      <c r="F4" s="3577"/>
      <c r="G4" s="3574" t="s">
        <v>2009</v>
      </c>
      <c r="H4" s="3575"/>
      <c r="I4" s="3574" t="s">
        <v>2010</v>
      </c>
      <c r="J4" s="3575"/>
      <c r="K4" s="1890" t="s">
        <v>2011</v>
      </c>
      <c r="L4" s="2911"/>
      <c r="M4" s="2912"/>
      <c r="N4" s="2912"/>
      <c r="O4" s="2912"/>
      <c r="P4" s="3578" t="s">
        <v>2012</v>
      </c>
      <c r="Q4" s="3579"/>
      <c r="R4" s="3584" t="s">
        <v>2008</v>
      </c>
      <c r="S4" s="3585"/>
      <c r="T4" s="3584" t="s">
        <v>2009</v>
      </c>
      <c r="U4" s="3585"/>
      <c r="V4" s="3590" t="s">
        <v>2010</v>
      </c>
      <c r="W4" s="3590"/>
      <c r="X4" s="1999"/>
      <c r="Y4" s="3584" t="s">
        <v>2012</v>
      </c>
      <c r="Z4" s="3585"/>
      <c r="AA4" s="3571" t="s">
        <v>2008</v>
      </c>
      <c r="AB4" s="3590" t="s">
        <v>2009</v>
      </c>
      <c r="AC4" s="3571" t="s">
        <v>2010</v>
      </c>
    </row>
    <row r="5" spans="1:29" ht="15">
      <c r="A5" s="1595"/>
      <c r="B5" s="1596"/>
      <c r="C5" s="3567" t="s">
        <v>2013</v>
      </c>
      <c r="D5" s="3568"/>
      <c r="E5" s="3591" t="s">
        <v>2014</v>
      </c>
      <c r="F5" s="3592"/>
      <c r="G5" s="3567" t="s">
        <v>2015</v>
      </c>
      <c r="H5" s="3568"/>
      <c r="I5" s="3567" t="s">
        <v>2016</v>
      </c>
      <c r="J5" s="3568"/>
      <c r="K5" s="1890"/>
      <c r="L5" s="2911"/>
      <c r="M5" s="2912"/>
      <c r="N5" s="2912"/>
      <c r="O5" s="2912"/>
      <c r="P5" s="3580"/>
      <c r="Q5" s="3581"/>
      <c r="R5" s="3586"/>
      <c r="S5" s="3587"/>
      <c r="T5" s="3586"/>
      <c r="U5" s="3587"/>
      <c r="V5" s="3590"/>
      <c r="W5" s="3590"/>
      <c r="X5" s="1999"/>
      <c r="Y5" s="3586"/>
      <c r="Z5" s="3587"/>
      <c r="AA5" s="3572"/>
      <c r="AB5" s="3590"/>
      <c r="AC5" s="3572"/>
    </row>
    <row r="6" spans="1:29" ht="15.75" thickBot="1">
      <c r="A6" s="1598"/>
      <c r="B6" s="1599"/>
      <c r="C6" s="3564" t="s">
        <v>2017</v>
      </c>
      <c r="D6" s="3565"/>
      <c r="E6" s="3562" t="s">
        <v>2017</v>
      </c>
      <c r="F6" s="3563"/>
      <c r="G6" s="3564" t="s">
        <v>2017</v>
      </c>
      <c r="H6" s="3565"/>
      <c r="I6" s="3564" t="s">
        <v>2017</v>
      </c>
      <c r="J6" s="3565"/>
      <c r="K6" s="1890" t="s">
        <v>2018</v>
      </c>
      <c r="L6" s="2911"/>
      <c r="M6" s="2912"/>
      <c r="N6" s="2912"/>
      <c r="O6" s="2912"/>
      <c r="P6" s="3582"/>
      <c r="Q6" s="3583"/>
      <c r="R6" s="3586"/>
      <c r="S6" s="3587"/>
      <c r="T6" s="3588"/>
      <c r="U6" s="3589"/>
      <c r="V6" s="3590"/>
      <c r="W6" s="3590"/>
      <c r="X6" s="1999"/>
      <c r="Y6" s="3588"/>
      <c r="Z6" s="3589"/>
      <c r="AA6" s="3573"/>
      <c r="AB6" s="3590"/>
      <c r="AC6" s="3573"/>
    </row>
    <row r="7" spans="1:29" s="1612" customFormat="1" ht="15.75" thickBot="1">
      <c r="A7" s="1600" t="s">
        <v>2019</v>
      </c>
      <c r="B7" s="1601"/>
      <c r="C7" s="1602">
        <f>'数据-取费表'!B2</f>
        <v>44858</v>
      </c>
      <c r="D7" s="1603">
        <v>100</v>
      </c>
      <c r="E7" s="1604"/>
      <c r="F7" s="1605">
        <f>SUMIF(58:58,YEAR(E7)&amp;"-"&amp;MONTH(E7),59:59)</f>
        <v>0</v>
      </c>
      <c r="G7" s="1604"/>
      <c r="H7" s="1603">
        <f>SUMIF(58:58,YEAR(G7)&amp;"-"&amp;MONTH(G7),59:59)</f>
        <v>0</v>
      </c>
      <c r="I7" s="1604"/>
      <c r="J7" s="1603">
        <f>SUMIF(58:58,YEAR(I7)&amp;"-"&amp;MONTH(I7),59:59)</f>
        <v>0</v>
      </c>
      <c r="K7" s="1892"/>
      <c r="L7" s="2911"/>
      <c r="M7" s="2884"/>
      <c r="N7" s="2884"/>
      <c r="O7" s="2884"/>
      <c r="P7" s="3569" t="s">
        <v>2020</v>
      </c>
      <c r="Q7" s="3593"/>
      <c r="R7" s="1608" t="s">
        <v>25</v>
      </c>
      <c r="S7" s="1609">
        <f t="shared" ref="S7:S15" si="0">F7</f>
        <v>0</v>
      </c>
      <c r="T7" s="1608" t="s">
        <v>25</v>
      </c>
      <c r="U7" s="1609">
        <f t="shared" ref="U7:U15" si="1">H7</f>
        <v>0</v>
      </c>
      <c r="V7" s="1608" t="s">
        <v>25</v>
      </c>
      <c r="W7" s="1609">
        <f t="shared" ref="W7:W15" si="2">J7</f>
        <v>0</v>
      </c>
      <c r="X7" s="1610"/>
      <c r="Y7" s="3569" t="s">
        <v>2020</v>
      </c>
      <c r="Z7" s="3570"/>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2"/>
      <c r="L8" s="2911"/>
      <c r="M8" s="2884"/>
      <c r="N8" s="2884"/>
      <c r="O8" s="2884"/>
      <c r="P8" s="3569" t="s">
        <v>2023</v>
      </c>
      <c r="Q8" s="3570"/>
      <c r="R8" s="1608" t="s">
        <v>25</v>
      </c>
      <c r="S8" s="1609">
        <f t="shared" si="0"/>
        <v>0</v>
      </c>
      <c r="T8" s="1608" t="s">
        <v>25</v>
      </c>
      <c r="U8" s="1609">
        <f t="shared" si="1"/>
        <v>0</v>
      </c>
      <c r="V8" s="1608" t="s">
        <v>25</v>
      </c>
      <c r="W8" s="1609">
        <f t="shared" si="2"/>
        <v>0</v>
      </c>
      <c r="X8" s="1610"/>
      <c r="Y8" s="3569" t="s">
        <v>2023</v>
      </c>
      <c r="Z8" s="3570"/>
      <c r="AA8" s="1611" t="e">
        <f t="shared" ref="AA8:AA46" si="3">D8/F8</f>
        <v>#DIV/0!</v>
      </c>
      <c r="AB8" s="1611" t="e">
        <f t="shared" ref="AB8:AB46" si="4">D8/H8</f>
        <v>#DIV/0!</v>
      </c>
      <c r="AC8" s="1611" t="e">
        <f t="shared" ref="AC8:AC46" si="5">D8/J8</f>
        <v>#DIV/0!</v>
      </c>
    </row>
    <row r="9" spans="1:29" s="1612"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07" t="s">
        <v>2026</v>
      </c>
      <c r="Q9" s="1990" t="str">
        <f t="shared" ref="Q9:Q15" si="6">B9</f>
        <v>用途</v>
      </c>
      <c r="R9" s="1608" t="s">
        <v>25</v>
      </c>
      <c r="S9" s="1609">
        <f t="shared" si="0"/>
        <v>100</v>
      </c>
      <c r="T9" s="1608" t="s">
        <v>25</v>
      </c>
      <c r="U9" s="1609">
        <f t="shared" si="1"/>
        <v>100</v>
      </c>
      <c r="V9" s="1608" t="s">
        <v>25</v>
      </c>
      <c r="W9" s="1609">
        <f t="shared" si="2"/>
        <v>100</v>
      </c>
      <c r="X9" s="1610"/>
      <c r="Y9" s="3492"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07"/>
      <c r="Q10" s="1990" t="str">
        <f t="shared" si="6"/>
        <v>土地使用年限（年）</v>
      </c>
      <c r="R10" s="1608" t="s">
        <v>25</v>
      </c>
      <c r="S10" s="1609">
        <f t="shared" si="0"/>
        <v>100</v>
      </c>
      <c r="T10" s="1608" t="s">
        <v>25</v>
      </c>
      <c r="U10" s="1609">
        <f t="shared" si="1"/>
        <v>100</v>
      </c>
      <c r="V10" s="1608" t="s">
        <v>25</v>
      </c>
      <c r="W10" s="1609">
        <f t="shared" si="2"/>
        <v>100</v>
      </c>
      <c r="X10" s="1610"/>
      <c r="Y10" s="3492"/>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07"/>
      <c r="Q11" s="1990" t="str">
        <f t="shared" si="6"/>
        <v>容积率</v>
      </c>
      <c r="R11" s="1608" t="s">
        <v>25</v>
      </c>
      <c r="S11" s="1609" t="e">
        <f t="shared" si="0"/>
        <v>#N/A</v>
      </c>
      <c r="T11" s="1608" t="s">
        <v>25</v>
      </c>
      <c r="U11" s="1609" t="e">
        <f t="shared" si="1"/>
        <v>#N/A</v>
      </c>
      <c r="V11" s="1608" t="s">
        <v>25</v>
      </c>
      <c r="W11" s="1609" t="e">
        <f t="shared" si="2"/>
        <v>#N/A</v>
      </c>
      <c r="X11" s="1610"/>
      <c r="Y11" s="3492"/>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07"/>
      <c r="Q12" s="1990">
        <f t="shared" si="6"/>
        <v>111</v>
      </c>
      <c r="R12" s="1608" t="s">
        <v>25</v>
      </c>
      <c r="S12" s="1609">
        <f t="shared" si="0"/>
        <v>100</v>
      </c>
      <c r="T12" s="1608" t="s">
        <v>25</v>
      </c>
      <c r="U12" s="1609">
        <f t="shared" si="1"/>
        <v>100</v>
      </c>
      <c r="V12" s="1608" t="s">
        <v>25</v>
      </c>
      <c r="W12" s="1609">
        <f t="shared" si="2"/>
        <v>100</v>
      </c>
      <c r="X12" s="1610"/>
      <c r="Y12" s="3492"/>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07"/>
      <c r="Q13" s="1990">
        <f t="shared" si="6"/>
        <v>111</v>
      </c>
      <c r="R13" s="1608" t="s">
        <v>25</v>
      </c>
      <c r="S13" s="1609">
        <f t="shared" si="0"/>
        <v>100</v>
      </c>
      <c r="T13" s="1608" t="s">
        <v>25</v>
      </c>
      <c r="U13" s="1609">
        <f t="shared" si="1"/>
        <v>100</v>
      </c>
      <c r="V13" s="1608" t="s">
        <v>25</v>
      </c>
      <c r="W13" s="1609">
        <f t="shared" si="2"/>
        <v>100</v>
      </c>
      <c r="X13" s="1610"/>
      <c r="Y13" s="3492"/>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07"/>
      <c r="Q14" s="1990">
        <f t="shared" si="6"/>
        <v>111</v>
      </c>
      <c r="R14" s="1608" t="s">
        <v>25</v>
      </c>
      <c r="S14" s="1609">
        <f t="shared" si="0"/>
        <v>100</v>
      </c>
      <c r="T14" s="1608" t="s">
        <v>25</v>
      </c>
      <c r="U14" s="1609">
        <f t="shared" si="1"/>
        <v>100</v>
      </c>
      <c r="V14" s="1608" t="s">
        <v>25</v>
      </c>
      <c r="W14" s="1609">
        <f t="shared" si="2"/>
        <v>100</v>
      </c>
      <c r="X14" s="1610"/>
      <c r="Y14" s="3492"/>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08" t="s">
        <v>2031</v>
      </c>
      <c r="Q15" s="1996" t="str">
        <f t="shared" si="6"/>
        <v>商业繁华度</v>
      </c>
      <c r="R15" s="1653" t="s">
        <v>25</v>
      </c>
      <c r="S15" s="1654">
        <f t="shared" si="0"/>
        <v>100</v>
      </c>
      <c r="T15" s="1653" t="s">
        <v>25</v>
      </c>
      <c r="U15" s="1654">
        <f t="shared" si="1"/>
        <v>100</v>
      </c>
      <c r="V15" s="1653" t="s">
        <v>25</v>
      </c>
      <c r="W15" s="1654">
        <f t="shared" si="2"/>
        <v>100</v>
      </c>
      <c r="X15" s="1999"/>
      <c r="Y15" s="3594"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09"/>
      <c r="Q16" s="1996"/>
      <c r="R16" s="1653"/>
      <c r="S16" s="1654"/>
      <c r="T16" s="1653"/>
      <c r="U16" s="1654"/>
      <c r="V16" s="1653"/>
      <c r="W16" s="1654"/>
      <c r="X16" s="1999"/>
      <c r="Y16" s="3595"/>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09"/>
      <c r="Q17" s="1996" t="str">
        <f>B17</f>
        <v>交通便捷度</v>
      </c>
      <c r="R17" s="1653" t="s">
        <v>25</v>
      </c>
      <c r="S17" s="1654">
        <f>F17</f>
        <v>100</v>
      </c>
      <c r="T17" s="1653" t="s">
        <v>25</v>
      </c>
      <c r="U17" s="1654">
        <f>H17</f>
        <v>100</v>
      </c>
      <c r="V17" s="1653" t="s">
        <v>25</v>
      </c>
      <c r="W17" s="1654">
        <f>J17</f>
        <v>100</v>
      </c>
      <c r="X17" s="1999"/>
      <c r="Y17" s="3595"/>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09"/>
      <c r="Q18" s="1996"/>
      <c r="R18" s="1653"/>
      <c r="S18" s="1654"/>
      <c r="T18" s="1653"/>
      <c r="U18" s="1654"/>
      <c r="V18" s="1653"/>
      <c r="W18" s="1654"/>
      <c r="X18" s="1999"/>
      <c r="Y18" s="3595"/>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09"/>
      <c r="Q19" s="1996" t="str">
        <f>B19</f>
        <v>公共配套设施</v>
      </c>
      <c r="R19" s="1653" t="s">
        <v>25</v>
      </c>
      <c r="S19" s="1654">
        <f>F19</f>
        <v>100</v>
      </c>
      <c r="T19" s="1653" t="s">
        <v>25</v>
      </c>
      <c r="U19" s="1654">
        <f>H19</f>
        <v>100</v>
      </c>
      <c r="V19" s="1653" t="s">
        <v>25</v>
      </c>
      <c r="W19" s="1654">
        <f>J19</f>
        <v>100</v>
      </c>
      <c r="X19" s="1999"/>
      <c r="Y19" s="3595"/>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09"/>
      <c r="Q20" s="1996"/>
      <c r="R20" s="1653"/>
      <c r="S20" s="1654"/>
      <c r="T20" s="1653"/>
      <c r="U20" s="1654"/>
      <c r="V20" s="1653"/>
      <c r="W20" s="1654"/>
      <c r="X20" s="1999"/>
      <c r="Y20" s="3595"/>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09"/>
      <c r="Q21" s="1996" t="str">
        <f>B21</f>
        <v>基础设施水平</v>
      </c>
      <c r="R21" s="1653" t="s">
        <v>25</v>
      </c>
      <c r="S21" s="1654">
        <f>F21</f>
        <v>100</v>
      </c>
      <c r="T21" s="1653" t="s">
        <v>25</v>
      </c>
      <c r="U21" s="1654">
        <f>H21</f>
        <v>100</v>
      </c>
      <c r="V21" s="1653" t="s">
        <v>25</v>
      </c>
      <c r="W21" s="1654">
        <f>J21</f>
        <v>100</v>
      </c>
      <c r="X21" s="1999"/>
      <c r="Y21" s="3595"/>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09"/>
      <c r="Q22" s="1996"/>
      <c r="R22" s="1653"/>
      <c r="S22" s="1654"/>
      <c r="T22" s="1653"/>
      <c r="U22" s="1654"/>
      <c r="V22" s="1653"/>
      <c r="W22" s="1654"/>
      <c r="X22" s="1999"/>
      <c r="Y22" s="3595"/>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09"/>
      <c r="Q23" s="1996" t="str">
        <f>B23</f>
        <v>自然及人文环境</v>
      </c>
      <c r="R23" s="1653" t="s">
        <v>25</v>
      </c>
      <c r="S23" s="1654">
        <f>F23</f>
        <v>100</v>
      </c>
      <c r="T23" s="1653" t="s">
        <v>25</v>
      </c>
      <c r="U23" s="1654">
        <f>H23</f>
        <v>100</v>
      </c>
      <c r="V23" s="1653" t="s">
        <v>25</v>
      </c>
      <c r="W23" s="1654">
        <f>J23</f>
        <v>100</v>
      </c>
      <c r="X23" s="1999"/>
      <c r="Y23" s="3595"/>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09"/>
      <c r="Q24" s="1996"/>
      <c r="R24" s="1653"/>
      <c r="S24" s="1654"/>
      <c r="T24" s="1653"/>
      <c r="U24" s="1654"/>
      <c r="V24" s="1653"/>
      <c r="W24" s="1654"/>
      <c r="X24" s="1999"/>
      <c r="Y24" s="3595"/>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09"/>
      <c r="Q25" s="1996" t="str">
        <f t="shared" ref="Q25:Q46" si="11">B25</f>
        <v>临街状况</v>
      </c>
      <c r="R25" s="1653" t="s">
        <v>25</v>
      </c>
      <c r="S25" s="1654">
        <f>F25</f>
        <v>100</v>
      </c>
      <c r="T25" s="1653" t="s">
        <v>25</v>
      </c>
      <c r="U25" s="1654">
        <f>H25</f>
        <v>100</v>
      </c>
      <c r="V25" s="1653" t="s">
        <v>25</v>
      </c>
      <c r="W25" s="1654">
        <f>J25</f>
        <v>100</v>
      </c>
      <c r="X25" s="1999"/>
      <c r="Y25" s="3595"/>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09"/>
      <c r="Q26" s="1996" t="str">
        <f t="shared" si="11"/>
        <v>平面位置/可视性</v>
      </c>
      <c r="R26" s="1653" t="s">
        <v>25</v>
      </c>
      <c r="S26" s="1654">
        <f>F26</f>
        <v>100</v>
      </c>
      <c r="T26" s="1653" t="s">
        <v>25</v>
      </c>
      <c r="U26" s="1654">
        <f>H26</f>
        <v>100</v>
      </c>
      <c r="V26" s="1653" t="s">
        <v>25</v>
      </c>
      <c r="W26" s="1654">
        <f>J26</f>
        <v>100</v>
      </c>
      <c r="X26" s="1999"/>
      <c r="Y26" s="3595"/>
      <c r="Z26" s="2003" t="str">
        <f>Q26</f>
        <v>平面位置/可视性</v>
      </c>
      <c r="AA26" s="1994">
        <f t="shared" si="3"/>
        <v>1</v>
      </c>
      <c r="AB26" s="1994">
        <f t="shared" si="4"/>
        <v>1</v>
      </c>
      <c r="AC26" s="1994">
        <f t="shared" si="5"/>
        <v>1</v>
      </c>
    </row>
    <row r="27" spans="1:29" s="1612"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09"/>
      <c r="Q27" s="1990" t="str">
        <f t="shared" si="11"/>
        <v>人流量</v>
      </c>
      <c r="R27" s="1608" t="s">
        <v>25</v>
      </c>
      <c r="S27" s="1609">
        <f>F27</f>
        <v>100</v>
      </c>
      <c r="T27" s="1608" t="s">
        <v>25</v>
      </c>
      <c r="U27" s="1609">
        <f>H27</f>
        <v>100</v>
      </c>
      <c r="V27" s="1608" t="s">
        <v>25</v>
      </c>
      <c r="W27" s="1609">
        <f>J27</f>
        <v>100</v>
      </c>
      <c r="X27" s="1610"/>
      <c r="Y27" s="3595"/>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09"/>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595"/>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09"/>
      <c r="Q29" s="1996">
        <f t="shared" si="11"/>
        <v>111</v>
      </c>
      <c r="R29" s="1653" t="s">
        <v>25</v>
      </c>
      <c r="S29" s="1654">
        <f t="shared" si="12"/>
        <v>100</v>
      </c>
      <c r="T29" s="1653" t="s">
        <v>25</v>
      </c>
      <c r="U29" s="1654">
        <f t="shared" si="13"/>
        <v>100</v>
      </c>
      <c r="V29" s="1653" t="s">
        <v>25</v>
      </c>
      <c r="W29" s="1654">
        <f t="shared" si="14"/>
        <v>100</v>
      </c>
      <c r="X29" s="1999"/>
      <c r="Y29" s="3595"/>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09"/>
      <c r="Q30" s="1996">
        <f t="shared" si="11"/>
        <v>111</v>
      </c>
      <c r="R30" s="1653" t="s">
        <v>25</v>
      </c>
      <c r="S30" s="1654">
        <f t="shared" si="12"/>
        <v>100</v>
      </c>
      <c r="T30" s="1653" t="s">
        <v>25</v>
      </c>
      <c r="U30" s="1654">
        <f t="shared" si="13"/>
        <v>100</v>
      </c>
      <c r="V30" s="1653" t="s">
        <v>25</v>
      </c>
      <c r="W30" s="1654">
        <f t="shared" si="14"/>
        <v>100</v>
      </c>
      <c r="X30" s="1999"/>
      <c r="Y30" s="3595"/>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09"/>
      <c r="Q31" s="1996">
        <f t="shared" si="11"/>
        <v>111</v>
      </c>
      <c r="R31" s="1653" t="s">
        <v>25</v>
      </c>
      <c r="S31" s="1654">
        <f t="shared" si="12"/>
        <v>100</v>
      </c>
      <c r="T31" s="1653" t="s">
        <v>25</v>
      </c>
      <c r="U31" s="1654">
        <f t="shared" si="13"/>
        <v>100</v>
      </c>
      <c r="V31" s="1653" t="s">
        <v>25</v>
      </c>
      <c r="W31" s="1654">
        <f t="shared" si="14"/>
        <v>100</v>
      </c>
      <c r="X31" s="1999"/>
      <c r="Y31" s="3595"/>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04" t="s">
        <v>2037</v>
      </c>
      <c r="Q32" s="1996" t="str">
        <f t="shared" si="11"/>
        <v>商业类型</v>
      </c>
      <c r="R32" s="1653" t="s">
        <v>25</v>
      </c>
      <c r="S32" s="1654">
        <f t="shared" si="12"/>
        <v>100</v>
      </c>
      <c r="T32" s="1653" t="s">
        <v>25</v>
      </c>
      <c r="U32" s="1654">
        <f t="shared" si="13"/>
        <v>100</v>
      </c>
      <c r="V32" s="1653" t="s">
        <v>25</v>
      </c>
      <c r="W32" s="1654">
        <f t="shared" si="14"/>
        <v>100</v>
      </c>
      <c r="X32" s="1999"/>
      <c r="Y32" s="3597"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05"/>
      <c r="Q33" s="1693" t="str">
        <f t="shared" si="11"/>
        <v>项目建筑规模</v>
      </c>
      <c r="R33" s="1694" t="s">
        <v>25</v>
      </c>
      <c r="S33" s="1695" t="e">
        <f t="shared" si="12"/>
        <v>#N/A</v>
      </c>
      <c r="T33" s="1694" t="s">
        <v>25</v>
      </c>
      <c r="U33" s="1695" t="e">
        <f t="shared" si="13"/>
        <v>#N/A</v>
      </c>
      <c r="V33" s="1694" t="s">
        <v>25</v>
      </c>
      <c r="W33" s="1695" t="e">
        <f t="shared" si="14"/>
        <v>#N/A</v>
      </c>
      <c r="X33" s="1696"/>
      <c r="Y33" s="3597"/>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05"/>
      <c r="Q34" s="1996" t="str">
        <f t="shared" si="11"/>
        <v>建筑结构</v>
      </c>
      <c r="R34" s="1653" t="s">
        <v>25</v>
      </c>
      <c r="S34" s="1654">
        <f t="shared" si="12"/>
        <v>100</v>
      </c>
      <c r="T34" s="1653" t="s">
        <v>25</v>
      </c>
      <c r="U34" s="1654">
        <f t="shared" si="13"/>
        <v>100</v>
      </c>
      <c r="V34" s="1653" t="s">
        <v>25</v>
      </c>
      <c r="W34" s="1654">
        <f t="shared" si="14"/>
        <v>100</v>
      </c>
      <c r="X34" s="1999"/>
      <c r="Y34" s="3597"/>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05"/>
      <c r="Q35" s="1996" t="str">
        <f t="shared" si="11"/>
        <v>公共部分装修</v>
      </c>
      <c r="R35" s="1653" t="s">
        <v>25</v>
      </c>
      <c r="S35" s="1654">
        <f t="shared" si="12"/>
        <v>100</v>
      </c>
      <c r="T35" s="1653" t="s">
        <v>25</v>
      </c>
      <c r="U35" s="1654">
        <f t="shared" si="13"/>
        <v>100</v>
      </c>
      <c r="V35" s="1653" t="s">
        <v>25</v>
      </c>
      <c r="W35" s="1654">
        <f t="shared" si="14"/>
        <v>100</v>
      </c>
      <c r="X35" s="1999"/>
      <c r="Y35" s="3597"/>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05"/>
      <c r="Q36" s="1996" t="str">
        <f t="shared" si="11"/>
        <v>成新度</v>
      </c>
      <c r="R36" s="1653" t="s">
        <v>25</v>
      </c>
      <c r="S36" s="1654" t="e">
        <f t="shared" si="12"/>
        <v>#N/A</v>
      </c>
      <c r="T36" s="1653" t="s">
        <v>25</v>
      </c>
      <c r="U36" s="1654" t="e">
        <f t="shared" si="13"/>
        <v>#N/A</v>
      </c>
      <c r="V36" s="1653" t="s">
        <v>25</v>
      </c>
      <c r="W36" s="1654" t="e">
        <f t="shared" si="14"/>
        <v>#N/A</v>
      </c>
      <c r="X36" s="1999"/>
      <c r="Y36" s="3597"/>
      <c r="Z36" s="2003" t="str">
        <f t="shared" si="15"/>
        <v>成新度</v>
      </c>
      <c r="AA36" s="1994" t="e">
        <f t="shared" si="3"/>
        <v>#N/A</v>
      </c>
      <c r="AB36" s="1994" t="e">
        <f t="shared" si="4"/>
        <v>#N/A</v>
      </c>
      <c r="AC36" s="1994" t="e">
        <f t="shared" si="5"/>
        <v>#N/A</v>
      </c>
    </row>
    <row r="37" spans="1:29" s="1612"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05"/>
      <c r="Q37" s="1990" t="str">
        <f t="shared" si="11"/>
        <v>市政基础设施</v>
      </c>
      <c r="R37" s="1608" t="s">
        <v>25</v>
      </c>
      <c r="S37" s="1609">
        <f t="shared" si="12"/>
        <v>100</v>
      </c>
      <c r="T37" s="1608" t="s">
        <v>25</v>
      </c>
      <c r="U37" s="1609">
        <f t="shared" si="13"/>
        <v>100</v>
      </c>
      <c r="V37" s="1608" t="s">
        <v>25</v>
      </c>
      <c r="W37" s="1609">
        <f t="shared" si="14"/>
        <v>100</v>
      </c>
      <c r="X37" s="1610"/>
      <c r="Y37" s="3597"/>
      <c r="Z37" s="1621" t="str">
        <f t="shared" si="15"/>
        <v>市政基础设施</v>
      </c>
      <c r="AA37" s="1611">
        <f t="shared" si="3"/>
        <v>1</v>
      </c>
      <c r="AB37" s="1611">
        <f t="shared" si="4"/>
        <v>1</v>
      </c>
      <c r="AC37" s="1611">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05" t="s">
        <v>2037</v>
      </c>
      <c r="Q38" s="1996" t="str">
        <f t="shared" si="11"/>
        <v>业态</v>
      </c>
      <c r="R38" s="1653" t="s">
        <v>25</v>
      </c>
      <c r="S38" s="1654">
        <f t="shared" si="12"/>
        <v>100</v>
      </c>
      <c r="T38" s="1653" t="s">
        <v>25</v>
      </c>
      <c r="U38" s="1654">
        <f t="shared" si="13"/>
        <v>100</v>
      </c>
      <c r="V38" s="1653" t="s">
        <v>25</v>
      </c>
      <c r="W38" s="1654">
        <f t="shared" si="14"/>
        <v>100</v>
      </c>
      <c r="X38" s="1999"/>
      <c r="Y38" s="3597"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05"/>
      <c r="Q39" s="1996" t="str">
        <f t="shared" si="11"/>
        <v>层高</v>
      </c>
      <c r="R39" s="1653" t="s">
        <v>25</v>
      </c>
      <c r="S39" s="1654">
        <f t="shared" si="12"/>
        <v>100</v>
      </c>
      <c r="T39" s="1653" t="s">
        <v>25</v>
      </c>
      <c r="U39" s="1654">
        <f t="shared" si="13"/>
        <v>100</v>
      </c>
      <c r="V39" s="1653" t="s">
        <v>25</v>
      </c>
      <c r="W39" s="1654">
        <f t="shared" si="14"/>
        <v>100</v>
      </c>
      <c r="X39" s="1999"/>
      <c r="Y39" s="3597"/>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05"/>
      <c r="Q40" s="1996" t="str">
        <f t="shared" si="11"/>
        <v>单套建筑面积</v>
      </c>
      <c r="R40" s="1653" t="s">
        <v>25</v>
      </c>
      <c r="S40" s="1654">
        <f t="shared" si="12"/>
        <v>100</v>
      </c>
      <c r="T40" s="1653" t="s">
        <v>25</v>
      </c>
      <c r="U40" s="1654">
        <f t="shared" si="13"/>
        <v>100</v>
      </c>
      <c r="V40" s="1653" t="s">
        <v>25</v>
      </c>
      <c r="W40" s="1654">
        <f t="shared" si="14"/>
        <v>100</v>
      </c>
      <c r="X40" s="1999"/>
      <c r="Y40" s="3597"/>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05"/>
      <c r="Q41" s="1693" t="str">
        <f t="shared" si="11"/>
        <v>进深比</v>
      </c>
      <c r="R41" s="1694" t="s">
        <v>25</v>
      </c>
      <c r="S41" s="1695">
        <f t="shared" si="12"/>
        <v>100</v>
      </c>
      <c r="T41" s="1694" t="s">
        <v>25</v>
      </c>
      <c r="U41" s="1695">
        <f t="shared" si="13"/>
        <v>100</v>
      </c>
      <c r="V41" s="1694" t="s">
        <v>25</v>
      </c>
      <c r="W41" s="1695">
        <f t="shared" si="14"/>
        <v>100</v>
      </c>
      <c r="X41" s="1696"/>
      <c r="Y41" s="3597"/>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05"/>
      <c r="Q42" s="1996" t="str">
        <f t="shared" si="11"/>
        <v>内部装修</v>
      </c>
      <c r="R42" s="1653" t="s">
        <v>25</v>
      </c>
      <c r="S42" s="1654">
        <f t="shared" si="12"/>
        <v>100</v>
      </c>
      <c r="T42" s="1653" t="s">
        <v>25</v>
      </c>
      <c r="U42" s="1654">
        <f t="shared" si="13"/>
        <v>100</v>
      </c>
      <c r="V42" s="1653" t="s">
        <v>25</v>
      </c>
      <c r="W42" s="1654">
        <f t="shared" si="14"/>
        <v>100</v>
      </c>
      <c r="X42" s="1999"/>
      <c r="Y42" s="3597"/>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05"/>
      <c r="Q43" s="1996" t="str">
        <f t="shared" si="11"/>
        <v>内部装修维护情况</v>
      </c>
      <c r="R43" s="1653" t="s">
        <v>25</v>
      </c>
      <c r="S43" s="1654">
        <f t="shared" si="12"/>
        <v>100</v>
      </c>
      <c r="T43" s="1653" t="s">
        <v>25</v>
      </c>
      <c r="U43" s="1654">
        <f t="shared" si="13"/>
        <v>100</v>
      </c>
      <c r="V43" s="1653" t="s">
        <v>25</v>
      </c>
      <c r="W43" s="1654">
        <f t="shared" si="14"/>
        <v>100</v>
      </c>
      <c r="X43" s="1999"/>
      <c r="Y43" s="3597"/>
      <c r="Z43" s="2003" t="str">
        <f t="shared" si="15"/>
        <v>内部装修维护情况</v>
      </c>
      <c r="AA43" s="1994">
        <f t="shared" si="3"/>
        <v>1</v>
      </c>
      <c r="AB43" s="1994">
        <f t="shared" si="4"/>
        <v>1</v>
      </c>
      <c r="AC43" s="1994">
        <f t="shared" si="5"/>
        <v>1</v>
      </c>
    </row>
    <row r="44" spans="1:29" s="1612"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05"/>
      <c r="Q44" s="1990">
        <f t="shared" si="11"/>
        <v>111</v>
      </c>
      <c r="R44" s="1608" t="s">
        <v>25</v>
      </c>
      <c r="S44" s="1609">
        <f t="shared" si="12"/>
        <v>100</v>
      </c>
      <c r="T44" s="1608" t="s">
        <v>25</v>
      </c>
      <c r="U44" s="1609">
        <f t="shared" si="13"/>
        <v>100</v>
      </c>
      <c r="V44" s="1608" t="s">
        <v>25</v>
      </c>
      <c r="W44" s="1609">
        <f t="shared" si="14"/>
        <v>100</v>
      </c>
      <c r="X44" s="1610"/>
      <c r="Y44" s="3597"/>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05"/>
      <c r="Q45" s="1996">
        <f t="shared" si="11"/>
        <v>111</v>
      </c>
      <c r="R45" s="1653" t="s">
        <v>25</v>
      </c>
      <c r="S45" s="1654">
        <f t="shared" si="12"/>
        <v>100</v>
      </c>
      <c r="T45" s="1653" t="s">
        <v>25</v>
      </c>
      <c r="U45" s="1654">
        <f t="shared" si="13"/>
        <v>100</v>
      </c>
      <c r="V45" s="1653" t="s">
        <v>25</v>
      </c>
      <c r="W45" s="1654">
        <f t="shared" si="14"/>
        <v>100</v>
      </c>
      <c r="X45" s="1999"/>
      <c r="Y45" s="3597"/>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06"/>
      <c r="Q46" s="1996">
        <f t="shared" si="11"/>
        <v>111</v>
      </c>
      <c r="R46" s="1653" t="s">
        <v>25</v>
      </c>
      <c r="S46" s="1654">
        <f t="shared" si="12"/>
        <v>100</v>
      </c>
      <c r="T46" s="1653" t="s">
        <v>25</v>
      </c>
      <c r="U46" s="1654">
        <f t="shared" si="13"/>
        <v>100</v>
      </c>
      <c r="V46" s="1653" t="s">
        <v>25</v>
      </c>
      <c r="W46" s="1654">
        <f t="shared" si="14"/>
        <v>100</v>
      </c>
      <c r="X46" s="1999"/>
      <c r="Y46" s="3598"/>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566" t="str">
        <f>A47</f>
        <v>成交单价（元/平方米）</v>
      </c>
      <c r="Q47" s="3566"/>
      <c r="R47" s="3599">
        <f>E47</f>
        <v>0</v>
      </c>
      <c r="S47" s="3599"/>
      <c r="T47" s="3599">
        <f>G47</f>
        <v>0</v>
      </c>
      <c r="U47" s="3599"/>
      <c r="V47" s="3599">
        <f>I47</f>
        <v>0</v>
      </c>
      <c r="W47" s="3599"/>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566" t="str">
        <f>A48</f>
        <v>比较价值（元/平方米）</v>
      </c>
      <c r="Q48" s="3566"/>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2022-10</v>
      </c>
      <c r="D58" s="1750">
        <f>EDATE(C58,-1)</f>
        <v>44805</v>
      </c>
      <c r="E58" s="1750">
        <f t="shared" ref="E58:O58" si="16">EDATE(D58,-1)</f>
        <v>44774</v>
      </c>
      <c r="F58" s="1750">
        <f t="shared" si="16"/>
        <v>44743</v>
      </c>
      <c r="G58" s="1750">
        <f t="shared" si="16"/>
        <v>44713</v>
      </c>
      <c r="H58" s="1750">
        <f t="shared" si="16"/>
        <v>44682</v>
      </c>
      <c r="I58" s="1750">
        <f t="shared" si="16"/>
        <v>44652</v>
      </c>
      <c r="J58" s="1750">
        <f t="shared" si="16"/>
        <v>44621</v>
      </c>
      <c r="K58" s="1750">
        <f t="shared" si="16"/>
        <v>44593</v>
      </c>
      <c r="L58" s="1750">
        <f t="shared" si="16"/>
        <v>44562</v>
      </c>
      <c r="M58" s="1750">
        <f t="shared" si="16"/>
        <v>44531</v>
      </c>
      <c r="N58" s="1750">
        <f t="shared" si="16"/>
        <v>44501</v>
      </c>
      <c r="O58" s="1750">
        <f t="shared" si="16"/>
        <v>44470</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2"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2"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2"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2"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2"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5"/>
      <c r="H94" s="1505"/>
      <c r="I94" s="1505"/>
      <c r="J94" s="1505"/>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5"/>
      <c r="H96" s="1505"/>
      <c r="I96" s="1505"/>
      <c r="J96" s="1505"/>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5"/>
      <c r="F105" s="1505"/>
      <c r="G105" s="1505"/>
      <c r="H105" s="1505"/>
      <c r="I105" s="1505"/>
      <c r="J105" s="1505"/>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5"/>
      <c r="G107" s="1505"/>
      <c r="H107" s="1505"/>
      <c r="I107" s="1505"/>
      <c r="J107" s="1505"/>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5"/>
      <c r="I112" s="1505"/>
      <c r="J112" s="1505"/>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5"/>
      <c r="F114" s="1505"/>
      <c r="G114" s="1505"/>
      <c r="H114" s="1505"/>
      <c r="I114" s="1505"/>
      <c r="J114" s="1505"/>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5"/>
      <c r="I116" s="1505"/>
      <c r="J116" s="1505"/>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5"/>
      <c r="D120" s="1505"/>
      <c r="E120" s="1505"/>
      <c r="F120" s="1505"/>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5"/>
      <c r="G122" s="1505"/>
      <c r="H122" s="1505"/>
      <c r="I122" s="1505"/>
      <c r="J122" s="1505"/>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5"/>
      <c r="H128" s="1505"/>
      <c r="I128" s="1505"/>
      <c r="J128" s="1505"/>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4"/>
      <c r="I2" s="2934"/>
      <c r="J2" s="2934"/>
      <c r="K2" s="2934"/>
      <c r="L2" s="2935"/>
      <c r="M2" s="2936"/>
      <c r="N2" s="2936"/>
      <c r="O2" s="2936"/>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2005</v>
      </c>
      <c r="D3" s="292">
        <f>IF(C1="仅计算典型户型",'数据-取费表'!E5,'数据-取费表'!B5)</f>
        <v>770.88</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51" t="s">
        <v>2007</v>
      </c>
      <c r="D4" s="3652"/>
      <c r="E4" s="3653" t="s">
        <v>2008</v>
      </c>
      <c r="F4" s="3654"/>
      <c r="G4" s="3651" t="s">
        <v>2009</v>
      </c>
      <c r="H4" s="3652"/>
      <c r="I4" s="3651" t="s">
        <v>2010</v>
      </c>
      <c r="J4" s="3652"/>
      <c r="K4" s="496" t="s">
        <v>2011</v>
      </c>
      <c r="L4" s="2939"/>
      <c r="M4" s="2940"/>
      <c r="N4" s="2940"/>
      <c r="O4" s="2940"/>
      <c r="P4" s="3655" t="s">
        <v>2012</v>
      </c>
      <c r="Q4" s="3656"/>
      <c r="R4" s="3661" t="s">
        <v>2008</v>
      </c>
      <c r="S4" s="3662"/>
      <c r="T4" s="3661" t="s">
        <v>2009</v>
      </c>
      <c r="U4" s="3662"/>
      <c r="V4" s="3667" t="s">
        <v>2010</v>
      </c>
      <c r="W4" s="3667"/>
      <c r="X4" s="1262"/>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39"/>
      <c r="M5" s="2940"/>
      <c r="N5" s="2940"/>
      <c r="O5" s="2940"/>
      <c r="P5" s="3657"/>
      <c r="Q5" s="3658"/>
      <c r="R5" s="3663"/>
      <c r="S5" s="3664"/>
      <c r="T5" s="3663"/>
      <c r="U5" s="3664"/>
      <c r="V5" s="3667"/>
      <c r="W5" s="3667"/>
      <c r="X5" s="1262"/>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39"/>
      <c r="M6" s="2940"/>
      <c r="N6" s="2940"/>
      <c r="O6" s="2940"/>
      <c r="P6" s="3659"/>
      <c r="Q6" s="3660"/>
      <c r="R6" s="3663"/>
      <c r="S6" s="3664"/>
      <c r="T6" s="3665"/>
      <c r="U6" s="3666"/>
      <c r="V6" s="3667"/>
      <c r="W6" s="3667"/>
      <c r="X6" s="1262"/>
      <c r="Y6" s="3665"/>
      <c r="Z6" s="3666"/>
      <c r="AA6" s="3650"/>
      <c r="AB6" s="3650"/>
      <c r="AC6" s="3650"/>
    </row>
    <row r="7" spans="1:29" s="25" customFormat="1" ht="15.75" thickBot="1">
      <c r="A7" s="301" t="s">
        <v>2019</v>
      </c>
      <c r="B7" s="302"/>
      <c r="C7" s="303">
        <f>'数据-取费表'!B2</f>
        <v>44858</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46" t="s">
        <v>2020</v>
      </c>
      <c r="Q7" s="3670"/>
      <c r="R7" s="626" t="s">
        <v>25</v>
      </c>
      <c r="S7" s="627">
        <f t="shared" ref="S7:S15" si="0">F7</f>
        <v>0</v>
      </c>
      <c r="T7" s="626" t="s">
        <v>25</v>
      </c>
      <c r="U7" s="627">
        <f t="shared" ref="U7:U15" si="1">H7</f>
        <v>0</v>
      </c>
      <c r="V7" s="626" t="s">
        <v>25</v>
      </c>
      <c r="W7" s="627">
        <f t="shared" ref="W7:W15" si="2">J7</f>
        <v>0</v>
      </c>
      <c r="X7" s="628"/>
      <c r="Y7" s="3646" t="s">
        <v>2020</v>
      </c>
      <c r="Z7" s="3647"/>
      <c r="AA7" s="629" t="e">
        <f>D7/F7</f>
        <v>#DIV/0!</v>
      </c>
      <c r="AB7" s="629" t="e">
        <f>D7/H7</f>
        <v>#DIV/0!</v>
      </c>
      <c r="AC7" s="629"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46" t="s">
        <v>2023</v>
      </c>
      <c r="Q8" s="3647"/>
      <c r="R8" s="626" t="s">
        <v>25</v>
      </c>
      <c r="S8" s="627">
        <f t="shared" si="0"/>
        <v>0</v>
      </c>
      <c r="T8" s="626" t="s">
        <v>25</v>
      </c>
      <c r="U8" s="627">
        <f t="shared" si="1"/>
        <v>0</v>
      </c>
      <c r="V8" s="626" t="s">
        <v>25</v>
      </c>
      <c r="W8" s="627">
        <f t="shared" si="2"/>
        <v>0</v>
      </c>
      <c r="X8" s="628"/>
      <c r="Y8" s="3646" t="s">
        <v>2023</v>
      </c>
      <c r="Z8" s="3647"/>
      <c r="AA8" s="629" t="e">
        <f t="shared" ref="AA8:AA40" si="3">D8/F8</f>
        <v>#DIV/0!</v>
      </c>
      <c r="AB8" s="629" t="e">
        <f t="shared" ref="AB8:AB40" si="4">D8/H8</f>
        <v>#DIV/0!</v>
      </c>
      <c r="AC8" s="629"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43" t="s">
        <v>2026</v>
      </c>
      <c r="Q9" s="1254" t="str">
        <f t="shared" ref="Q9:Q15" si="6">B9</f>
        <v>用途</v>
      </c>
      <c r="R9" s="626" t="s">
        <v>25</v>
      </c>
      <c r="S9" s="627">
        <f t="shared" si="0"/>
        <v>100</v>
      </c>
      <c r="T9" s="626" t="s">
        <v>25</v>
      </c>
      <c r="U9" s="627">
        <f t="shared" si="1"/>
        <v>100</v>
      </c>
      <c r="V9" s="626" t="s">
        <v>25</v>
      </c>
      <c r="W9" s="627">
        <f t="shared" si="2"/>
        <v>100</v>
      </c>
      <c r="X9" s="628"/>
      <c r="Y9" s="3673" t="s">
        <v>2027</v>
      </c>
      <c r="Z9" s="19" t="str">
        <f t="shared" ref="Z9:Z15" si="7">Q9</f>
        <v>用途</v>
      </c>
      <c r="AA9" s="629">
        <f t="shared" si="3"/>
        <v>1</v>
      </c>
      <c r="AB9" s="629">
        <f t="shared" si="4"/>
        <v>1</v>
      </c>
      <c r="AC9" s="629">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43"/>
      <c r="Q10" s="1254" t="str">
        <f t="shared" si="6"/>
        <v>土地使用年限（年）</v>
      </c>
      <c r="R10" s="626" t="s">
        <v>25</v>
      </c>
      <c r="S10" s="627">
        <f t="shared" si="0"/>
        <v>100</v>
      </c>
      <c r="T10" s="626" t="s">
        <v>25</v>
      </c>
      <c r="U10" s="627">
        <f t="shared" si="1"/>
        <v>100</v>
      </c>
      <c r="V10" s="626" t="s">
        <v>25</v>
      </c>
      <c r="W10" s="627">
        <f t="shared" si="2"/>
        <v>100</v>
      </c>
      <c r="X10" s="628"/>
      <c r="Y10" s="3673"/>
      <c r="Z10" s="19" t="str">
        <f t="shared" si="7"/>
        <v>土地使用年限（年）</v>
      </c>
      <c r="AA10" s="629">
        <f t="shared" si="3"/>
        <v>1</v>
      </c>
      <c r="AB10" s="629">
        <f t="shared" si="4"/>
        <v>1</v>
      </c>
      <c r="AC10" s="629">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43"/>
      <c r="Q11" s="1254" t="str">
        <f t="shared" si="6"/>
        <v>容积率</v>
      </c>
      <c r="R11" s="626" t="s">
        <v>25</v>
      </c>
      <c r="S11" s="627" t="e">
        <f t="shared" si="0"/>
        <v>#N/A</v>
      </c>
      <c r="T11" s="626" t="s">
        <v>25</v>
      </c>
      <c r="U11" s="627" t="e">
        <f t="shared" si="1"/>
        <v>#N/A</v>
      </c>
      <c r="V11" s="626" t="s">
        <v>25</v>
      </c>
      <c r="W11" s="627" t="e">
        <f t="shared" si="2"/>
        <v>#N/A</v>
      </c>
      <c r="X11" s="628"/>
      <c r="Y11" s="3673"/>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1"/>
      <c r="M12" s="2942"/>
      <c r="N12" s="2942"/>
      <c r="O12" s="2943"/>
      <c r="P12" s="3643"/>
      <c r="Q12" s="1254">
        <f t="shared" si="6"/>
        <v>111</v>
      </c>
      <c r="R12" s="626" t="s">
        <v>25</v>
      </c>
      <c r="S12" s="627">
        <f t="shared" si="0"/>
        <v>100</v>
      </c>
      <c r="T12" s="626" t="s">
        <v>25</v>
      </c>
      <c r="U12" s="627">
        <f t="shared" si="1"/>
        <v>100</v>
      </c>
      <c r="V12" s="626" t="s">
        <v>25</v>
      </c>
      <c r="W12" s="627">
        <f t="shared" si="2"/>
        <v>100</v>
      </c>
      <c r="X12" s="628"/>
      <c r="Y12" s="3673"/>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49"/>
      <c r="M13" s="2940"/>
      <c r="N13" s="2940"/>
      <c r="O13" s="2948"/>
      <c r="P13" s="3643"/>
      <c r="Q13" s="1254">
        <f t="shared" si="6"/>
        <v>111</v>
      </c>
      <c r="R13" s="626" t="s">
        <v>25</v>
      </c>
      <c r="S13" s="627">
        <f t="shared" si="0"/>
        <v>100</v>
      </c>
      <c r="T13" s="626" t="s">
        <v>25</v>
      </c>
      <c r="U13" s="627">
        <f t="shared" si="1"/>
        <v>100</v>
      </c>
      <c r="V13" s="626" t="s">
        <v>25</v>
      </c>
      <c r="W13" s="627">
        <f t="shared" si="2"/>
        <v>100</v>
      </c>
      <c r="X13" s="628"/>
      <c r="Y13" s="3673"/>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49"/>
      <c r="M14" s="2940"/>
      <c r="N14" s="2940"/>
      <c r="O14" s="2948"/>
      <c r="P14" s="3643"/>
      <c r="Q14" s="1254">
        <f t="shared" si="6"/>
        <v>111</v>
      </c>
      <c r="R14" s="626" t="s">
        <v>25</v>
      </c>
      <c r="S14" s="627">
        <f t="shared" si="0"/>
        <v>100</v>
      </c>
      <c r="T14" s="626" t="s">
        <v>25</v>
      </c>
      <c r="U14" s="627">
        <f t="shared" si="1"/>
        <v>100</v>
      </c>
      <c r="V14" s="626" t="s">
        <v>25</v>
      </c>
      <c r="W14" s="627">
        <f t="shared" si="2"/>
        <v>100</v>
      </c>
      <c r="X14" s="628"/>
      <c r="Y14" s="3673"/>
      <c r="Z14" s="19">
        <f t="shared" si="7"/>
        <v>111</v>
      </c>
      <c r="AA14" s="629">
        <f t="shared" si="3"/>
        <v>1</v>
      </c>
      <c r="AB14" s="629">
        <f t="shared" si="4"/>
        <v>1</v>
      </c>
      <c r="AC14" s="629">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71" t="s">
        <v>2031</v>
      </c>
      <c r="Q15" s="1261" t="str">
        <f t="shared" si="6"/>
        <v>产业集聚程度</v>
      </c>
      <c r="R15" s="630" t="s">
        <v>25</v>
      </c>
      <c r="S15" s="631">
        <f t="shared" si="0"/>
        <v>100</v>
      </c>
      <c r="T15" s="630" t="s">
        <v>25</v>
      </c>
      <c r="U15" s="631">
        <f t="shared" si="1"/>
        <v>100</v>
      </c>
      <c r="V15" s="630" t="s">
        <v>25</v>
      </c>
      <c r="W15" s="631">
        <f t="shared" si="2"/>
        <v>100</v>
      </c>
      <c r="X15" s="1262"/>
      <c r="Y15" s="3671"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49"/>
      <c r="M16" s="2940"/>
      <c r="N16" s="2940"/>
      <c r="O16" s="2948"/>
      <c r="P16" s="3672"/>
      <c r="Q16" s="1261"/>
      <c r="R16" s="630"/>
      <c r="S16" s="631"/>
      <c r="T16" s="630"/>
      <c r="U16" s="631"/>
      <c r="V16" s="630"/>
      <c r="W16" s="631"/>
      <c r="X16" s="1262"/>
      <c r="Y16" s="3672"/>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72"/>
      <c r="Q17" s="1261" t="str">
        <f>B17</f>
        <v>交通便捷度</v>
      </c>
      <c r="R17" s="630" t="s">
        <v>25</v>
      </c>
      <c r="S17" s="631">
        <f>F17</f>
        <v>100</v>
      </c>
      <c r="T17" s="630" t="s">
        <v>25</v>
      </c>
      <c r="U17" s="631">
        <f>H17</f>
        <v>100</v>
      </c>
      <c r="V17" s="630" t="s">
        <v>25</v>
      </c>
      <c r="W17" s="631">
        <f>J17</f>
        <v>100</v>
      </c>
      <c r="X17" s="1262"/>
      <c r="Y17" s="3672"/>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49"/>
      <c r="M18" s="2940"/>
      <c r="N18" s="2940"/>
      <c r="O18" s="2948"/>
      <c r="P18" s="3672"/>
      <c r="Q18" s="1261"/>
      <c r="R18" s="630"/>
      <c r="S18" s="631"/>
      <c r="T18" s="630"/>
      <c r="U18" s="631"/>
      <c r="V18" s="630"/>
      <c r="W18" s="631"/>
      <c r="X18" s="1262"/>
      <c r="Y18" s="3672"/>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72"/>
      <c r="Q19" s="1261" t="str">
        <f>B19</f>
        <v>公共配套设施</v>
      </c>
      <c r="R19" s="630" t="s">
        <v>25</v>
      </c>
      <c r="S19" s="631">
        <f>F19</f>
        <v>100</v>
      </c>
      <c r="T19" s="630" t="s">
        <v>25</v>
      </c>
      <c r="U19" s="631">
        <f>H19</f>
        <v>100</v>
      </c>
      <c r="V19" s="630" t="s">
        <v>25</v>
      </c>
      <c r="W19" s="631">
        <f>J19</f>
        <v>100</v>
      </c>
      <c r="X19" s="1262"/>
      <c r="Y19" s="3672"/>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49"/>
      <c r="M20" s="2940"/>
      <c r="N20" s="2940"/>
      <c r="O20" s="2948"/>
      <c r="P20" s="3672"/>
      <c r="Q20" s="1261"/>
      <c r="R20" s="630"/>
      <c r="S20" s="631"/>
      <c r="T20" s="630"/>
      <c r="U20" s="631"/>
      <c r="V20" s="630"/>
      <c r="W20" s="631"/>
      <c r="X20" s="1262"/>
      <c r="Y20" s="3672"/>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72"/>
      <c r="Q21" s="1261" t="str">
        <f>B21</f>
        <v>基础设施水平</v>
      </c>
      <c r="R21" s="630" t="s">
        <v>25</v>
      </c>
      <c r="S21" s="631">
        <f>F21</f>
        <v>100</v>
      </c>
      <c r="T21" s="630" t="s">
        <v>25</v>
      </c>
      <c r="U21" s="631">
        <f>H21</f>
        <v>100</v>
      </c>
      <c r="V21" s="630" t="s">
        <v>25</v>
      </c>
      <c r="W21" s="631">
        <f>J21</f>
        <v>100</v>
      </c>
      <c r="X21" s="1262"/>
      <c r="Y21" s="3672"/>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49"/>
      <c r="M22" s="2940"/>
      <c r="N22" s="2940"/>
      <c r="O22" s="2948"/>
      <c r="P22" s="3672"/>
      <c r="Q22" s="1261"/>
      <c r="R22" s="630"/>
      <c r="S22" s="631"/>
      <c r="T22" s="630"/>
      <c r="U22" s="631"/>
      <c r="V22" s="630"/>
      <c r="W22" s="631"/>
      <c r="X22" s="1262"/>
      <c r="Y22" s="3672"/>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72"/>
      <c r="Q23" s="1261" t="str">
        <f>B23</f>
        <v>环境质量</v>
      </c>
      <c r="R23" s="630" t="s">
        <v>25</v>
      </c>
      <c r="S23" s="631">
        <f>F23</f>
        <v>100</v>
      </c>
      <c r="T23" s="630" t="s">
        <v>25</v>
      </c>
      <c r="U23" s="631">
        <f>H23</f>
        <v>100</v>
      </c>
      <c r="V23" s="630" t="s">
        <v>25</v>
      </c>
      <c r="W23" s="631">
        <f>J23</f>
        <v>100</v>
      </c>
      <c r="X23" s="1262"/>
      <c r="Y23" s="3672"/>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49"/>
      <c r="M24" s="2940"/>
      <c r="N24" s="2940"/>
      <c r="O24" s="2948"/>
      <c r="P24" s="3672"/>
      <c r="Q24" s="1261"/>
      <c r="R24" s="630"/>
      <c r="S24" s="631"/>
      <c r="T24" s="630"/>
      <c r="U24" s="631"/>
      <c r="V24" s="630"/>
      <c r="W24" s="631"/>
      <c r="X24" s="1262"/>
      <c r="Y24" s="3672"/>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72"/>
      <c r="Q25" s="1261">
        <f>B25</f>
        <v>111</v>
      </c>
      <c r="R25" s="630" t="s">
        <v>25</v>
      </c>
      <c r="S25" s="631">
        <f>F25</f>
        <v>100</v>
      </c>
      <c r="T25" s="630" t="s">
        <v>25</v>
      </c>
      <c r="U25" s="631">
        <f>H25</f>
        <v>100</v>
      </c>
      <c r="V25" s="630" t="s">
        <v>25</v>
      </c>
      <c r="W25" s="631">
        <f>J25</f>
        <v>100</v>
      </c>
      <c r="X25" s="1262"/>
      <c r="Y25" s="3672"/>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72"/>
      <c r="Q26" s="1261">
        <f t="shared" ref="Q26:Q40" si="11">B26</f>
        <v>111</v>
      </c>
      <c r="R26" s="630" t="s">
        <v>25</v>
      </c>
      <c r="S26" s="631">
        <f>F26</f>
        <v>100</v>
      </c>
      <c r="T26" s="630" t="s">
        <v>25</v>
      </c>
      <c r="U26" s="631">
        <f>H26</f>
        <v>100</v>
      </c>
      <c r="V26" s="630" t="s">
        <v>25</v>
      </c>
      <c r="W26" s="631">
        <f>J26</f>
        <v>100</v>
      </c>
      <c r="X26" s="1262"/>
      <c r="Y26" s="3672"/>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72"/>
      <c r="Q27" s="1254">
        <f t="shared" si="11"/>
        <v>111</v>
      </c>
      <c r="R27" s="626" t="s">
        <v>25</v>
      </c>
      <c r="S27" s="627">
        <f>F27</f>
        <v>100</v>
      </c>
      <c r="T27" s="626" t="s">
        <v>25</v>
      </c>
      <c r="U27" s="627">
        <f>H27</f>
        <v>100</v>
      </c>
      <c r="V27" s="626" t="s">
        <v>25</v>
      </c>
      <c r="W27" s="627">
        <f>J27</f>
        <v>100</v>
      </c>
      <c r="X27" s="628"/>
      <c r="Y27" s="3672"/>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72"/>
      <c r="Q28" s="1261">
        <f t="shared" si="11"/>
        <v>111</v>
      </c>
      <c r="R28" s="630" t="s">
        <v>25</v>
      </c>
      <c r="S28" s="631">
        <f t="shared" ref="S28:S40" si="12">F28</f>
        <v>100</v>
      </c>
      <c r="T28" s="630" t="s">
        <v>25</v>
      </c>
      <c r="U28" s="631">
        <f t="shared" ref="U28:U40" si="13">H28</f>
        <v>100</v>
      </c>
      <c r="V28" s="630" t="s">
        <v>25</v>
      </c>
      <c r="W28" s="631">
        <f t="shared" ref="W28:W40" si="14">J28</f>
        <v>100</v>
      </c>
      <c r="X28" s="1262"/>
      <c r="Y28" s="3672"/>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49"/>
      <c r="M29" s="2940"/>
      <c r="N29" s="2940"/>
      <c r="O29" s="2948"/>
      <c r="P29" s="3674" t="s">
        <v>2037</v>
      </c>
      <c r="Q29" s="1261" t="str">
        <f t="shared" si="11"/>
        <v>建筑类型</v>
      </c>
      <c r="R29" s="630" t="s">
        <v>25</v>
      </c>
      <c r="S29" s="631">
        <f t="shared" si="12"/>
        <v>100</v>
      </c>
      <c r="T29" s="630" t="s">
        <v>25</v>
      </c>
      <c r="U29" s="631">
        <f t="shared" si="13"/>
        <v>100</v>
      </c>
      <c r="V29" s="630" t="s">
        <v>25</v>
      </c>
      <c r="W29" s="631">
        <f t="shared" si="14"/>
        <v>100</v>
      </c>
      <c r="X29" s="1262"/>
      <c r="Y29" s="3675"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75"/>
      <c r="Q30" s="632" t="str">
        <f t="shared" si="11"/>
        <v>项目建筑规模</v>
      </c>
      <c r="R30" s="633" t="s">
        <v>25</v>
      </c>
      <c r="S30" s="634" t="e">
        <f t="shared" si="12"/>
        <v>#N/A</v>
      </c>
      <c r="T30" s="633" t="s">
        <v>25</v>
      </c>
      <c r="U30" s="634" t="e">
        <f t="shared" si="13"/>
        <v>#N/A</v>
      </c>
      <c r="V30" s="633" t="s">
        <v>25</v>
      </c>
      <c r="W30" s="634" t="e">
        <f t="shared" si="14"/>
        <v>#N/A</v>
      </c>
      <c r="X30" s="635"/>
      <c r="Y30" s="3675"/>
      <c r="Z30" s="636"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75"/>
      <c r="Q31" s="1261" t="str">
        <f t="shared" si="11"/>
        <v>建筑结构</v>
      </c>
      <c r="R31" s="630" t="s">
        <v>25</v>
      </c>
      <c r="S31" s="631">
        <f t="shared" si="12"/>
        <v>100</v>
      </c>
      <c r="T31" s="630" t="s">
        <v>25</v>
      </c>
      <c r="U31" s="631">
        <f t="shared" si="13"/>
        <v>100</v>
      </c>
      <c r="V31" s="630" t="s">
        <v>25</v>
      </c>
      <c r="W31" s="631">
        <f t="shared" si="14"/>
        <v>100</v>
      </c>
      <c r="X31" s="1262"/>
      <c r="Y31" s="3675"/>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75"/>
      <c r="Q32" s="1261" t="str">
        <f t="shared" si="11"/>
        <v>公共部分装修</v>
      </c>
      <c r="R32" s="630" t="s">
        <v>25</v>
      </c>
      <c r="S32" s="631">
        <f t="shared" si="12"/>
        <v>100</v>
      </c>
      <c r="T32" s="630" t="s">
        <v>25</v>
      </c>
      <c r="U32" s="631">
        <f t="shared" si="13"/>
        <v>100</v>
      </c>
      <c r="V32" s="630" t="s">
        <v>25</v>
      </c>
      <c r="W32" s="631">
        <f t="shared" si="14"/>
        <v>100</v>
      </c>
      <c r="X32" s="1262"/>
      <c r="Y32" s="3675"/>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75"/>
      <c r="Q33" s="1261" t="str">
        <f t="shared" si="11"/>
        <v>成新度</v>
      </c>
      <c r="R33" s="630" t="s">
        <v>25</v>
      </c>
      <c r="S33" s="631" t="e">
        <f t="shared" si="12"/>
        <v>#N/A</v>
      </c>
      <c r="T33" s="630" t="s">
        <v>25</v>
      </c>
      <c r="U33" s="631" t="e">
        <f t="shared" si="13"/>
        <v>#N/A</v>
      </c>
      <c r="V33" s="630" t="s">
        <v>25</v>
      </c>
      <c r="W33" s="631" t="e">
        <f t="shared" si="14"/>
        <v>#N/A</v>
      </c>
      <c r="X33" s="1262"/>
      <c r="Y33" s="3675"/>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75"/>
      <c r="Q34" s="1254" t="str">
        <f t="shared" si="11"/>
        <v>物业管理</v>
      </c>
      <c r="R34" s="626" t="s">
        <v>25</v>
      </c>
      <c r="S34" s="627">
        <f t="shared" si="12"/>
        <v>100</v>
      </c>
      <c r="T34" s="626" t="s">
        <v>25</v>
      </c>
      <c r="U34" s="627">
        <f t="shared" si="13"/>
        <v>100</v>
      </c>
      <c r="V34" s="626" t="s">
        <v>25</v>
      </c>
      <c r="W34" s="627">
        <f t="shared" si="14"/>
        <v>100</v>
      </c>
      <c r="X34" s="628"/>
      <c r="Y34" s="3675"/>
      <c r="Z34" s="19" t="str">
        <f t="shared" si="15"/>
        <v>物业管理</v>
      </c>
      <c r="AA34" s="629">
        <f t="shared" si="3"/>
        <v>1</v>
      </c>
      <c r="AB34" s="629">
        <f t="shared" si="4"/>
        <v>1</v>
      </c>
      <c r="AC34" s="629">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75" t="s">
        <v>2037</v>
      </c>
      <c r="Q35" s="1261" t="str">
        <f t="shared" si="11"/>
        <v>市政基础设施</v>
      </c>
      <c r="R35" s="630" t="s">
        <v>25</v>
      </c>
      <c r="S35" s="631">
        <f t="shared" si="12"/>
        <v>100</v>
      </c>
      <c r="T35" s="630" t="s">
        <v>25</v>
      </c>
      <c r="U35" s="631">
        <f t="shared" si="13"/>
        <v>100</v>
      </c>
      <c r="V35" s="630" t="s">
        <v>25</v>
      </c>
      <c r="W35" s="631">
        <f t="shared" si="14"/>
        <v>100</v>
      </c>
      <c r="X35" s="1262"/>
      <c r="Y35" s="3675"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75"/>
      <c r="Q36" s="1261" t="str">
        <f t="shared" si="11"/>
        <v>内部装修</v>
      </c>
      <c r="R36" s="630" t="s">
        <v>25</v>
      </c>
      <c r="S36" s="631">
        <f t="shared" si="12"/>
        <v>100</v>
      </c>
      <c r="T36" s="630" t="s">
        <v>25</v>
      </c>
      <c r="U36" s="631">
        <f t="shared" si="13"/>
        <v>100</v>
      </c>
      <c r="V36" s="630" t="s">
        <v>25</v>
      </c>
      <c r="W36" s="631">
        <f t="shared" si="14"/>
        <v>100</v>
      </c>
      <c r="X36" s="1262"/>
      <c r="Y36" s="3675"/>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75"/>
      <c r="Q37" s="1261" t="str">
        <f t="shared" si="11"/>
        <v>内部装修状况</v>
      </c>
      <c r="R37" s="630" t="s">
        <v>25</v>
      </c>
      <c r="S37" s="631">
        <f t="shared" si="12"/>
        <v>100</v>
      </c>
      <c r="T37" s="630" t="s">
        <v>25</v>
      </c>
      <c r="U37" s="631">
        <f t="shared" si="13"/>
        <v>100</v>
      </c>
      <c r="V37" s="630" t="s">
        <v>25</v>
      </c>
      <c r="W37" s="631">
        <f t="shared" si="14"/>
        <v>100</v>
      </c>
      <c r="X37" s="1262"/>
      <c r="Y37" s="3675"/>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75"/>
      <c r="Q38" s="632">
        <f t="shared" si="11"/>
        <v>111</v>
      </c>
      <c r="R38" s="633" t="s">
        <v>25</v>
      </c>
      <c r="S38" s="634">
        <f t="shared" si="12"/>
        <v>100</v>
      </c>
      <c r="T38" s="633" t="s">
        <v>25</v>
      </c>
      <c r="U38" s="634">
        <f t="shared" si="13"/>
        <v>100</v>
      </c>
      <c r="V38" s="633" t="s">
        <v>25</v>
      </c>
      <c r="W38" s="634">
        <f t="shared" si="14"/>
        <v>100</v>
      </c>
      <c r="X38" s="635"/>
      <c r="Y38" s="3675"/>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75"/>
      <c r="Q39" s="1261">
        <f t="shared" si="11"/>
        <v>111</v>
      </c>
      <c r="R39" s="630" t="s">
        <v>25</v>
      </c>
      <c r="S39" s="631">
        <f t="shared" si="12"/>
        <v>100</v>
      </c>
      <c r="T39" s="630" t="s">
        <v>25</v>
      </c>
      <c r="U39" s="631">
        <f t="shared" si="13"/>
        <v>100</v>
      </c>
      <c r="V39" s="630" t="s">
        <v>25</v>
      </c>
      <c r="W39" s="631">
        <f t="shared" si="14"/>
        <v>100</v>
      </c>
      <c r="X39" s="1262"/>
      <c r="Y39" s="3675"/>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76"/>
      <c r="Q40" s="1261">
        <f t="shared" si="11"/>
        <v>111</v>
      </c>
      <c r="R40" s="630" t="s">
        <v>25</v>
      </c>
      <c r="S40" s="631">
        <f t="shared" si="12"/>
        <v>100</v>
      </c>
      <c r="T40" s="630" t="s">
        <v>25</v>
      </c>
      <c r="U40" s="631">
        <f t="shared" si="13"/>
        <v>100</v>
      </c>
      <c r="V40" s="630" t="s">
        <v>25</v>
      </c>
      <c r="W40" s="631">
        <f t="shared" si="14"/>
        <v>100</v>
      </c>
      <c r="X40" s="1262"/>
      <c r="Y40" s="3676"/>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39"/>
      <c r="L41" s="2951"/>
      <c r="N41" s="2940"/>
      <c r="P41" s="3643" t="str">
        <f>A41</f>
        <v>成交单价（元/平方米）</v>
      </c>
      <c r="Q41" s="3643"/>
      <c r="R41" s="3677">
        <f>E41</f>
        <v>0</v>
      </c>
      <c r="S41" s="3677"/>
      <c r="T41" s="3677">
        <f>G41</f>
        <v>0</v>
      </c>
      <c r="U41" s="3677"/>
      <c r="V41" s="3677">
        <f>I41</f>
        <v>0</v>
      </c>
      <c r="W41" s="3677"/>
      <c r="X41" s="617"/>
      <c r="Y41" s="637"/>
      <c r="Z41" s="617"/>
      <c r="AA41" s="617"/>
      <c r="AB41" s="617"/>
      <c r="AC41" s="617"/>
    </row>
    <row r="42" spans="1:29" ht="15.75" thickBot="1">
      <c r="A42" s="374" t="s">
        <v>2132</v>
      </c>
      <c r="B42" s="375"/>
      <c r="C42" s="1087" t="e">
        <f>R43</f>
        <v>#DIV/0!</v>
      </c>
      <c r="D42" s="1721" t="s">
        <v>2503</v>
      </c>
      <c r="E42" s="1088" t="e">
        <f>R42</f>
        <v>#DIV/0!</v>
      </c>
      <c r="F42" s="1723"/>
      <c r="G42" s="1087" t="e">
        <f>T42</f>
        <v>#DIV/0!</v>
      </c>
      <c r="H42" s="1723"/>
      <c r="I42" s="1088" t="e">
        <f>V42</f>
        <v>#DIV/0!</v>
      </c>
      <c r="J42" s="1723"/>
      <c r="K42" s="2425">
        <f>F42+H42+J42</f>
        <v>0</v>
      </c>
      <c r="L42" s="2951"/>
      <c r="N42" s="2940"/>
      <c r="P42" s="3643" t="str">
        <f>A42</f>
        <v>比较价值（元/平方米）</v>
      </c>
      <c r="Q42" s="3643"/>
      <c r="R42" s="3677" t="e">
        <f>IF(E1="售价",ROUND(PRODUCT(R41,AA7:AA40),0),ROUND(PRODUCT(R41,AA7:AA40),1))</f>
        <v>#DIV/0!</v>
      </c>
      <c r="S42" s="3677"/>
      <c r="T42" s="3677" t="e">
        <f>IF(E1="售价",ROUND(PRODUCT(T41,AB7:AB40),0),ROUND(PRODUCT(T41,AB7:AB40),1))</f>
        <v>#DIV/0!</v>
      </c>
      <c r="U42" s="3677"/>
      <c r="V42" s="3677" t="e">
        <f>IF(E1="售价",ROUND(PRODUCT(V41,AC7:AC40),0),ROUND(PRODUCT(V41,AC7:AC40),1))</f>
        <v>#DIV/0!</v>
      </c>
      <c r="W42" s="3677"/>
      <c r="X42" s="617"/>
      <c r="Y42" s="617"/>
      <c r="Z42" s="617"/>
      <c r="AA42" s="617"/>
      <c r="AB42" s="617"/>
      <c r="AC42" s="617"/>
    </row>
    <row r="43" spans="1:29" ht="15.75" thickBot="1">
      <c r="A43" s="378" t="s">
        <v>2155</v>
      </c>
      <c r="B43" s="379"/>
      <c r="C43" s="1089" t="e">
        <f>R43</f>
        <v>#DIV/0!</v>
      </c>
      <c r="D43" s="1089"/>
      <c r="E43" s="1089"/>
      <c r="F43" s="1089"/>
      <c r="G43" s="1089"/>
      <c r="H43" s="1089"/>
      <c r="I43" s="1089"/>
      <c r="J43" s="1089"/>
      <c r="K43" s="640"/>
      <c r="L43" s="2951"/>
      <c r="P43" s="3678" t="str">
        <f>A43</f>
        <v>估价对象XX用房的比较价值（楼面单价，元/平方米）</v>
      </c>
      <c r="Q43" s="3679"/>
      <c r="R43" s="3680" t="e">
        <f>IF(E1="售价",ROUND(IF(D42="简单平均",AVERAGE(R42:V42),R42*F42+T42*H42+V42*J42),0),ROUND(IF(D42="简单平均",AVERAGE(R42:V42),R42*F42+T42*H42+V42*J42),1))</f>
        <v>#DIV/0!</v>
      </c>
      <c r="S43" s="3680"/>
      <c r="T43" s="3680"/>
      <c r="U43" s="3680"/>
      <c r="V43" s="3680"/>
      <c r="W43" s="3680"/>
      <c r="X43" s="617"/>
      <c r="Y43" s="617"/>
      <c r="Z43" s="617"/>
      <c r="AA43" s="617"/>
      <c r="AB43" s="617"/>
      <c r="AC43" s="617"/>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19" t="s">
        <v>2137</v>
      </c>
      <c r="B51" s="617"/>
      <c r="C51" s="620"/>
      <c r="D51" s="620"/>
      <c r="E51" s="620"/>
      <c r="F51" s="621"/>
      <c r="G51" s="621"/>
      <c r="H51" s="620"/>
      <c r="I51" s="620"/>
      <c r="J51" s="620"/>
      <c r="K51" s="622"/>
      <c r="L51" s="623"/>
      <c r="M51" s="620"/>
      <c r="N51" s="2957"/>
      <c r="O51" s="2957"/>
      <c r="P51" s="389"/>
      <c r="Q51" s="390"/>
    </row>
    <row r="52" spans="1:17" s="394" customFormat="1" ht="15">
      <c r="A52" s="391" t="s">
        <v>2019</v>
      </c>
      <c r="B52" s="392"/>
      <c r="C52" s="1115" t="str">
        <f>YEAR(C7)&amp;"-"&amp;MONTH(C7)</f>
        <v>2022-10</v>
      </c>
      <c r="D52" s="1116">
        <f>EDATE(C52,-1)</f>
        <v>44805</v>
      </c>
      <c r="E52" s="1117">
        <f t="shared" ref="E52:O52" si="16">EDATE(D52,-1)</f>
        <v>44774</v>
      </c>
      <c r="F52" s="1117">
        <f t="shared" si="16"/>
        <v>44743</v>
      </c>
      <c r="G52" s="1117">
        <f t="shared" si="16"/>
        <v>44713</v>
      </c>
      <c r="H52" s="1117">
        <f t="shared" si="16"/>
        <v>44682</v>
      </c>
      <c r="I52" s="1117">
        <f t="shared" si="16"/>
        <v>44652</v>
      </c>
      <c r="J52" s="1117">
        <f t="shared" si="16"/>
        <v>44621</v>
      </c>
      <c r="K52" s="1117">
        <f t="shared" si="16"/>
        <v>44593</v>
      </c>
      <c r="L52" s="1117">
        <f t="shared" si="16"/>
        <v>44562</v>
      </c>
      <c r="M52" s="1117">
        <f t="shared" si="16"/>
        <v>44531</v>
      </c>
      <c r="N52" s="1117">
        <f t="shared" si="16"/>
        <v>44501</v>
      </c>
      <c r="O52" s="1117">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2005</v>
      </c>
      <c r="D3" s="292">
        <f>IF(C1="仅计算典型户型",'数据-取费表'!E5,'数据-取费表'!B5)</f>
        <v>770.88</v>
      </c>
      <c r="E3" s="796" t="s">
        <v>2167</v>
      </c>
      <c r="F3" s="293">
        <f>'数据-取费表'!B42</f>
        <v>0</v>
      </c>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51" t="s">
        <v>2007</v>
      </c>
      <c r="D4" s="3652"/>
      <c r="E4" s="3653" t="s">
        <v>2008</v>
      </c>
      <c r="F4" s="3654"/>
      <c r="G4" s="3651" t="s">
        <v>2009</v>
      </c>
      <c r="H4" s="3652"/>
      <c r="I4" s="3651" t="s">
        <v>2010</v>
      </c>
      <c r="J4" s="3652"/>
      <c r="K4" s="496" t="s">
        <v>2011</v>
      </c>
      <c r="L4" s="2939"/>
      <c r="M4" s="2940"/>
      <c r="N4" s="2940"/>
      <c r="O4" s="2940"/>
      <c r="P4" s="3655" t="s">
        <v>2012</v>
      </c>
      <c r="Q4" s="3656"/>
      <c r="R4" s="3661" t="s">
        <v>2008</v>
      </c>
      <c r="S4" s="3662"/>
      <c r="T4" s="3661" t="s">
        <v>2009</v>
      </c>
      <c r="U4" s="3662"/>
      <c r="V4" s="3667" t="s">
        <v>2010</v>
      </c>
      <c r="W4" s="3667"/>
      <c r="X4" s="1262"/>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39"/>
      <c r="M5" s="2940"/>
      <c r="N5" s="2940"/>
      <c r="O5" s="2940"/>
      <c r="P5" s="3657"/>
      <c r="Q5" s="3658"/>
      <c r="R5" s="3663"/>
      <c r="S5" s="3664"/>
      <c r="T5" s="3663"/>
      <c r="U5" s="3664"/>
      <c r="V5" s="3667"/>
      <c r="W5" s="3667"/>
      <c r="X5" s="1262"/>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39"/>
      <c r="M6" s="2940"/>
      <c r="N6" s="2940"/>
      <c r="O6" s="2940"/>
      <c r="P6" s="3659"/>
      <c r="Q6" s="3660"/>
      <c r="R6" s="3663"/>
      <c r="S6" s="3664"/>
      <c r="T6" s="3665"/>
      <c r="U6" s="3666"/>
      <c r="V6" s="3667"/>
      <c r="W6" s="3667"/>
      <c r="X6" s="1262"/>
      <c r="Y6" s="3665"/>
      <c r="Z6" s="3666"/>
      <c r="AA6" s="3650"/>
      <c r="AB6" s="3650"/>
      <c r="AC6" s="3650"/>
    </row>
    <row r="7" spans="1:29" s="25" customFormat="1" ht="15.75" thickBot="1">
      <c r="A7" s="301" t="s">
        <v>2019</v>
      </c>
      <c r="B7" s="302"/>
      <c r="C7" s="303">
        <f>'数据-取费表'!B2</f>
        <v>44858</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46" t="s">
        <v>2020</v>
      </c>
      <c r="Q7" s="3670"/>
      <c r="R7" s="626" t="s">
        <v>25</v>
      </c>
      <c r="S7" s="627">
        <f t="shared" ref="S7:S14" si="0">F7</f>
        <v>0</v>
      </c>
      <c r="T7" s="626" t="s">
        <v>25</v>
      </c>
      <c r="U7" s="627">
        <f t="shared" ref="U7:U14" si="1">H7</f>
        <v>0</v>
      </c>
      <c r="V7" s="626" t="s">
        <v>25</v>
      </c>
      <c r="W7" s="627">
        <f t="shared" ref="W7:W14" si="2">J7</f>
        <v>0</v>
      </c>
      <c r="X7" s="628"/>
      <c r="Y7" s="3646" t="s">
        <v>2020</v>
      </c>
      <c r="Z7" s="3647"/>
      <c r="AA7" s="629" t="e">
        <f>D7/F7</f>
        <v>#DIV/0!</v>
      </c>
      <c r="AB7" s="629" t="e">
        <f>D7/H7</f>
        <v>#DIV/0!</v>
      </c>
      <c r="AC7" s="629"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46" t="s">
        <v>2023</v>
      </c>
      <c r="Q8" s="3647"/>
      <c r="R8" s="626" t="s">
        <v>25</v>
      </c>
      <c r="S8" s="627">
        <f t="shared" si="0"/>
        <v>0</v>
      </c>
      <c r="T8" s="626" t="s">
        <v>25</v>
      </c>
      <c r="U8" s="627">
        <f t="shared" si="1"/>
        <v>0</v>
      </c>
      <c r="V8" s="626" t="s">
        <v>25</v>
      </c>
      <c r="W8" s="627">
        <f t="shared" si="2"/>
        <v>0</v>
      </c>
      <c r="X8" s="628"/>
      <c r="Y8" s="3646" t="s">
        <v>2023</v>
      </c>
      <c r="Z8" s="3647"/>
      <c r="AA8" s="629" t="e">
        <f t="shared" ref="AA8:AA36" si="3">D8/F8</f>
        <v>#DIV/0!</v>
      </c>
      <c r="AB8" s="629" t="e">
        <f t="shared" ref="AB8:AB36" si="4">D8/H8</f>
        <v>#DIV/0!</v>
      </c>
      <c r="AC8" s="629"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43" t="s">
        <v>2026</v>
      </c>
      <c r="Q9" s="1254" t="str">
        <f t="shared" ref="Q9:Q14" si="6">B9</f>
        <v>用途</v>
      </c>
      <c r="R9" s="626" t="s">
        <v>25</v>
      </c>
      <c r="S9" s="627">
        <f t="shared" si="0"/>
        <v>100</v>
      </c>
      <c r="T9" s="626" t="s">
        <v>25</v>
      </c>
      <c r="U9" s="627">
        <f t="shared" si="1"/>
        <v>100</v>
      </c>
      <c r="V9" s="626" t="s">
        <v>25</v>
      </c>
      <c r="W9" s="627">
        <f t="shared" si="2"/>
        <v>100</v>
      </c>
      <c r="X9" s="628"/>
      <c r="Y9" s="3673" t="s">
        <v>2027</v>
      </c>
      <c r="Z9" s="19" t="str">
        <f t="shared" ref="Z9:Z14" si="7">Q9</f>
        <v>用途</v>
      </c>
      <c r="AA9" s="629">
        <f t="shared" si="3"/>
        <v>1</v>
      </c>
      <c r="AB9" s="629">
        <f t="shared" si="4"/>
        <v>1</v>
      </c>
      <c r="AC9" s="629">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43"/>
      <c r="Q10" s="1254" t="str">
        <f t="shared" si="6"/>
        <v>土地使用年限（年）</v>
      </c>
      <c r="R10" s="626" t="s">
        <v>25</v>
      </c>
      <c r="S10" s="627">
        <f t="shared" si="0"/>
        <v>100</v>
      </c>
      <c r="T10" s="626" t="s">
        <v>25</v>
      </c>
      <c r="U10" s="627">
        <f t="shared" si="1"/>
        <v>100</v>
      </c>
      <c r="V10" s="626" t="s">
        <v>25</v>
      </c>
      <c r="W10" s="627">
        <f t="shared" si="2"/>
        <v>100</v>
      </c>
      <c r="X10" s="628"/>
      <c r="Y10" s="3673"/>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43"/>
      <c r="Q11" s="1254">
        <f t="shared" si="6"/>
        <v>111</v>
      </c>
      <c r="R11" s="626" t="s">
        <v>25</v>
      </c>
      <c r="S11" s="627">
        <f t="shared" si="0"/>
        <v>100</v>
      </c>
      <c r="T11" s="626" t="s">
        <v>25</v>
      </c>
      <c r="U11" s="627">
        <f t="shared" si="1"/>
        <v>100</v>
      </c>
      <c r="V11" s="626" t="s">
        <v>25</v>
      </c>
      <c r="W11" s="627">
        <f t="shared" si="2"/>
        <v>100</v>
      </c>
      <c r="X11" s="628"/>
      <c r="Y11" s="3673"/>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43"/>
      <c r="Q12" s="1254">
        <f t="shared" si="6"/>
        <v>111</v>
      </c>
      <c r="R12" s="626" t="s">
        <v>25</v>
      </c>
      <c r="S12" s="627">
        <f t="shared" si="0"/>
        <v>100</v>
      </c>
      <c r="T12" s="626" t="s">
        <v>25</v>
      </c>
      <c r="U12" s="627">
        <f t="shared" si="1"/>
        <v>100</v>
      </c>
      <c r="V12" s="626" t="s">
        <v>25</v>
      </c>
      <c r="W12" s="627">
        <f t="shared" si="2"/>
        <v>100</v>
      </c>
      <c r="X12" s="628"/>
      <c r="Y12" s="3673"/>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43"/>
      <c r="Q13" s="1254">
        <f t="shared" si="6"/>
        <v>111</v>
      </c>
      <c r="R13" s="626" t="s">
        <v>25</v>
      </c>
      <c r="S13" s="627">
        <f t="shared" si="0"/>
        <v>100</v>
      </c>
      <c r="T13" s="626" t="s">
        <v>25</v>
      </c>
      <c r="U13" s="627">
        <f t="shared" si="1"/>
        <v>100</v>
      </c>
      <c r="V13" s="626" t="s">
        <v>25</v>
      </c>
      <c r="W13" s="627">
        <f t="shared" si="2"/>
        <v>100</v>
      </c>
      <c r="X13" s="628"/>
      <c r="Y13" s="3673"/>
      <c r="Z13" s="19">
        <f t="shared" si="7"/>
        <v>111</v>
      </c>
      <c r="AA13" s="629">
        <f t="shared" si="3"/>
        <v>1</v>
      </c>
      <c r="AB13" s="629">
        <f t="shared" si="4"/>
        <v>1</v>
      </c>
      <c r="AC13" s="629">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71" t="s">
        <v>2031</v>
      </c>
      <c r="Q14" s="1261" t="str">
        <f t="shared" si="6"/>
        <v>交通便捷度</v>
      </c>
      <c r="R14" s="630" t="s">
        <v>25</v>
      </c>
      <c r="S14" s="631">
        <f t="shared" si="0"/>
        <v>100</v>
      </c>
      <c r="T14" s="630" t="s">
        <v>25</v>
      </c>
      <c r="U14" s="631">
        <f t="shared" si="1"/>
        <v>100</v>
      </c>
      <c r="V14" s="630" t="s">
        <v>25</v>
      </c>
      <c r="W14" s="631">
        <f t="shared" si="2"/>
        <v>100</v>
      </c>
      <c r="X14" s="1262"/>
      <c r="Y14" s="3671"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49"/>
      <c r="M15" s="2940"/>
      <c r="N15" s="2940"/>
      <c r="O15" s="2948"/>
      <c r="P15" s="3672"/>
      <c r="Q15" s="1261"/>
      <c r="R15" s="630"/>
      <c r="S15" s="631"/>
      <c r="T15" s="630"/>
      <c r="U15" s="631"/>
      <c r="V15" s="630"/>
      <c r="W15" s="631"/>
      <c r="X15" s="1262"/>
      <c r="Y15" s="3672"/>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72"/>
      <c r="Q16" s="1261" t="str">
        <f>B16</f>
        <v>公共配套设施</v>
      </c>
      <c r="R16" s="630" t="s">
        <v>25</v>
      </c>
      <c r="S16" s="631">
        <f>F16</f>
        <v>100</v>
      </c>
      <c r="T16" s="630" t="s">
        <v>25</v>
      </c>
      <c r="U16" s="631">
        <f>H16</f>
        <v>100</v>
      </c>
      <c r="V16" s="630" t="s">
        <v>25</v>
      </c>
      <c r="W16" s="631">
        <f>J16</f>
        <v>100</v>
      </c>
      <c r="X16" s="1262"/>
      <c r="Y16" s="3672"/>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49"/>
      <c r="M17" s="2940"/>
      <c r="N17" s="2940"/>
      <c r="O17" s="2948"/>
      <c r="P17" s="3672"/>
      <c r="Q17" s="1261"/>
      <c r="R17" s="630"/>
      <c r="S17" s="631"/>
      <c r="T17" s="630"/>
      <c r="U17" s="631"/>
      <c r="V17" s="630"/>
      <c r="W17" s="631"/>
      <c r="X17" s="1262"/>
      <c r="Y17" s="3672"/>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72"/>
      <c r="Q18" s="1261" t="str">
        <f>B18</f>
        <v>基础设施水平</v>
      </c>
      <c r="R18" s="630" t="s">
        <v>25</v>
      </c>
      <c r="S18" s="631">
        <f>F18</f>
        <v>100</v>
      </c>
      <c r="T18" s="630" t="s">
        <v>25</v>
      </c>
      <c r="U18" s="631">
        <f>H18</f>
        <v>100</v>
      </c>
      <c r="V18" s="630" t="s">
        <v>25</v>
      </c>
      <c r="W18" s="631">
        <f>J18</f>
        <v>100</v>
      </c>
      <c r="X18" s="1262"/>
      <c r="Y18" s="3672"/>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49"/>
      <c r="M19" s="2940"/>
      <c r="N19" s="2940"/>
      <c r="O19" s="2948"/>
      <c r="P19" s="3672"/>
      <c r="Q19" s="1261"/>
      <c r="R19" s="630"/>
      <c r="S19" s="631"/>
      <c r="T19" s="630"/>
      <c r="U19" s="631"/>
      <c r="V19" s="630"/>
      <c r="W19" s="631"/>
      <c r="X19" s="1262"/>
      <c r="Y19" s="3672"/>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72"/>
      <c r="Q20" s="1261" t="str">
        <f>B20</f>
        <v>自然及人文环境</v>
      </c>
      <c r="R20" s="630" t="s">
        <v>25</v>
      </c>
      <c r="S20" s="631">
        <f>F20</f>
        <v>100</v>
      </c>
      <c r="T20" s="630" t="s">
        <v>25</v>
      </c>
      <c r="U20" s="631">
        <f>H20</f>
        <v>100</v>
      </c>
      <c r="V20" s="630" t="s">
        <v>25</v>
      </c>
      <c r="W20" s="631">
        <f>J20</f>
        <v>100</v>
      </c>
      <c r="X20" s="1262"/>
      <c r="Y20" s="3672"/>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49"/>
      <c r="M21" s="2940"/>
      <c r="N21" s="2940"/>
      <c r="O21" s="2948"/>
      <c r="P21" s="3672"/>
      <c r="Q21" s="1261"/>
      <c r="R21" s="630"/>
      <c r="S21" s="631"/>
      <c r="T21" s="630"/>
      <c r="U21" s="631"/>
      <c r="V21" s="630"/>
      <c r="W21" s="631"/>
      <c r="X21" s="1262"/>
      <c r="Y21" s="3672"/>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72"/>
      <c r="Q22" s="1261" t="str">
        <f>B22</f>
        <v>楼层</v>
      </c>
      <c r="R22" s="630" t="s">
        <v>25</v>
      </c>
      <c r="S22" s="631">
        <f>F22</f>
        <v>100</v>
      </c>
      <c r="T22" s="630" t="s">
        <v>25</v>
      </c>
      <c r="U22" s="631">
        <f>H22</f>
        <v>100</v>
      </c>
      <c r="V22" s="630" t="s">
        <v>25</v>
      </c>
      <c r="W22" s="631">
        <f>J22</f>
        <v>100</v>
      </c>
      <c r="X22" s="1262"/>
      <c r="Y22" s="3672"/>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49"/>
      <c r="M23" s="2940"/>
      <c r="N23" s="2940"/>
      <c r="O23" s="2948"/>
      <c r="P23" s="3672"/>
      <c r="Q23" s="1261">
        <f>B23</f>
        <v>111</v>
      </c>
      <c r="R23" s="630" t="s">
        <v>25</v>
      </c>
      <c r="S23" s="631">
        <f>F23</f>
        <v>100</v>
      </c>
      <c r="T23" s="630" t="s">
        <v>25</v>
      </c>
      <c r="U23" s="631">
        <f>H23</f>
        <v>100</v>
      </c>
      <c r="V23" s="630" t="s">
        <v>25</v>
      </c>
      <c r="W23" s="631">
        <f>J23</f>
        <v>100</v>
      </c>
      <c r="X23" s="1262"/>
      <c r="Y23" s="3672"/>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49"/>
      <c r="M24" s="2940"/>
      <c r="N24" s="2940"/>
      <c r="O24" s="2948"/>
      <c r="P24" s="3672"/>
      <c r="Q24" s="1261">
        <f t="shared" ref="Q24:Q36" si="11">B24</f>
        <v>111</v>
      </c>
      <c r="R24" s="630" t="s">
        <v>25</v>
      </c>
      <c r="S24" s="631">
        <f>F24</f>
        <v>100</v>
      </c>
      <c r="T24" s="630" t="s">
        <v>25</v>
      </c>
      <c r="U24" s="631">
        <f>H24</f>
        <v>100</v>
      </c>
      <c r="V24" s="630" t="s">
        <v>25</v>
      </c>
      <c r="W24" s="631">
        <f>J24</f>
        <v>100</v>
      </c>
      <c r="X24" s="1262"/>
      <c r="Y24" s="3672"/>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72"/>
      <c r="Q25" s="1254">
        <f t="shared" si="11"/>
        <v>111</v>
      </c>
      <c r="R25" s="626" t="s">
        <v>25</v>
      </c>
      <c r="S25" s="627">
        <f>F25</f>
        <v>100</v>
      </c>
      <c r="T25" s="626" t="s">
        <v>25</v>
      </c>
      <c r="U25" s="627">
        <f>H25</f>
        <v>100</v>
      </c>
      <c r="V25" s="626" t="s">
        <v>25</v>
      </c>
      <c r="W25" s="627">
        <f>J25</f>
        <v>100</v>
      </c>
      <c r="X25" s="628"/>
      <c r="Y25" s="3672"/>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74" t="s">
        <v>2037</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75"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75"/>
      <c r="Q27" s="632" t="str">
        <f t="shared" si="11"/>
        <v>项目停车位配比</v>
      </c>
      <c r="R27" s="633" t="s">
        <v>25</v>
      </c>
      <c r="S27" s="634">
        <f t="shared" si="12"/>
        <v>100</v>
      </c>
      <c r="T27" s="633" t="s">
        <v>25</v>
      </c>
      <c r="U27" s="634">
        <f t="shared" si="13"/>
        <v>100</v>
      </c>
      <c r="V27" s="633" t="s">
        <v>25</v>
      </c>
      <c r="W27" s="634">
        <f t="shared" si="14"/>
        <v>100</v>
      </c>
      <c r="X27" s="635"/>
      <c r="Y27" s="3675"/>
      <c r="Z27" s="636"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75"/>
      <c r="Q28" s="1261" t="str">
        <f t="shared" si="11"/>
        <v>公共部分装修</v>
      </c>
      <c r="R28" s="630" t="s">
        <v>25</v>
      </c>
      <c r="S28" s="631">
        <f t="shared" si="12"/>
        <v>100</v>
      </c>
      <c r="T28" s="630" t="s">
        <v>25</v>
      </c>
      <c r="U28" s="631">
        <f t="shared" si="13"/>
        <v>100</v>
      </c>
      <c r="V28" s="630" t="s">
        <v>25</v>
      </c>
      <c r="W28" s="631">
        <f t="shared" si="14"/>
        <v>100</v>
      </c>
      <c r="X28" s="1262"/>
      <c r="Y28" s="3675"/>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75"/>
      <c r="Q29" s="1261" t="str">
        <f t="shared" si="11"/>
        <v>成新率</v>
      </c>
      <c r="R29" s="630" t="s">
        <v>25</v>
      </c>
      <c r="S29" s="631" t="e">
        <f t="shared" si="12"/>
        <v>#N/A</v>
      </c>
      <c r="T29" s="630" t="s">
        <v>25</v>
      </c>
      <c r="U29" s="631" t="e">
        <f t="shared" si="13"/>
        <v>#N/A</v>
      </c>
      <c r="V29" s="630" t="s">
        <v>25</v>
      </c>
      <c r="W29" s="631" t="e">
        <f t="shared" si="14"/>
        <v>#N/A</v>
      </c>
      <c r="X29" s="1262"/>
      <c r="Y29" s="3675"/>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75"/>
      <c r="Q30" s="1261" t="str">
        <f t="shared" si="11"/>
        <v>物业等级</v>
      </c>
      <c r="R30" s="630" t="s">
        <v>25</v>
      </c>
      <c r="S30" s="631">
        <f t="shared" si="12"/>
        <v>100</v>
      </c>
      <c r="T30" s="630" t="s">
        <v>25</v>
      </c>
      <c r="U30" s="631">
        <f t="shared" si="13"/>
        <v>100</v>
      </c>
      <c r="V30" s="630" t="s">
        <v>25</v>
      </c>
      <c r="W30" s="631">
        <f t="shared" si="14"/>
        <v>100</v>
      </c>
      <c r="X30" s="1262"/>
      <c r="Y30" s="3675"/>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75"/>
      <c r="Q31" s="1254" t="str">
        <f t="shared" si="11"/>
        <v>停车位面积</v>
      </c>
      <c r="R31" s="626" t="s">
        <v>25</v>
      </c>
      <c r="S31" s="627" t="e">
        <f t="shared" si="12"/>
        <v>#N/A</v>
      </c>
      <c r="T31" s="626" t="s">
        <v>25</v>
      </c>
      <c r="U31" s="627" t="e">
        <f t="shared" si="13"/>
        <v>#N/A</v>
      </c>
      <c r="V31" s="626" t="s">
        <v>25</v>
      </c>
      <c r="W31" s="627" t="e">
        <f t="shared" si="14"/>
        <v>#N/A</v>
      </c>
      <c r="X31" s="628"/>
      <c r="Y31" s="3675"/>
      <c r="Z31" s="19" t="str">
        <f t="shared" si="15"/>
        <v>停车位面积</v>
      </c>
      <c r="AA31" s="629" t="e">
        <f t="shared" si="3"/>
        <v>#N/A</v>
      </c>
      <c r="AB31" s="629" t="e">
        <f t="shared" si="4"/>
        <v>#N/A</v>
      </c>
      <c r="AC31" s="629"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75" t="s">
        <v>2037</v>
      </c>
      <c r="Q32" s="1261" t="str">
        <f t="shared" si="11"/>
        <v>车位类型</v>
      </c>
      <c r="R32" s="630" t="s">
        <v>25</v>
      </c>
      <c r="S32" s="631">
        <f t="shared" si="12"/>
        <v>100</v>
      </c>
      <c r="T32" s="630" t="s">
        <v>25</v>
      </c>
      <c r="U32" s="631">
        <f t="shared" si="13"/>
        <v>100</v>
      </c>
      <c r="V32" s="630" t="s">
        <v>25</v>
      </c>
      <c r="W32" s="631">
        <f t="shared" si="14"/>
        <v>100</v>
      </c>
      <c r="X32" s="1262"/>
      <c r="Y32" s="3675"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75"/>
      <c r="Q33" s="1261" t="str">
        <f t="shared" si="11"/>
        <v>是否直接入户</v>
      </c>
      <c r="R33" s="630" t="s">
        <v>25</v>
      </c>
      <c r="S33" s="631">
        <f t="shared" si="12"/>
        <v>100</v>
      </c>
      <c r="T33" s="630" t="s">
        <v>25</v>
      </c>
      <c r="U33" s="631">
        <f t="shared" si="13"/>
        <v>100</v>
      </c>
      <c r="V33" s="630" t="s">
        <v>25</v>
      </c>
      <c r="W33" s="631">
        <f t="shared" si="14"/>
        <v>100</v>
      </c>
      <c r="X33" s="1262"/>
      <c r="Y33" s="3675"/>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75"/>
      <c r="Q34" s="1261">
        <f t="shared" si="11"/>
        <v>111</v>
      </c>
      <c r="R34" s="630" t="s">
        <v>25</v>
      </c>
      <c r="S34" s="631">
        <f t="shared" si="12"/>
        <v>100</v>
      </c>
      <c r="T34" s="630" t="s">
        <v>25</v>
      </c>
      <c r="U34" s="631">
        <f t="shared" si="13"/>
        <v>100</v>
      </c>
      <c r="V34" s="630" t="s">
        <v>25</v>
      </c>
      <c r="W34" s="631">
        <f t="shared" si="14"/>
        <v>100</v>
      </c>
      <c r="X34" s="1262"/>
      <c r="Y34" s="3675"/>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75"/>
      <c r="Q35" s="632">
        <f t="shared" si="11"/>
        <v>111</v>
      </c>
      <c r="R35" s="633" t="s">
        <v>25</v>
      </c>
      <c r="S35" s="634">
        <f t="shared" si="12"/>
        <v>100</v>
      </c>
      <c r="T35" s="633" t="s">
        <v>25</v>
      </c>
      <c r="U35" s="634">
        <f t="shared" si="13"/>
        <v>100</v>
      </c>
      <c r="V35" s="633" t="s">
        <v>25</v>
      </c>
      <c r="W35" s="634">
        <f t="shared" si="14"/>
        <v>100</v>
      </c>
      <c r="X35" s="635"/>
      <c r="Y35" s="3675"/>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75"/>
      <c r="Q36" s="1261">
        <f t="shared" si="11"/>
        <v>111</v>
      </c>
      <c r="R36" s="630" t="s">
        <v>25</v>
      </c>
      <c r="S36" s="631">
        <f t="shared" si="12"/>
        <v>100</v>
      </c>
      <c r="T36" s="630" t="s">
        <v>25</v>
      </c>
      <c r="U36" s="631">
        <f t="shared" si="13"/>
        <v>100</v>
      </c>
      <c r="V36" s="630" t="s">
        <v>25</v>
      </c>
      <c r="W36" s="631">
        <f t="shared" si="14"/>
        <v>100</v>
      </c>
      <c r="X36" s="1262"/>
      <c r="Y36" s="3675"/>
      <c r="Z36" s="1263">
        <f t="shared" si="15"/>
        <v>111</v>
      </c>
      <c r="AA36" s="1264">
        <f t="shared" si="3"/>
        <v>1</v>
      </c>
      <c r="AB36" s="1264">
        <f t="shared" si="4"/>
        <v>1</v>
      </c>
      <c r="AC36" s="1264">
        <f t="shared" si="5"/>
        <v>1</v>
      </c>
    </row>
    <row r="37" spans="1:29" ht="15">
      <c r="A37" s="367" t="s">
        <v>2179</v>
      </c>
      <c r="B37" s="797" t="s">
        <v>2180</v>
      </c>
      <c r="C37" s="1081" t="s">
        <v>1</v>
      </c>
      <c r="D37" s="1082"/>
      <c r="E37" s="1083"/>
      <c r="F37" s="1084"/>
      <c r="G37" s="1085"/>
      <c r="H37" s="1086"/>
      <c r="I37" s="1083"/>
      <c r="J37" s="1086"/>
      <c r="K37" s="503"/>
      <c r="L37" s="2951"/>
      <c r="N37" s="2940"/>
      <c r="P37" s="3643" t="str">
        <f>A37</f>
        <v>成交单价</v>
      </c>
      <c r="Q37" s="3643"/>
      <c r="R37" s="3677">
        <f>E37</f>
        <v>0</v>
      </c>
      <c r="S37" s="3677"/>
      <c r="T37" s="3677">
        <f>G37</f>
        <v>0</v>
      </c>
      <c r="U37" s="3677"/>
      <c r="V37" s="3677">
        <f>I37</f>
        <v>0</v>
      </c>
      <c r="W37" s="3677"/>
      <c r="X37" s="617"/>
      <c r="Y37" s="637"/>
      <c r="Z37" s="617"/>
      <c r="AA37" s="617"/>
      <c r="AB37" s="617"/>
      <c r="AC37" s="617"/>
    </row>
    <row r="38" spans="1:29" ht="15.75" thickBot="1">
      <c r="A38" s="374" t="s">
        <v>2181</v>
      </c>
      <c r="B38" s="375" t="str">
        <f>B37</f>
        <v>元/平方米</v>
      </c>
      <c r="C38" s="1087" t="e">
        <f>R39</f>
        <v>#DIV/0!</v>
      </c>
      <c r="D38" s="1721" t="s">
        <v>2503</v>
      </c>
      <c r="E38" s="1088" t="e">
        <f>R38</f>
        <v>#DIV/0!</v>
      </c>
      <c r="F38" s="1723"/>
      <c r="G38" s="1087" t="e">
        <f>T38</f>
        <v>#DIV/0!</v>
      </c>
      <c r="H38" s="1723"/>
      <c r="I38" s="1088" t="e">
        <f>V38</f>
        <v>#DIV/0!</v>
      </c>
      <c r="J38" s="1723"/>
      <c r="K38" s="2425">
        <f>F38+H38+J38</f>
        <v>0</v>
      </c>
      <c r="L38" s="2951"/>
      <c r="P38" s="3643" t="str">
        <f>A38</f>
        <v>比较价值</v>
      </c>
      <c r="Q38" s="3643"/>
      <c r="R38" s="3677" t="e">
        <f>IF(E1="售价",ROUND(PRODUCT(R37,AA7:AA36),0),ROUND(PRODUCT(R37,AA7:AA36),1))</f>
        <v>#DIV/0!</v>
      </c>
      <c r="S38" s="3677"/>
      <c r="T38" s="3677" t="e">
        <f>IF(E1="售价",ROUND(PRODUCT(T37,AB7:AB36),0),ROUND(PRODUCT(T37,AB7:AB36),1))</f>
        <v>#DIV/0!</v>
      </c>
      <c r="U38" s="3677"/>
      <c r="V38" s="3677" t="e">
        <f>IF(E1="售价",ROUND(PRODUCT(V37,AC7:AC36),0),ROUND(PRODUCT(V37,AC7:AC36),1))</f>
        <v>#DIV/0!</v>
      </c>
      <c r="W38" s="3677"/>
      <c r="X38" s="617"/>
      <c r="Y38" s="617"/>
      <c r="Z38" s="617"/>
      <c r="AA38" s="617"/>
      <c r="AB38" s="617"/>
      <c r="AC38" s="617"/>
    </row>
    <row r="39" spans="1:29" ht="15.75" thickBot="1">
      <c r="A39" s="378" t="s">
        <v>2182</v>
      </c>
      <c r="B39" s="379"/>
      <c r="C39" s="1089" t="e">
        <f>R39</f>
        <v>#DIV/0!</v>
      </c>
      <c r="D39" s="1089"/>
      <c r="E39" s="1089"/>
      <c r="F39" s="1089"/>
      <c r="G39" s="1089"/>
      <c r="H39" s="1089"/>
      <c r="I39" s="1089"/>
      <c r="J39" s="1089"/>
      <c r="K39" s="504"/>
      <c r="L39" s="2951"/>
      <c r="P39" s="3678" t="str">
        <f>A39</f>
        <v>估价对象XX用房的比较价值（楼面单价，元/平方米）</v>
      </c>
      <c r="Q39" s="3679"/>
      <c r="R39" s="3680" t="e">
        <f>IF(E1="售价",ROUND(IF(D38="简单平均",AVERAGE(R38:W38),R38*F38+T38*H38+V38*J38),0),ROUND(IF(D38="简单平均",AVERAGE(R38:V38),R38*F38+T38*H38+V38*J38),1))</f>
        <v>#DIV/0!</v>
      </c>
      <c r="S39" s="3680"/>
      <c r="T39" s="3680"/>
      <c r="U39" s="3680"/>
      <c r="V39" s="3680"/>
      <c r="W39" s="3680"/>
      <c r="X39" s="617"/>
      <c r="Y39" s="617"/>
      <c r="Z39" s="617"/>
      <c r="AA39" s="617"/>
      <c r="AB39" s="617"/>
      <c r="AC39" s="617"/>
    </row>
    <row r="40" spans="1:29">
      <c r="G40" s="295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8"/>
      <c r="Q44" s="618"/>
      <c r="R44" s="618"/>
      <c r="S44" s="618"/>
      <c r="T44" s="618"/>
      <c r="U44" s="618"/>
      <c r="V44" s="618"/>
      <c r="W44" s="618"/>
      <c r="X44" s="618"/>
      <c r="Y44" s="618"/>
      <c r="Z44" s="618"/>
      <c r="AA44" s="618"/>
      <c r="AB44" s="618"/>
      <c r="AC44" s="618"/>
    </row>
    <row r="45" spans="1:29" s="388" customFormat="1">
      <c r="B45" s="2953"/>
      <c r="C45" s="2956"/>
      <c r="K45" s="2955"/>
      <c r="L45" s="2952"/>
      <c r="P45" s="618"/>
      <c r="Q45" s="618"/>
      <c r="R45" s="618"/>
      <c r="S45" s="618"/>
      <c r="T45" s="618"/>
      <c r="U45" s="618"/>
      <c r="V45" s="618"/>
      <c r="W45" s="618"/>
      <c r="X45" s="618"/>
      <c r="Y45" s="618"/>
      <c r="Z45" s="618"/>
      <c r="AA45" s="618"/>
      <c r="AB45" s="618"/>
      <c r="AC45" s="618"/>
    </row>
    <row r="46" spans="1:29">
      <c r="B46" s="2953"/>
      <c r="C46" s="2956"/>
      <c r="P46" s="617"/>
      <c r="Q46" s="617"/>
      <c r="R46" s="617"/>
      <c r="S46" s="617"/>
      <c r="T46" s="617"/>
      <c r="U46" s="617"/>
      <c r="V46" s="617"/>
      <c r="W46" s="617"/>
      <c r="X46" s="617"/>
      <c r="Y46" s="617"/>
      <c r="Z46" s="617"/>
      <c r="AA46" s="617"/>
      <c r="AB46" s="617"/>
      <c r="AC46" s="617"/>
    </row>
    <row r="47" spans="1:29" ht="21.75" thickBot="1">
      <c r="A47" s="1091" t="s">
        <v>2186</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2187</v>
      </c>
      <c r="B48" s="392"/>
      <c r="C48" s="1115" t="str">
        <f>YEAR(C7)&amp;"-"&amp;MONTH(C7)</f>
        <v>2022-10</v>
      </c>
      <c r="D48" s="1116">
        <f>EDATE(C48,-1)</f>
        <v>44805</v>
      </c>
      <c r="E48" s="1116">
        <f t="shared" ref="E48:O48" si="16">EDATE(D48,-1)</f>
        <v>44774</v>
      </c>
      <c r="F48" s="1116">
        <f t="shared" si="16"/>
        <v>44743</v>
      </c>
      <c r="G48" s="1116">
        <f t="shared" si="16"/>
        <v>44713</v>
      </c>
      <c r="H48" s="1116">
        <f t="shared" si="16"/>
        <v>44682</v>
      </c>
      <c r="I48" s="1116">
        <f t="shared" si="16"/>
        <v>44652</v>
      </c>
      <c r="J48" s="1116">
        <f t="shared" si="16"/>
        <v>44621</v>
      </c>
      <c r="K48" s="1116">
        <f t="shared" si="16"/>
        <v>44593</v>
      </c>
      <c r="L48" s="1116">
        <f t="shared" si="16"/>
        <v>44562</v>
      </c>
      <c r="M48" s="1116">
        <f t="shared" si="16"/>
        <v>44531</v>
      </c>
      <c r="N48" s="1116">
        <f t="shared" si="16"/>
        <v>44501</v>
      </c>
      <c r="O48" s="1116">
        <f t="shared" si="16"/>
        <v>44470</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2504</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2005</v>
      </c>
      <c r="D3" s="292">
        <f>IF(C1="仅计算典型户型",'数据-取费表'!E5,'数据-取费表'!B5)</f>
        <v>770.88</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51" t="s">
        <v>2007</v>
      </c>
      <c r="D4" s="3652"/>
      <c r="E4" s="3653" t="s">
        <v>2008</v>
      </c>
      <c r="F4" s="3654"/>
      <c r="G4" s="3651" t="s">
        <v>2009</v>
      </c>
      <c r="H4" s="3652"/>
      <c r="I4" s="3651" t="s">
        <v>2010</v>
      </c>
      <c r="J4" s="3652"/>
      <c r="K4" s="496" t="s">
        <v>2011</v>
      </c>
      <c r="L4" s="2939"/>
      <c r="M4" s="2940"/>
      <c r="N4" s="2940"/>
      <c r="O4" s="2940"/>
      <c r="P4" s="3655" t="s">
        <v>2012</v>
      </c>
      <c r="Q4" s="3656"/>
      <c r="R4" s="3661" t="s">
        <v>2008</v>
      </c>
      <c r="S4" s="3662"/>
      <c r="T4" s="3661" t="s">
        <v>2009</v>
      </c>
      <c r="U4" s="3662"/>
      <c r="V4" s="3667" t="s">
        <v>2010</v>
      </c>
      <c r="W4" s="3667"/>
      <c r="X4" s="1262"/>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39"/>
      <c r="M5" s="2940"/>
      <c r="N5" s="2940"/>
      <c r="O5" s="2940"/>
      <c r="P5" s="3657"/>
      <c r="Q5" s="3658"/>
      <c r="R5" s="3663"/>
      <c r="S5" s="3664"/>
      <c r="T5" s="3663"/>
      <c r="U5" s="3664"/>
      <c r="V5" s="3667"/>
      <c r="W5" s="3667"/>
      <c r="X5" s="1262"/>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39"/>
      <c r="M6" s="2940"/>
      <c r="N6" s="2940"/>
      <c r="O6" s="2940"/>
      <c r="P6" s="3659"/>
      <c r="Q6" s="3660"/>
      <c r="R6" s="3663"/>
      <c r="S6" s="3664"/>
      <c r="T6" s="3665"/>
      <c r="U6" s="3666"/>
      <c r="V6" s="3667"/>
      <c r="W6" s="3667"/>
      <c r="X6" s="1262"/>
      <c r="Y6" s="3665"/>
      <c r="Z6" s="3666"/>
      <c r="AA6" s="3650"/>
      <c r="AB6" s="3650"/>
      <c r="AC6" s="3650"/>
    </row>
    <row r="7" spans="1:29" s="25" customFormat="1" ht="15.75" thickBot="1">
      <c r="A7" s="301" t="s">
        <v>2019</v>
      </c>
      <c r="B7" s="302"/>
      <c r="C7" s="303">
        <f>'数据-取费表'!B2</f>
        <v>44858</v>
      </c>
      <c r="D7" s="304">
        <v>100</v>
      </c>
      <c r="E7" s="1502"/>
      <c r="F7" s="304">
        <f>SUMIF(46:46,YEAR(E7)&amp;"-"&amp;MONTH(E7),47:47)</f>
        <v>0</v>
      </c>
      <c r="G7" s="305"/>
      <c r="H7" s="304">
        <f>SUMIF(46:46,YEAR(G7)&amp;"-"&amp;MONTH(G7),47:47)</f>
        <v>0</v>
      </c>
      <c r="I7" s="305"/>
      <c r="J7" s="304">
        <f>SUMIF(46:46,YEAR(I7)&amp;"-"&amp;MONTH(I7),47:47)</f>
        <v>0</v>
      </c>
      <c r="K7" s="497"/>
      <c r="L7" s="2941"/>
      <c r="M7" s="2942"/>
      <c r="N7" s="2942"/>
      <c r="O7" s="2942"/>
      <c r="P7" s="3646" t="s">
        <v>2020</v>
      </c>
      <c r="Q7" s="3670"/>
      <c r="R7" s="626" t="s">
        <v>25</v>
      </c>
      <c r="S7" s="627">
        <f t="shared" ref="S7:S14" si="0">F7</f>
        <v>0</v>
      </c>
      <c r="T7" s="626" t="s">
        <v>25</v>
      </c>
      <c r="U7" s="627">
        <f t="shared" ref="U7:U14" si="1">H7</f>
        <v>0</v>
      </c>
      <c r="V7" s="626" t="s">
        <v>25</v>
      </c>
      <c r="W7" s="627">
        <f t="shared" ref="W7:W14" si="2">J7</f>
        <v>0</v>
      </c>
      <c r="X7" s="628"/>
      <c r="Y7" s="3646" t="s">
        <v>2020</v>
      </c>
      <c r="Z7" s="3647"/>
      <c r="AA7" s="629" t="e">
        <f>D7/F7</f>
        <v>#DIV/0!</v>
      </c>
      <c r="AB7" s="629" t="e">
        <f>D7/H7</f>
        <v>#DIV/0!</v>
      </c>
      <c r="AC7" s="629"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46" t="s">
        <v>2023</v>
      </c>
      <c r="Q8" s="3647"/>
      <c r="R8" s="626" t="s">
        <v>25</v>
      </c>
      <c r="S8" s="627">
        <f t="shared" si="0"/>
        <v>0</v>
      </c>
      <c r="T8" s="626" t="s">
        <v>25</v>
      </c>
      <c r="U8" s="627">
        <f t="shared" si="1"/>
        <v>0</v>
      </c>
      <c r="V8" s="626" t="s">
        <v>25</v>
      </c>
      <c r="W8" s="627">
        <f t="shared" si="2"/>
        <v>0</v>
      </c>
      <c r="X8" s="628"/>
      <c r="Y8" s="3646" t="s">
        <v>2023</v>
      </c>
      <c r="Z8" s="3647"/>
      <c r="AA8" s="629" t="e">
        <f t="shared" ref="AA8:AA34" si="3">D8/F8</f>
        <v>#DIV/0!</v>
      </c>
      <c r="AB8" s="629" t="e">
        <f t="shared" ref="AB8:AB34" si="4">D8/H8</f>
        <v>#DIV/0!</v>
      </c>
      <c r="AC8" s="629"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43" t="s">
        <v>2026</v>
      </c>
      <c r="Q9" s="1254" t="str">
        <f t="shared" ref="Q9:Q14" si="6">B9</f>
        <v>用途</v>
      </c>
      <c r="R9" s="626" t="s">
        <v>25</v>
      </c>
      <c r="S9" s="627">
        <f t="shared" si="0"/>
        <v>100</v>
      </c>
      <c r="T9" s="626" t="s">
        <v>25</v>
      </c>
      <c r="U9" s="627">
        <f t="shared" si="1"/>
        <v>100</v>
      </c>
      <c r="V9" s="626" t="s">
        <v>25</v>
      </c>
      <c r="W9" s="627">
        <f t="shared" si="2"/>
        <v>100</v>
      </c>
      <c r="X9" s="628"/>
      <c r="Y9" s="3673" t="s">
        <v>2027</v>
      </c>
      <c r="Z9" s="19" t="str">
        <f t="shared" ref="Z9:Z14" si="7">Q9</f>
        <v>用途</v>
      </c>
      <c r="AA9" s="629">
        <f t="shared" si="3"/>
        <v>1</v>
      </c>
      <c r="AB9" s="629">
        <f t="shared" si="4"/>
        <v>1</v>
      </c>
      <c r="AC9" s="629">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43"/>
      <c r="Q10" s="1254" t="str">
        <f t="shared" si="6"/>
        <v>土地使用年限（年）</v>
      </c>
      <c r="R10" s="626" t="s">
        <v>25</v>
      </c>
      <c r="S10" s="627">
        <f t="shared" si="0"/>
        <v>100</v>
      </c>
      <c r="T10" s="626" t="s">
        <v>25</v>
      </c>
      <c r="U10" s="627">
        <f t="shared" si="1"/>
        <v>100</v>
      </c>
      <c r="V10" s="626" t="s">
        <v>25</v>
      </c>
      <c r="W10" s="627">
        <f t="shared" si="2"/>
        <v>100</v>
      </c>
      <c r="X10" s="628"/>
      <c r="Y10" s="3673"/>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43"/>
      <c r="Q11" s="1254">
        <f t="shared" si="6"/>
        <v>111</v>
      </c>
      <c r="R11" s="626" t="s">
        <v>25</v>
      </c>
      <c r="S11" s="627">
        <f t="shared" si="0"/>
        <v>100</v>
      </c>
      <c r="T11" s="626" t="s">
        <v>25</v>
      </c>
      <c r="U11" s="627">
        <f t="shared" si="1"/>
        <v>100</v>
      </c>
      <c r="V11" s="626" t="s">
        <v>25</v>
      </c>
      <c r="W11" s="627">
        <f t="shared" si="2"/>
        <v>100</v>
      </c>
      <c r="X11" s="628"/>
      <c r="Y11" s="3673"/>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43"/>
      <c r="Q12" s="1254">
        <f t="shared" si="6"/>
        <v>111</v>
      </c>
      <c r="R12" s="626" t="s">
        <v>25</v>
      </c>
      <c r="S12" s="627">
        <f t="shared" si="0"/>
        <v>100</v>
      </c>
      <c r="T12" s="626" t="s">
        <v>25</v>
      </c>
      <c r="U12" s="627">
        <f t="shared" si="1"/>
        <v>100</v>
      </c>
      <c r="V12" s="626" t="s">
        <v>25</v>
      </c>
      <c r="W12" s="627">
        <f t="shared" si="2"/>
        <v>100</v>
      </c>
      <c r="X12" s="628"/>
      <c r="Y12" s="3673"/>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43"/>
      <c r="Q13" s="1254">
        <f t="shared" si="6"/>
        <v>111</v>
      </c>
      <c r="R13" s="626" t="s">
        <v>25</v>
      </c>
      <c r="S13" s="627">
        <f t="shared" si="0"/>
        <v>100</v>
      </c>
      <c r="T13" s="626" t="s">
        <v>25</v>
      </c>
      <c r="U13" s="627">
        <f t="shared" si="1"/>
        <v>100</v>
      </c>
      <c r="V13" s="626" t="s">
        <v>25</v>
      </c>
      <c r="W13" s="627">
        <f t="shared" si="2"/>
        <v>100</v>
      </c>
      <c r="X13" s="628"/>
      <c r="Y13" s="3673"/>
      <c r="Z13" s="19">
        <f t="shared" si="7"/>
        <v>111</v>
      </c>
      <c r="AA13" s="629">
        <f t="shared" si="3"/>
        <v>1</v>
      </c>
      <c r="AB13" s="629">
        <f t="shared" si="4"/>
        <v>1</v>
      </c>
      <c r="AC13" s="629">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71" t="s">
        <v>2031</v>
      </c>
      <c r="Q14" s="1261" t="str">
        <f t="shared" si="6"/>
        <v>交通便捷度</v>
      </c>
      <c r="R14" s="630" t="s">
        <v>25</v>
      </c>
      <c r="S14" s="631">
        <f t="shared" si="0"/>
        <v>100</v>
      </c>
      <c r="T14" s="630" t="s">
        <v>25</v>
      </c>
      <c r="U14" s="631">
        <f t="shared" si="1"/>
        <v>100</v>
      </c>
      <c r="V14" s="630" t="s">
        <v>25</v>
      </c>
      <c r="W14" s="631">
        <f t="shared" si="2"/>
        <v>100</v>
      </c>
      <c r="X14" s="1262"/>
      <c r="Y14" s="3671"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49"/>
      <c r="M15" s="2940"/>
      <c r="N15" s="2940"/>
      <c r="O15" s="2948"/>
      <c r="P15" s="3672"/>
      <c r="Q15" s="1261"/>
      <c r="R15" s="630"/>
      <c r="S15" s="631"/>
      <c r="T15" s="630"/>
      <c r="U15" s="631"/>
      <c r="V15" s="630"/>
      <c r="W15" s="631"/>
      <c r="X15" s="1262"/>
      <c r="Y15" s="3672"/>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72"/>
      <c r="Q16" s="1261" t="str">
        <f>B16</f>
        <v>公共配套设施</v>
      </c>
      <c r="R16" s="630" t="s">
        <v>25</v>
      </c>
      <c r="S16" s="631">
        <f>F16</f>
        <v>100</v>
      </c>
      <c r="T16" s="630" t="s">
        <v>25</v>
      </c>
      <c r="U16" s="631">
        <f>H16</f>
        <v>100</v>
      </c>
      <c r="V16" s="630" t="s">
        <v>25</v>
      </c>
      <c r="W16" s="631">
        <f>J16</f>
        <v>100</v>
      </c>
      <c r="X16" s="1262"/>
      <c r="Y16" s="3672"/>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49"/>
      <c r="M17" s="2940"/>
      <c r="N17" s="2940"/>
      <c r="O17" s="2948"/>
      <c r="P17" s="3672"/>
      <c r="Q17" s="1261"/>
      <c r="R17" s="630"/>
      <c r="S17" s="631"/>
      <c r="T17" s="630"/>
      <c r="U17" s="631"/>
      <c r="V17" s="630"/>
      <c r="W17" s="631"/>
      <c r="X17" s="1262"/>
      <c r="Y17" s="3672"/>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72"/>
      <c r="Q18" s="1261" t="str">
        <f>B18</f>
        <v>基础设施水平</v>
      </c>
      <c r="R18" s="630" t="s">
        <v>25</v>
      </c>
      <c r="S18" s="631">
        <f>F18</f>
        <v>100</v>
      </c>
      <c r="T18" s="630" t="s">
        <v>25</v>
      </c>
      <c r="U18" s="631">
        <f>H18</f>
        <v>100</v>
      </c>
      <c r="V18" s="630" t="s">
        <v>25</v>
      </c>
      <c r="W18" s="631">
        <f>J18</f>
        <v>100</v>
      </c>
      <c r="X18" s="1262"/>
      <c r="Y18" s="3672"/>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49"/>
      <c r="M19" s="2940"/>
      <c r="N19" s="2940"/>
      <c r="O19" s="2948"/>
      <c r="P19" s="3672"/>
      <c r="Q19" s="1261"/>
      <c r="R19" s="630"/>
      <c r="S19" s="631"/>
      <c r="T19" s="630"/>
      <c r="U19" s="631"/>
      <c r="V19" s="630"/>
      <c r="W19" s="631"/>
      <c r="X19" s="1262"/>
      <c r="Y19" s="3672"/>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72"/>
      <c r="Q20" s="1261" t="str">
        <f>B20</f>
        <v>自然及人文环境</v>
      </c>
      <c r="R20" s="630" t="s">
        <v>25</v>
      </c>
      <c r="S20" s="631">
        <f>F20</f>
        <v>100</v>
      </c>
      <c r="T20" s="630" t="s">
        <v>25</v>
      </c>
      <c r="U20" s="631">
        <f>H20</f>
        <v>100</v>
      </c>
      <c r="V20" s="630" t="s">
        <v>25</v>
      </c>
      <c r="W20" s="631">
        <f>J20</f>
        <v>100</v>
      </c>
      <c r="X20" s="1262"/>
      <c r="Y20" s="3672"/>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49"/>
      <c r="M21" s="2940"/>
      <c r="N21" s="2940"/>
      <c r="O21" s="2948"/>
      <c r="P21" s="3672"/>
      <c r="Q21" s="1261"/>
      <c r="R21" s="630"/>
      <c r="S21" s="631"/>
      <c r="T21" s="630"/>
      <c r="U21" s="631"/>
      <c r="V21" s="630"/>
      <c r="W21" s="631"/>
      <c r="X21" s="1262"/>
      <c r="Y21" s="3672"/>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72"/>
      <c r="Q22" s="1261" t="str">
        <f>B22</f>
        <v>楼层</v>
      </c>
      <c r="R22" s="630" t="s">
        <v>25</v>
      </c>
      <c r="S22" s="631">
        <f>F22</f>
        <v>100</v>
      </c>
      <c r="T22" s="630" t="s">
        <v>25</v>
      </c>
      <c r="U22" s="631">
        <f>H22</f>
        <v>100</v>
      </c>
      <c r="V22" s="630" t="s">
        <v>25</v>
      </c>
      <c r="W22" s="631">
        <f>J22</f>
        <v>100</v>
      </c>
      <c r="X22" s="1262"/>
      <c r="Y22" s="3672"/>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72"/>
      <c r="Q23" s="1261">
        <f>B23</f>
        <v>111</v>
      </c>
      <c r="R23" s="630" t="s">
        <v>25</v>
      </c>
      <c r="S23" s="631">
        <f>F23</f>
        <v>100</v>
      </c>
      <c r="T23" s="630" t="s">
        <v>25</v>
      </c>
      <c r="U23" s="631">
        <f>H23</f>
        <v>100</v>
      </c>
      <c r="V23" s="630" t="s">
        <v>25</v>
      </c>
      <c r="W23" s="631">
        <f>J23</f>
        <v>100</v>
      </c>
      <c r="X23" s="1262"/>
      <c r="Y23" s="3672"/>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72"/>
      <c r="Q24" s="1261">
        <f t="shared" ref="Q24:Q34" si="11">B24</f>
        <v>111</v>
      </c>
      <c r="R24" s="630" t="s">
        <v>25</v>
      </c>
      <c r="S24" s="631">
        <f>F24</f>
        <v>100</v>
      </c>
      <c r="T24" s="630" t="s">
        <v>25</v>
      </c>
      <c r="U24" s="631">
        <f>H24</f>
        <v>100</v>
      </c>
      <c r="V24" s="630" t="s">
        <v>25</v>
      </c>
      <c r="W24" s="631">
        <f>J24</f>
        <v>100</v>
      </c>
      <c r="X24" s="1262"/>
      <c r="Y24" s="3672"/>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1"/>
      <c r="M25" s="2942"/>
      <c r="N25" s="2942"/>
      <c r="O25" s="2943"/>
      <c r="P25" s="3672"/>
      <c r="Q25" s="1254">
        <f t="shared" si="11"/>
        <v>111</v>
      </c>
      <c r="R25" s="626" t="s">
        <v>25</v>
      </c>
      <c r="S25" s="627">
        <f>F25</f>
        <v>100</v>
      </c>
      <c r="T25" s="626" t="s">
        <v>25</v>
      </c>
      <c r="U25" s="627">
        <f>H25</f>
        <v>100</v>
      </c>
      <c r="V25" s="626" t="s">
        <v>25</v>
      </c>
      <c r="W25" s="627">
        <f>J25</f>
        <v>100</v>
      </c>
      <c r="X25" s="628"/>
      <c r="Y25" s="3672"/>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49"/>
      <c r="M26" s="2940"/>
      <c r="N26" s="2940"/>
      <c r="O26" s="2948"/>
      <c r="P26" s="3674" t="s">
        <v>2037</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75"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75"/>
      <c r="Q27" s="632" t="str">
        <f t="shared" si="11"/>
        <v>成新率</v>
      </c>
      <c r="R27" s="633" t="s">
        <v>25</v>
      </c>
      <c r="S27" s="634" t="e">
        <f t="shared" si="12"/>
        <v>#N/A</v>
      </c>
      <c r="T27" s="633" t="s">
        <v>25</v>
      </c>
      <c r="U27" s="634" t="e">
        <f t="shared" si="13"/>
        <v>#N/A</v>
      </c>
      <c r="V27" s="633" t="s">
        <v>25</v>
      </c>
      <c r="W27" s="634" t="e">
        <f t="shared" si="14"/>
        <v>#N/A</v>
      </c>
      <c r="X27" s="635"/>
      <c r="Y27" s="3675"/>
      <c r="Z27" s="636"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75"/>
      <c r="Q28" s="1261" t="str">
        <f t="shared" si="11"/>
        <v>物业等级</v>
      </c>
      <c r="R28" s="630" t="s">
        <v>25</v>
      </c>
      <c r="S28" s="631">
        <f t="shared" si="12"/>
        <v>100</v>
      </c>
      <c r="T28" s="630" t="s">
        <v>25</v>
      </c>
      <c r="U28" s="631">
        <f t="shared" si="13"/>
        <v>100</v>
      </c>
      <c r="V28" s="630" t="s">
        <v>25</v>
      </c>
      <c r="W28" s="631">
        <f t="shared" si="14"/>
        <v>100</v>
      </c>
      <c r="X28" s="1262"/>
      <c r="Y28" s="3675"/>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75"/>
      <c r="Q29" s="1261" t="str">
        <f t="shared" si="11"/>
        <v>有无电梯</v>
      </c>
      <c r="R29" s="630" t="s">
        <v>25</v>
      </c>
      <c r="S29" s="631">
        <f t="shared" si="12"/>
        <v>100</v>
      </c>
      <c r="T29" s="630" t="s">
        <v>25</v>
      </c>
      <c r="U29" s="631">
        <f t="shared" si="13"/>
        <v>100</v>
      </c>
      <c r="V29" s="630" t="s">
        <v>25</v>
      </c>
      <c r="W29" s="631">
        <f t="shared" si="14"/>
        <v>100</v>
      </c>
      <c r="X29" s="1262"/>
      <c r="Y29" s="3675"/>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75"/>
      <c r="Q30" s="1261" t="str">
        <f t="shared" si="11"/>
        <v>建筑面积</v>
      </c>
      <c r="R30" s="630" t="s">
        <v>25</v>
      </c>
      <c r="S30" s="631" t="e">
        <f t="shared" si="12"/>
        <v>#N/A</v>
      </c>
      <c r="T30" s="630" t="s">
        <v>25</v>
      </c>
      <c r="U30" s="631" t="e">
        <f t="shared" si="13"/>
        <v>#N/A</v>
      </c>
      <c r="V30" s="630" t="s">
        <v>25</v>
      </c>
      <c r="W30" s="631" t="e">
        <f t="shared" si="14"/>
        <v>#N/A</v>
      </c>
      <c r="X30" s="1262"/>
      <c r="Y30" s="3675"/>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75"/>
      <c r="Q31" s="1254" t="str">
        <f t="shared" si="11"/>
        <v>是否封闭</v>
      </c>
      <c r="R31" s="626" t="s">
        <v>25</v>
      </c>
      <c r="S31" s="627">
        <f t="shared" si="12"/>
        <v>100</v>
      </c>
      <c r="T31" s="626" t="s">
        <v>25</v>
      </c>
      <c r="U31" s="627">
        <f t="shared" si="13"/>
        <v>100</v>
      </c>
      <c r="V31" s="626" t="s">
        <v>25</v>
      </c>
      <c r="W31" s="627">
        <f t="shared" si="14"/>
        <v>100</v>
      </c>
      <c r="X31" s="628"/>
      <c r="Y31" s="3675"/>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75" t="s">
        <v>2037</v>
      </c>
      <c r="Q32" s="1261">
        <f t="shared" si="11"/>
        <v>111</v>
      </c>
      <c r="R32" s="630" t="s">
        <v>25</v>
      </c>
      <c r="S32" s="631">
        <f t="shared" si="12"/>
        <v>100</v>
      </c>
      <c r="T32" s="630" t="s">
        <v>25</v>
      </c>
      <c r="U32" s="631">
        <f t="shared" si="13"/>
        <v>100</v>
      </c>
      <c r="V32" s="630" t="s">
        <v>25</v>
      </c>
      <c r="W32" s="631">
        <f t="shared" si="14"/>
        <v>100</v>
      </c>
      <c r="X32" s="1262"/>
      <c r="Y32" s="3675"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75"/>
      <c r="Q33" s="1261">
        <f t="shared" si="11"/>
        <v>111</v>
      </c>
      <c r="R33" s="630" t="s">
        <v>25</v>
      </c>
      <c r="S33" s="631">
        <f t="shared" si="12"/>
        <v>100</v>
      </c>
      <c r="T33" s="630" t="s">
        <v>25</v>
      </c>
      <c r="U33" s="631">
        <f t="shared" si="13"/>
        <v>100</v>
      </c>
      <c r="V33" s="630" t="s">
        <v>25</v>
      </c>
      <c r="W33" s="631">
        <f t="shared" si="14"/>
        <v>100</v>
      </c>
      <c r="X33" s="1262"/>
      <c r="Y33" s="3675"/>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49"/>
      <c r="M34" s="2940"/>
      <c r="N34" s="2940"/>
      <c r="O34" s="2948"/>
      <c r="P34" s="3675"/>
      <c r="Q34" s="1261">
        <f t="shared" si="11"/>
        <v>111</v>
      </c>
      <c r="R34" s="630" t="s">
        <v>25</v>
      </c>
      <c r="S34" s="631">
        <f t="shared" si="12"/>
        <v>100</v>
      </c>
      <c r="T34" s="630" t="s">
        <v>25</v>
      </c>
      <c r="U34" s="631">
        <f t="shared" si="13"/>
        <v>100</v>
      </c>
      <c r="V34" s="630" t="s">
        <v>25</v>
      </c>
      <c r="W34" s="631">
        <f t="shared" si="14"/>
        <v>100</v>
      </c>
      <c r="X34" s="1262"/>
      <c r="Y34" s="3675"/>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39"/>
      <c r="L35" s="2951"/>
      <c r="N35" s="2940"/>
      <c r="P35" s="3643" t="str">
        <f>A35</f>
        <v>成交单价（元/平方米）</v>
      </c>
      <c r="Q35" s="3643"/>
      <c r="R35" s="3677">
        <f>E35</f>
        <v>0</v>
      </c>
      <c r="S35" s="3677"/>
      <c r="T35" s="3677">
        <f>G35</f>
        <v>0</v>
      </c>
      <c r="U35" s="3677"/>
      <c r="V35" s="3677">
        <f>I35</f>
        <v>0</v>
      </c>
      <c r="W35" s="3677"/>
      <c r="X35" s="617"/>
      <c r="Y35" s="637"/>
      <c r="Z35" s="617"/>
      <c r="AA35" s="617"/>
      <c r="AB35" s="617"/>
      <c r="AC35" s="617"/>
    </row>
    <row r="36" spans="1:29" ht="15.75" thickBot="1">
      <c r="A36" s="374" t="s">
        <v>2132</v>
      </c>
      <c r="B36" s="375"/>
      <c r="C36" s="1087" t="e">
        <f>R37</f>
        <v>#DIV/0!</v>
      </c>
      <c r="D36" s="1721" t="s">
        <v>2503</v>
      </c>
      <c r="E36" s="1088" t="e">
        <f>R36</f>
        <v>#DIV/0!</v>
      </c>
      <c r="F36" s="1723"/>
      <c r="G36" s="1087" t="e">
        <f>T36</f>
        <v>#DIV/0!</v>
      </c>
      <c r="H36" s="1723"/>
      <c r="I36" s="1088" t="e">
        <f>V36</f>
        <v>#DIV/0!</v>
      </c>
      <c r="J36" s="1723"/>
      <c r="K36" s="2425">
        <f>F36+H36+J36</f>
        <v>0</v>
      </c>
      <c r="L36" s="2951"/>
      <c r="N36" s="2940"/>
      <c r="P36" s="3643" t="str">
        <f>A36</f>
        <v>比较价值（元/平方米）</v>
      </c>
      <c r="Q36" s="3643"/>
      <c r="R36" s="3677" t="e">
        <f>IF(E1="售价",ROUND(PRODUCT(R35,AA7:AA34),0),ROUND(PRODUCT(R35,AA7:AA34),1))</f>
        <v>#DIV/0!</v>
      </c>
      <c r="S36" s="3677"/>
      <c r="T36" s="3677" t="e">
        <f>IF(E1="售价",ROUND(PRODUCT(T35,AB7:AB34),0),ROUND(PRODUCT(T35,AB7:AB34),1))</f>
        <v>#DIV/0!</v>
      </c>
      <c r="U36" s="3677"/>
      <c r="V36" s="3677" t="e">
        <f>IF(E1="售价",ROUND(PRODUCT(V35,AC7:AC34),0),ROUND(PRODUCT(V35,AC7:AC34),1))</f>
        <v>#DIV/0!</v>
      </c>
      <c r="W36" s="3677"/>
      <c r="X36" s="617"/>
      <c r="Y36" s="617"/>
      <c r="Z36" s="617"/>
      <c r="AA36" s="617"/>
      <c r="AB36" s="617"/>
      <c r="AC36" s="617"/>
    </row>
    <row r="37" spans="1:29" ht="15.75" thickBot="1">
      <c r="A37" s="378" t="s">
        <v>2155</v>
      </c>
      <c r="B37" s="379"/>
      <c r="C37" s="1089" t="e">
        <f>R37</f>
        <v>#DIV/0!</v>
      </c>
      <c r="D37" s="1089"/>
      <c r="E37" s="1089"/>
      <c r="F37" s="1089"/>
      <c r="G37" s="1089"/>
      <c r="H37" s="1089"/>
      <c r="I37" s="1089"/>
      <c r="J37" s="1089"/>
      <c r="K37" s="640"/>
      <c r="L37" s="2951"/>
      <c r="P37" s="3678" t="str">
        <f>A37</f>
        <v>估价对象XX用房的比较价值（楼面单价，元/平方米）</v>
      </c>
      <c r="Q37" s="3679"/>
      <c r="R37" s="3680" t="e">
        <f>IF(E1="售价",ROUND(IF(D36="简单平均",AVERAGE(R36:W36),R36*F36+T36*H36+V36*J36),0),ROUND(IF(D36="简单平均",AVERAGE(R36:V36),R36*F36+T36*H36+V36*J36),1))</f>
        <v>#DIV/0!</v>
      </c>
      <c r="S37" s="3680"/>
      <c r="T37" s="3680"/>
      <c r="U37" s="3680"/>
      <c r="V37" s="3680"/>
      <c r="W37" s="3680"/>
      <c r="X37" s="617"/>
      <c r="Y37" s="617"/>
      <c r="Z37" s="617"/>
      <c r="AA37" s="617"/>
      <c r="AB37" s="617"/>
      <c r="AC37" s="617"/>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19" t="s">
        <v>2137</v>
      </c>
      <c r="B45" s="617"/>
      <c r="C45" s="620"/>
      <c r="D45" s="620"/>
      <c r="E45" s="620"/>
      <c r="F45" s="621"/>
      <c r="G45" s="621"/>
      <c r="H45" s="620"/>
      <c r="I45" s="620"/>
      <c r="J45" s="620"/>
      <c r="K45" s="622"/>
      <c r="L45" s="623"/>
      <c r="M45" s="620"/>
      <c r="N45" s="2957"/>
      <c r="O45" s="2957"/>
      <c r="P45" s="389"/>
      <c r="Q45" s="390"/>
    </row>
    <row r="46" spans="1:29" s="394" customFormat="1" ht="15">
      <c r="A46" s="391" t="s">
        <v>2019</v>
      </c>
      <c r="B46" s="392"/>
      <c r="C46" s="1115" t="str">
        <f>YEAR(C7)&amp;"-"&amp;MONTH(C7)</f>
        <v>2022-10</v>
      </c>
      <c r="D46" s="1116">
        <f>EDATE(C46,-1)</f>
        <v>44805</v>
      </c>
      <c r="E46" s="1116">
        <f t="shared" ref="E46:O46" si="16">EDATE(D46,-1)</f>
        <v>44774</v>
      </c>
      <c r="F46" s="1116">
        <f t="shared" si="16"/>
        <v>44743</v>
      </c>
      <c r="G46" s="1116">
        <f t="shared" si="16"/>
        <v>44713</v>
      </c>
      <c r="H46" s="1116">
        <f t="shared" si="16"/>
        <v>44682</v>
      </c>
      <c r="I46" s="1116">
        <f t="shared" si="16"/>
        <v>44652</v>
      </c>
      <c r="J46" s="1116">
        <f t="shared" si="16"/>
        <v>44621</v>
      </c>
      <c r="K46" s="1116">
        <f t="shared" si="16"/>
        <v>44593</v>
      </c>
      <c r="L46" s="1116">
        <f t="shared" si="16"/>
        <v>44562</v>
      </c>
      <c r="M46" s="1116">
        <f t="shared" si="16"/>
        <v>44531</v>
      </c>
      <c r="N46" s="1116">
        <f t="shared" si="16"/>
        <v>44501</v>
      </c>
      <c r="O46" s="1116">
        <f t="shared" si="16"/>
        <v>44470</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4"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6" t="s">
        <v>1675</v>
      </c>
      <c r="B3" s="1887" t="e">
        <f>ROUND(B2/'数据-取费表'!B5,0)</f>
        <v>#DIV/0!</v>
      </c>
      <c r="C3" s="1584"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0" t="s">
        <v>2006</v>
      </c>
      <c r="B4" s="1591"/>
      <c r="C4" s="3574" t="s">
        <v>2007</v>
      </c>
      <c r="D4" s="3575"/>
      <c r="E4" s="3576" t="s">
        <v>2008</v>
      </c>
      <c r="F4" s="3577"/>
      <c r="G4" s="3574" t="s">
        <v>2009</v>
      </c>
      <c r="H4" s="3575"/>
      <c r="I4" s="3574" t="s">
        <v>2010</v>
      </c>
      <c r="J4" s="3575"/>
      <c r="K4" s="1890" t="s">
        <v>2011</v>
      </c>
      <c r="L4" s="2911"/>
      <c r="M4" s="2912"/>
      <c r="N4" s="2912"/>
      <c r="O4" s="2912"/>
      <c r="P4" s="3578" t="s">
        <v>2012</v>
      </c>
      <c r="Q4" s="3579"/>
      <c r="R4" s="3584" t="s">
        <v>2008</v>
      </c>
      <c r="S4" s="3585"/>
      <c r="T4" s="3584" t="s">
        <v>2009</v>
      </c>
      <c r="U4" s="3585"/>
      <c r="V4" s="3590" t="s">
        <v>2010</v>
      </c>
      <c r="W4" s="3590"/>
      <c r="X4" s="1593"/>
      <c r="Y4" s="3584" t="s">
        <v>2012</v>
      </c>
      <c r="Z4" s="3585"/>
      <c r="AA4" s="3571" t="s">
        <v>2008</v>
      </c>
      <c r="AB4" s="3572" t="s">
        <v>2009</v>
      </c>
      <c r="AC4" s="3571" t="s">
        <v>2010</v>
      </c>
    </row>
    <row r="5" spans="1:30" ht="15">
      <c r="A5" s="1595"/>
      <c r="B5" s="1596"/>
      <c r="C5" s="3567" t="s">
        <v>2013</v>
      </c>
      <c r="D5" s="3568"/>
      <c r="E5" s="3591" t="s">
        <v>2014</v>
      </c>
      <c r="F5" s="3592"/>
      <c r="G5" s="3567" t="s">
        <v>2015</v>
      </c>
      <c r="H5" s="3568"/>
      <c r="I5" s="3567" t="s">
        <v>2016</v>
      </c>
      <c r="J5" s="3568"/>
      <c r="K5" s="1890"/>
      <c r="L5" s="2911"/>
      <c r="M5" s="2912"/>
      <c r="N5" s="2912"/>
      <c r="O5" s="2912"/>
      <c r="P5" s="3580"/>
      <c r="Q5" s="3581"/>
      <c r="R5" s="3586"/>
      <c r="S5" s="3587"/>
      <c r="T5" s="3586"/>
      <c r="U5" s="3587"/>
      <c r="V5" s="3590"/>
      <c r="W5" s="3590"/>
      <c r="X5" s="1593"/>
      <c r="Y5" s="3586"/>
      <c r="Z5" s="3587"/>
      <c r="AA5" s="3572"/>
      <c r="AB5" s="3572"/>
      <c r="AC5" s="3572"/>
    </row>
    <row r="6" spans="1:30" ht="15.75" thickBot="1">
      <c r="A6" s="1598"/>
      <c r="B6" s="1599"/>
      <c r="C6" s="3564" t="s">
        <v>2017</v>
      </c>
      <c r="D6" s="3565"/>
      <c r="E6" s="3562" t="s">
        <v>2017</v>
      </c>
      <c r="F6" s="3563"/>
      <c r="G6" s="3564" t="s">
        <v>2017</v>
      </c>
      <c r="H6" s="3565"/>
      <c r="I6" s="3564" t="s">
        <v>2017</v>
      </c>
      <c r="J6" s="3565"/>
      <c r="K6" s="1890" t="s">
        <v>2018</v>
      </c>
      <c r="L6" s="2911"/>
      <c r="M6" s="2912"/>
      <c r="N6" s="2912"/>
      <c r="O6" s="2912"/>
      <c r="P6" s="3582"/>
      <c r="Q6" s="3583"/>
      <c r="R6" s="3586"/>
      <c r="S6" s="3587"/>
      <c r="T6" s="3588"/>
      <c r="U6" s="3589"/>
      <c r="V6" s="3590"/>
      <c r="W6" s="3590"/>
      <c r="X6" s="1593"/>
      <c r="Y6" s="3588"/>
      <c r="Z6" s="3589"/>
      <c r="AA6" s="3573"/>
      <c r="AB6" s="3573"/>
      <c r="AC6" s="3573"/>
    </row>
    <row r="7" spans="1:30" s="1612" customFormat="1" ht="15.75" thickBot="1">
      <c r="A7" s="1600" t="s">
        <v>2019</v>
      </c>
      <c r="B7" s="1601"/>
      <c r="C7" s="1602">
        <f>'数据-取费表'!B2</f>
        <v>44858</v>
      </c>
      <c r="D7" s="1603">
        <v>100</v>
      </c>
      <c r="E7" s="1604"/>
      <c r="F7" s="1605">
        <f>SUMIF(69:69,YEAR(E7)&amp;"-"&amp;INT((MONTH(E7)+2)/3),70:70)</f>
        <v>0</v>
      </c>
      <c r="G7" s="1891"/>
      <c r="H7" s="1603">
        <f>SUMIF(69:69,YEAR(G7)&amp;"-"&amp;INT((MONTH(G7)+2)/3),70:70)</f>
        <v>0</v>
      </c>
      <c r="I7" s="1891"/>
      <c r="J7" s="1603">
        <f>SUMIF(69:69,YEAR(I7)&amp;"-"&amp;INT((MONTH(I7)+2)/3),70:70)</f>
        <v>0</v>
      </c>
      <c r="K7" s="1892"/>
      <c r="L7" s="2911"/>
      <c r="M7" s="2884"/>
      <c r="N7" s="2884"/>
      <c r="O7" s="2884"/>
      <c r="P7" s="3569" t="s">
        <v>2020</v>
      </c>
      <c r="Q7" s="3593"/>
      <c r="R7" s="1608" t="s">
        <v>25</v>
      </c>
      <c r="S7" s="1609">
        <f t="shared" ref="S7:S15" si="0">F7</f>
        <v>0</v>
      </c>
      <c r="T7" s="1608" t="s">
        <v>25</v>
      </c>
      <c r="U7" s="1609">
        <f t="shared" ref="U7:U15" si="1">H7</f>
        <v>0</v>
      </c>
      <c r="V7" s="1608" t="s">
        <v>25</v>
      </c>
      <c r="W7" s="1609">
        <f t="shared" ref="W7:W15" si="2">J7</f>
        <v>0</v>
      </c>
      <c r="X7" s="1610"/>
      <c r="Y7" s="3569" t="s">
        <v>2020</v>
      </c>
      <c r="Z7" s="3570"/>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2"/>
      <c r="L8" s="2911"/>
      <c r="M8" s="2884"/>
      <c r="N8" s="2884"/>
      <c r="O8" s="2884"/>
      <c r="P8" s="3569" t="s">
        <v>2023</v>
      </c>
      <c r="Q8" s="3570"/>
      <c r="R8" s="1608" t="s">
        <v>25</v>
      </c>
      <c r="S8" s="1609">
        <f t="shared" si="0"/>
        <v>0</v>
      </c>
      <c r="T8" s="1608" t="s">
        <v>25</v>
      </c>
      <c r="U8" s="1609">
        <f t="shared" si="1"/>
        <v>0</v>
      </c>
      <c r="V8" s="1608" t="s">
        <v>25</v>
      </c>
      <c r="W8" s="1609">
        <f t="shared" si="2"/>
        <v>0</v>
      </c>
      <c r="X8" s="1610"/>
      <c r="Y8" s="3569" t="s">
        <v>2023</v>
      </c>
      <c r="Z8" s="3570"/>
      <c r="AA8" s="1611" t="e">
        <f t="shared" ref="AA8:AA45" si="3">D8/F8</f>
        <v>#DIV/0!</v>
      </c>
      <c r="AB8" s="1611" t="e">
        <f t="shared" ref="AB8:AB45" si="4">D8/H8</f>
        <v>#DIV/0!</v>
      </c>
      <c r="AC8" s="1611" t="e">
        <f t="shared" ref="AC8:AC45" si="5">D8/J8</f>
        <v>#DIV/0!</v>
      </c>
    </row>
    <row r="9" spans="1:30" s="1612" customFormat="1">
      <c r="A9" s="1563"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566" t="s">
        <v>2026</v>
      </c>
      <c r="Q9" s="1562" t="str">
        <f t="shared" ref="Q9:Q15" si="6">B9</f>
        <v>用途</v>
      </c>
      <c r="R9" s="1608" t="s">
        <v>25</v>
      </c>
      <c r="S9" s="1609">
        <f t="shared" si="0"/>
        <v>100</v>
      </c>
      <c r="T9" s="1608" t="s">
        <v>25</v>
      </c>
      <c r="U9" s="1609">
        <f t="shared" si="1"/>
        <v>100</v>
      </c>
      <c r="V9" s="1608" t="s">
        <v>25</v>
      </c>
      <c r="W9" s="1609">
        <f t="shared" si="2"/>
        <v>100</v>
      </c>
      <c r="X9" s="1610"/>
      <c r="Y9" s="3492"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106</v>
      </c>
      <c r="G10" s="1685"/>
      <c r="H10" s="1625">
        <f>ROUND(100/'数据-取费表'!B14,0)</f>
        <v>106</v>
      </c>
      <c r="I10" s="1685"/>
      <c r="J10" s="1625">
        <f>ROUND(100/'数据-取费表'!B14,0)</f>
        <v>106</v>
      </c>
      <c r="K10" s="1894"/>
      <c r="L10" s="2913"/>
      <c r="M10" s="2914"/>
      <c r="N10" s="2914"/>
      <c r="O10" s="2959"/>
      <c r="P10" s="3566"/>
      <c r="Q10" s="1562" t="str">
        <f t="shared" si="6"/>
        <v>土地使用年限（年）</v>
      </c>
      <c r="R10" s="1608" t="s">
        <v>25</v>
      </c>
      <c r="S10" s="1609">
        <f t="shared" si="0"/>
        <v>106</v>
      </c>
      <c r="T10" s="1608" t="s">
        <v>25</v>
      </c>
      <c r="U10" s="1609">
        <f t="shared" si="1"/>
        <v>106</v>
      </c>
      <c r="V10" s="1608" t="s">
        <v>25</v>
      </c>
      <c r="W10" s="1609">
        <f t="shared" si="2"/>
        <v>106</v>
      </c>
      <c r="X10" s="1610"/>
      <c r="Y10" s="3492"/>
      <c r="Z10" s="1621" t="str">
        <f t="shared" si="7"/>
        <v>土地使用年限（年）</v>
      </c>
      <c r="AA10" s="1611">
        <f t="shared" si="3"/>
        <v>0.94339622641509435</v>
      </c>
      <c r="AB10" s="1611">
        <f t="shared" si="4"/>
        <v>0.94339622641509435</v>
      </c>
      <c r="AC10" s="1611">
        <f t="shared" si="5"/>
        <v>0.94339622641509435</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566"/>
      <c r="Q11" s="1562" t="str">
        <f t="shared" si="6"/>
        <v>容积率</v>
      </c>
      <c r="R11" s="1608" t="s">
        <v>25</v>
      </c>
      <c r="S11" s="1609" t="e">
        <f t="shared" si="0"/>
        <v>#N/A</v>
      </c>
      <c r="T11" s="1608" t="s">
        <v>25</v>
      </c>
      <c r="U11" s="1609" t="e">
        <f t="shared" si="1"/>
        <v>#N/A</v>
      </c>
      <c r="V11" s="1608" t="s">
        <v>25</v>
      </c>
      <c r="W11" s="1609" t="e">
        <f t="shared" si="2"/>
        <v>#N/A</v>
      </c>
      <c r="X11" s="1610"/>
      <c r="Y11" s="3492"/>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566"/>
      <c r="Q12" s="1562" t="str">
        <f t="shared" si="6"/>
        <v>配建</v>
      </c>
      <c r="R12" s="1608" t="s">
        <v>25</v>
      </c>
      <c r="S12" s="1609">
        <f t="shared" si="0"/>
        <v>100</v>
      </c>
      <c r="T12" s="1608" t="s">
        <v>25</v>
      </c>
      <c r="U12" s="1609">
        <f t="shared" si="1"/>
        <v>100</v>
      </c>
      <c r="V12" s="1608" t="s">
        <v>25</v>
      </c>
      <c r="W12" s="1609">
        <f t="shared" si="2"/>
        <v>100</v>
      </c>
      <c r="X12" s="1610"/>
      <c r="Y12" s="3492"/>
      <c r="Z12" s="1621" t="str">
        <f t="shared" si="7"/>
        <v>配建</v>
      </c>
      <c r="AA12" s="1611">
        <f>D12/F12</f>
        <v>1</v>
      </c>
      <c r="AB12" s="1611">
        <f>D12/H12</f>
        <v>1</v>
      </c>
      <c r="AC12" s="1611">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566"/>
      <c r="Q13" s="1562">
        <f t="shared" si="6"/>
        <v>111</v>
      </c>
      <c r="R13" s="1608" t="s">
        <v>25</v>
      </c>
      <c r="S13" s="1609">
        <f t="shared" si="0"/>
        <v>100</v>
      </c>
      <c r="T13" s="1608" t="s">
        <v>25</v>
      </c>
      <c r="U13" s="1609">
        <f t="shared" si="1"/>
        <v>100</v>
      </c>
      <c r="V13" s="1608" t="s">
        <v>25</v>
      </c>
      <c r="W13" s="1609">
        <f t="shared" si="2"/>
        <v>100</v>
      </c>
      <c r="X13" s="1610"/>
      <c r="Y13" s="3492"/>
      <c r="Z13" s="1621">
        <f t="shared" si="7"/>
        <v>111</v>
      </c>
      <c r="AA13" s="1611">
        <f>D13/F13</f>
        <v>1</v>
      </c>
      <c r="AB13" s="1611">
        <f>D13/H13</f>
        <v>1</v>
      </c>
      <c r="AC13" s="1611">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566"/>
      <c r="Q14" s="1562">
        <f t="shared" si="6"/>
        <v>111</v>
      </c>
      <c r="R14" s="1608" t="s">
        <v>25</v>
      </c>
      <c r="S14" s="1609">
        <f t="shared" si="0"/>
        <v>100</v>
      </c>
      <c r="T14" s="1608" t="s">
        <v>25</v>
      </c>
      <c r="U14" s="1609">
        <f t="shared" si="1"/>
        <v>100</v>
      </c>
      <c r="V14" s="1608" t="s">
        <v>25</v>
      </c>
      <c r="W14" s="1609">
        <f t="shared" si="2"/>
        <v>100</v>
      </c>
      <c r="X14" s="1610"/>
      <c r="Y14" s="3492"/>
      <c r="Z14" s="1621">
        <f t="shared" si="7"/>
        <v>111</v>
      </c>
      <c r="AA14" s="1611">
        <f>D14/F14</f>
        <v>1</v>
      </c>
      <c r="AB14" s="1611">
        <f>D14/H14</f>
        <v>1</v>
      </c>
      <c r="AC14" s="1611">
        <f>D14/J14</f>
        <v>1</v>
      </c>
    </row>
    <row r="15" spans="1:30" ht="99.75">
      <c r="A15" s="1590"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594" t="s">
        <v>2031</v>
      </c>
      <c r="Q15" s="1543" t="str">
        <f t="shared" si="6"/>
        <v>居住社区成熟度</v>
      </c>
      <c r="R15" s="1653" t="s">
        <v>25</v>
      </c>
      <c r="S15" s="1654">
        <f t="shared" si="0"/>
        <v>100</v>
      </c>
      <c r="T15" s="1653" t="s">
        <v>25</v>
      </c>
      <c r="U15" s="1654">
        <f t="shared" si="1"/>
        <v>100</v>
      </c>
      <c r="V15" s="1653" t="s">
        <v>25</v>
      </c>
      <c r="W15" s="1654">
        <f t="shared" si="2"/>
        <v>100</v>
      </c>
      <c r="X15" s="1593"/>
      <c r="Y15" s="3594" t="s">
        <v>2031</v>
      </c>
      <c r="Z15" s="1655" t="str">
        <f t="shared" si="7"/>
        <v>居住社区成熟度</v>
      </c>
      <c r="AA15" s="1656">
        <f t="shared" si="3"/>
        <v>1</v>
      </c>
      <c r="AB15" s="1656">
        <f t="shared" si="4"/>
        <v>1</v>
      </c>
      <c r="AC15" s="1656">
        <f t="shared" si="5"/>
        <v>1</v>
      </c>
    </row>
    <row r="16" spans="1:30" ht="15">
      <c r="A16" s="1595"/>
      <c r="B16" s="1899"/>
      <c r="C16" s="1900"/>
      <c r="D16" s="1659"/>
      <c r="E16" s="1660"/>
      <c r="F16" s="1659"/>
      <c r="G16" s="1660"/>
      <c r="H16" s="1663"/>
      <c r="I16" s="1662"/>
      <c r="J16" s="1659"/>
      <c r="K16" s="1894"/>
      <c r="L16" s="2916"/>
      <c r="M16" s="2912"/>
      <c r="N16" s="2912"/>
      <c r="O16" s="2960"/>
      <c r="P16" s="3595"/>
      <c r="Q16" s="1543"/>
      <c r="R16" s="1653"/>
      <c r="S16" s="1654"/>
      <c r="T16" s="1653"/>
      <c r="U16" s="1654"/>
      <c r="V16" s="1653"/>
      <c r="W16" s="1654"/>
      <c r="X16" s="1593"/>
      <c r="Y16" s="3595"/>
      <c r="Z16" s="1655"/>
      <c r="AA16" s="1656">
        <v>1</v>
      </c>
      <c r="AB16" s="1656">
        <v>1</v>
      </c>
      <c r="AC16" s="1656">
        <v>1</v>
      </c>
    </row>
    <row r="17" spans="1:29" ht="71.25">
      <c r="A17" s="1595"/>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595"/>
      <c r="Q17" s="1543" t="str">
        <f>B17</f>
        <v>商业繁华度</v>
      </c>
      <c r="R17" s="1653" t="s">
        <v>25</v>
      </c>
      <c r="S17" s="1654">
        <f>F17</f>
        <v>100</v>
      </c>
      <c r="T17" s="1653" t="s">
        <v>25</v>
      </c>
      <c r="U17" s="1654">
        <f>H17</f>
        <v>100</v>
      </c>
      <c r="V17" s="1653" t="s">
        <v>25</v>
      </c>
      <c r="W17" s="1654">
        <f>J17</f>
        <v>100</v>
      </c>
      <c r="X17" s="1593"/>
      <c r="Y17" s="3595"/>
      <c r="Z17" s="1655" t="str">
        <f>Q17</f>
        <v>商业繁华度</v>
      </c>
      <c r="AA17" s="1656">
        <f t="shared" si="3"/>
        <v>1</v>
      </c>
      <c r="AB17" s="1656">
        <f t="shared" si="4"/>
        <v>1</v>
      </c>
      <c r="AC17" s="1656">
        <f t="shared" si="5"/>
        <v>1</v>
      </c>
    </row>
    <row r="18" spans="1:29" ht="15">
      <c r="A18" s="1595"/>
      <c r="B18" s="1903"/>
      <c r="C18" s="1904"/>
      <c r="D18" s="1663"/>
      <c r="E18" s="1673"/>
      <c r="F18" s="1663"/>
      <c r="G18" s="1673"/>
      <c r="H18" s="1659"/>
      <c r="I18" s="1674"/>
      <c r="J18" s="1659"/>
      <c r="K18" s="1894"/>
      <c r="L18" s="2916"/>
      <c r="M18" s="2912"/>
      <c r="N18" s="2912"/>
      <c r="O18" s="2960"/>
      <c r="P18" s="3595"/>
      <c r="Q18" s="1543"/>
      <c r="R18" s="1653"/>
      <c r="S18" s="1654"/>
      <c r="T18" s="1653"/>
      <c r="U18" s="1654"/>
      <c r="V18" s="1653"/>
      <c r="W18" s="1654"/>
      <c r="X18" s="1593"/>
      <c r="Y18" s="3595"/>
      <c r="Z18" s="1655"/>
      <c r="AA18" s="1656">
        <v>1</v>
      </c>
      <c r="AB18" s="1656">
        <v>1</v>
      </c>
      <c r="AC18" s="1656">
        <v>1</v>
      </c>
    </row>
    <row r="19" spans="1:29" ht="71.25">
      <c r="A19" s="1595"/>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595"/>
      <c r="Q19" s="1543" t="str">
        <f>B19</f>
        <v>办公集聚程度</v>
      </c>
      <c r="R19" s="1653" t="s">
        <v>25</v>
      </c>
      <c r="S19" s="1654">
        <f>F19</f>
        <v>100</v>
      </c>
      <c r="T19" s="1653" t="s">
        <v>25</v>
      </c>
      <c r="U19" s="1654">
        <f>H19</f>
        <v>100</v>
      </c>
      <c r="V19" s="1653" t="s">
        <v>25</v>
      </c>
      <c r="W19" s="1654">
        <f>J19</f>
        <v>100</v>
      </c>
      <c r="X19" s="1593"/>
      <c r="Y19" s="3595"/>
      <c r="Z19" s="1655" t="str">
        <f>Q19</f>
        <v>办公集聚程度</v>
      </c>
      <c r="AA19" s="1656">
        <f t="shared" si="3"/>
        <v>1</v>
      </c>
      <c r="AB19" s="1656">
        <f t="shared" si="4"/>
        <v>1</v>
      </c>
      <c r="AC19" s="1656">
        <f t="shared" si="5"/>
        <v>1</v>
      </c>
    </row>
    <row r="20" spans="1:29" ht="15">
      <c r="A20" s="1595"/>
      <c r="B20" s="1903"/>
      <c r="C20" s="1900"/>
      <c r="D20" s="1659"/>
      <c r="E20" s="1660"/>
      <c r="F20" s="1659"/>
      <c r="G20" s="1660"/>
      <c r="H20" s="1659"/>
      <c r="I20" s="1662"/>
      <c r="J20" s="1659"/>
      <c r="K20" s="1894"/>
      <c r="L20" s="2916"/>
      <c r="M20" s="2912"/>
      <c r="N20" s="2912"/>
      <c r="O20" s="2960"/>
      <c r="P20" s="3595"/>
      <c r="Q20" s="1543"/>
      <c r="R20" s="1653"/>
      <c r="S20" s="1654"/>
      <c r="T20" s="1653"/>
      <c r="U20" s="1654"/>
      <c r="V20" s="1653"/>
      <c r="W20" s="1654"/>
      <c r="X20" s="1593"/>
      <c r="Y20" s="3595"/>
      <c r="Z20" s="1655"/>
      <c r="AA20" s="1656">
        <v>1</v>
      </c>
      <c r="AB20" s="1656">
        <v>1</v>
      </c>
      <c r="AC20" s="1656">
        <v>1</v>
      </c>
    </row>
    <row r="21" spans="1:29" ht="85.5">
      <c r="A21" s="1595"/>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595"/>
      <c r="Q21" s="1543" t="str">
        <f>B21</f>
        <v>交通便捷度</v>
      </c>
      <c r="R21" s="1653" t="s">
        <v>25</v>
      </c>
      <c r="S21" s="1654">
        <f>F21</f>
        <v>100</v>
      </c>
      <c r="T21" s="1653" t="s">
        <v>25</v>
      </c>
      <c r="U21" s="1654">
        <f>H21</f>
        <v>100</v>
      </c>
      <c r="V21" s="1653" t="s">
        <v>25</v>
      </c>
      <c r="W21" s="1654">
        <f>J21</f>
        <v>100</v>
      </c>
      <c r="X21" s="1593"/>
      <c r="Y21" s="3595"/>
      <c r="Z21" s="1655" t="str">
        <f>Q21</f>
        <v>交通便捷度</v>
      </c>
      <c r="AA21" s="1656">
        <f t="shared" si="3"/>
        <v>1</v>
      </c>
      <c r="AB21" s="1656">
        <f t="shared" si="4"/>
        <v>1</v>
      </c>
      <c r="AC21" s="1656">
        <f t="shared" si="5"/>
        <v>1</v>
      </c>
    </row>
    <row r="22" spans="1:29" ht="15">
      <c r="A22" s="1595"/>
      <c r="B22" s="1906"/>
      <c r="C22" s="1900"/>
      <c r="D22" s="1663"/>
      <c r="E22" s="1660"/>
      <c r="F22" s="1659"/>
      <c r="G22" s="1660"/>
      <c r="H22" s="1659"/>
      <c r="I22" s="1662"/>
      <c r="J22" s="1659"/>
      <c r="K22" s="1894"/>
      <c r="L22" s="2916"/>
      <c r="M22" s="2912"/>
      <c r="N22" s="2912"/>
      <c r="O22" s="2960"/>
      <c r="P22" s="3595"/>
      <c r="Q22" s="1543"/>
      <c r="R22" s="1653"/>
      <c r="S22" s="1654"/>
      <c r="T22" s="1653"/>
      <c r="U22" s="1654"/>
      <c r="V22" s="1653"/>
      <c r="W22" s="1654"/>
      <c r="X22" s="1593"/>
      <c r="Y22" s="3595"/>
      <c r="Z22" s="1655"/>
      <c r="AA22" s="1656">
        <v>1</v>
      </c>
      <c r="AB22" s="1656">
        <v>1</v>
      </c>
      <c r="AC22" s="1656">
        <v>1</v>
      </c>
    </row>
    <row r="23" spans="1:29" ht="15">
      <c r="A23" s="1595"/>
      <c r="B23" s="1385"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595"/>
      <c r="Q23" s="1543" t="str">
        <f t="shared" ref="Q23:Q37" si="8">B23</f>
        <v>区域土地利用方向</v>
      </c>
      <c r="R23" s="1653" t="s">
        <v>25</v>
      </c>
      <c r="S23" s="1654">
        <f>F23</f>
        <v>100</v>
      </c>
      <c r="T23" s="1653" t="s">
        <v>25</v>
      </c>
      <c r="U23" s="1654">
        <f>H23</f>
        <v>100</v>
      </c>
      <c r="V23" s="1653" t="s">
        <v>25</v>
      </c>
      <c r="W23" s="1654">
        <f>J23</f>
        <v>100</v>
      </c>
      <c r="X23" s="1593"/>
      <c r="Y23" s="3595"/>
      <c r="Z23" s="1655" t="str">
        <f>Q23</f>
        <v>区域土地利用方向</v>
      </c>
      <c r="AA23" s="1656">
        <f t="shared" si="3"/>
        <v>1</v>
      </c>
      <c r="AB23" s="1656">
        <f t="shared" si="4"/>
        <v>1</v>
      </c>
      <c r="AC23" s="1656">
        <f t="shared" si="5"/>
        <v>1</v>
      </c>
    </row>
    <row r="24" spans="1:29" ht="15">
      <c r="A24" s="1595"/>
      <c r="B24" s="1386"/>
      <c r="C24" s="1908"/>
      <c r="D24" s="1659"/>
      <c r="E24" s="1660"/>
      <c r="F24" s="1659"/>
      <c r="G24" s="1662"/>
      <c r="H24" s="1659"/>
      <c r="I24" s="1662"/>
      <c r="J24" s="1659"/>
      <c r="K24" s="1909"/>
      <c r="L24" s="2916"/>
      <c r="M24" s="2912"/>
      <c r="N24" s="2912"/>
      <c r="O24" s="2960"/>
      <c r="P24" s="3595"/>
      <c r="Q24" s="1543"/>
      <c r="R24" s="1653"/>
      <c r="S24" s="1654"/>
      <c r="T24" s="1653"/>
      <c r="U24" s="1654"/>
      <c r="V24" s="1653"/>
      <c r="W24" s="1654"/>
      <c r="X24" s="1593"/>
      <c r="Y24" s="3595"/>
      <c r="Z24" s="1655"/>
      <c r="AA24" s="1656"/>
      <c r="AB24" s="1656"/>
      <c r="AC24" s="1656"/>
    </row>
    <row r="25" spans="1:29" ht="57">
      <c r="A25" s="1595"/>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595"/>
      <c r="Q25" s="1543" t="str">
        <f t="shared" si="8"/>
        <v>自然及人文环境状况</v>
      </c>
      <c r="R25" s="1653" t="s">
        <v>25</v>
      </c>
      <c r="S25" s="1654">
        <f>F25</f>
        <v>100</v>
      </c>
      <c r="T25" s="1653" t="s">
        <v>25</v>
      </c>
      <c r="U25" s="1654">
        <f>H25</f>
        <v>100</v>
      </c>
      <c r="V25" s="1653" t="s">
        <v>25</v>
      </c>
      <c r="W25" s="1654">
        <f>J25</f>
        <v>100</v>
      </c>
      <c r="X25" s="1593"/>
      <c r="Y25" s="3595"/>
      <c r="Z25" s="1655" t="str">
        <f>Q25</f>
        <v>自然及人文环境状况</v>
      </c>
      <c r="AA25" s="1656">
        <f t="shared" si="3"/>
        <v>1</v>
      </c>
      <c r="AB25" s="1656">
        <f t="shared" si="4"/>
        <v>1</v>
      </c>
      <c r="AC25" s="1656">
        <f t="shared" si="5"/>
        <v>1</v>
      </c>
    </row>
    <row r="26" spans="1:29" ht="15">
      <c r="A26" s="1595"/>
      <c r="B26" s="1903"/>
      <c r="C26" s="1900"/>
      <c r="D26" s="1659"/>
      <c r="E26" s="1900"/>
      <c r="F26" s="1659"/>
      <c r="G26" s="1900"/>
      <c r="H26" s="1659"/>
      <c r="I26" s="1658"/>
      <c r="J26" s="1659"/>
      <c r="K26" s="1894"/>
      <c r="L26" s="2916"/>
      <c r="M26" s="2912"/>
      <c r="N26" s="2912"/>
      <c r="O26" s="2960"/>
      <c r="P26" s="3595"/>
      <c r="Q26" s="1543"/>
      <c r="R26" s="1653"/>
      <c r="S26" s="1654"/>
      <c r="T26" s="1653"/>
      <c r="U26" s="1654"/>
      <c r="V26" s="1653"/>
      <c r="W26" s="1654"/>
      <c r="X26" s="1593"/>
      <c r="Y26" s="3595"/>
      <c r="Z26" s="1655"/>
      <c r="AA26" s="1656">
        <v>1</v>
      </c>
      <c r="AB26" s="1656">
        <v>1</v>
      </c>
      <c r="AC26" s="1656">
        <v>1</v>
      </c>
    </row>
    <row r="27" spans="1:29" ht="42.75">
      <c r="A27" s="1595"/>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595"/>
      <c r="Q27" s="1562" t="str">
        <f t="shared" ref="Q27" si="9">B27</f>
        <v>公共配套设施</v>
      </c>
      <c r="R27" s="1608" t="s">
        <v>25</v>
      </c>
      <c r="S27" s="1609">
        <f>F27</f>
        <v>100</v>
      </c>
      <c r="T27" s="1608" t="s">
        <v>25</v>
      </c>
      <c r="U27" s="1609">
        <f>H27</f>
        <v>100</v>
      </c>
      <c r="V27" s="1608" t="s">
        <v>25</v>
      </c>
      <c r="W27" s="1609">
        <f>J27</f>
        <v>100</v>
      </c>
      <c r="X27" s="1593"/>
      <c r="Y27" s="3595"/>
      <c r="Z27" s="1621" t="str">
        <f>Q27</f>
        <v>公共配套设施</v>
      </c>
      <c r="AA27" s="1656">
        <f>D27/F27</f>
        <v>1</v>
      </c>
      <c r="AB27" s="1656">
        <f>D27/H27</f>
        <v>1</v>
      </c>
      <c r="AC27" s="1656">
        <f>D27/J27</f>
        <v>1</v>
      </c>
    </row>
    <row r="28" spans="1:29" ht="15">
      <c r="A28" s="1595"/>
      <c r="B28" s="1903"/>
      <c r="C28" s="1911"/>
      <c r="D28" s="1659"/>
      <c r="E28" s="1911"/>
      <c r="F28" s="1659"/>
      <c r="G28" s="1911"/>
      <c r="H28" s="1659"/>
      <c r="I28" s="1911"/>
      <c r="J28" s="1659"/>
      <c r="K28" s="1894"/>
      <c r="L28" s="2916"/>
      <c r="M28" s="2912"/>
      <c r="N28" s="2912"/>
      <c r="O28" s="2960"/>
      <c r="P28" s="3595"/>
      <c r="Q28" s="1543"/>
      <c r="R28" s="1653"/>
      <c r="S28" s="1654"/>
      <c r="T28" s="1653"/>
      <c r="U28" s="1654"/>
      <c r="V28" s="1653"/>
      <c r="W28" s="1654"/>
      <c r="X28" s="1593"/>
      <c r="Y28" s="3595"/>
      <c r="Z28" s="1621"/>
      <c r="AA28" s="1656">
        <v>1</v>
      </c>
      <c r="AB28" s="1656">
        <v>1</v>
      </c>
      <c r="AC28" s="1656">
        <v>1</v>
      </c>
    </row>
    <row r="29" spans="1:29" s="1612"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595"/>
      <c r="Q29" s="1562" t="str">
        <f t="shared" si="8"/>
        <v>基础设施水平</v>
      </c>
      <c r="R29" s="1608" t="s">
        <v>25</v>
      </c>
      <c r="S29" s="1609">
        <f>F29</f>
        <v>100</v>
      </c>
      <c r="T29" s="1608" t="s">
        <v>25</v>
      </c>
      <c r="U29" s="1609">
        <f>H29</f>
        <v>100</v>
      </c>
      <c r="V29" s="1608" t="s">
        <v>25</v>
      </c>
      <c r="W29" s="1609">
        <f>J29</f>
        <v>100</v>
      </c>
      <c r="X29" s="1610"/>
      <c r="Y29" s="3595"/>
      <c r="Z29" s="1621" t="str">
        <f>Q29</f>
        <v>基础设施水平</v>
      </c>
      <c r="AA29" s="1656">
        <f>D29/F29</f>
        <v>1</v>
      </c>
      <c r="AB29" s="1656">
        <f>D29/H29</f>
        <v>1</v>
      </c>
      <c r="AC29" s="1656">
        <f>D29/J29</f>
        <v>1</v>
      </c>
    </row>
    <row r="30" spans="1:29" s="1612" customFormat="1" ht="15">
      <c r="A30" s="1912"/>
      <c r="B30" s="1903"/>
      <c r="C30" s="1911"/>
      <c r="D30" s="1659"/>
      <c r="E30" s="1911"/>
      <c r="F30" s="1659"/>
      <c r="G30" s="1911"/>
      <c r="H30" s="1659"/>
      <c r="I30" s="1911"/>
      <c r="J30" s="1659"/>
      <c r="K30" s="1894"/>
      <c r="L30" s="2911"/>
      <c r="M30" s="2884"/>
      <c r="N30" s="2884"/>
      <c r="O30" s="2958"/>
      <c r="P30" s="3595"/>
      <c r="Q30" s="1562"/>
      <c r="R30" s="1608"/>
      <c r="S30" s="1609"/>
      <c r="T30" s="1608"/>
      <c r="U30" s="1609"/>
      <c r="V30" s="1608"/>
      <c r="W30" s="1609"/>
      <c r="X30" s="1610"/>
      <c r="Y30" s="3595"/>
      <c r="Z30" s="1621"/>
      <c r="AA30" s="1656">
        <v>1</v>
      </c>
      <c r="AB30" s="1656">
        <v>1</v>
      </c>
      <c r="AC30" s="1656">
        <v>1</v>
      </c>
    </row>
    <row r="31" spans="1:29" ht="15">
      <c r="A31" s="1595"/>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595"/>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95"/>
      <c r="Z31" s="1655" t="str">
        <f t="shared" ref="Z31:Z45" si="13">Q31</f>
        <v>临街状况</v>
      </c>
      <c r="AA31" s="1656">
        <f t="shared" si="3"/>
        <v>1</v>
      </c>
      <c r="AB31" s="1656">
        <f t="shared" si="4"/>
        <v>1</v>
      </c>
      <c r="AC31" s="1656">
        <f t="shared" si="5"/>
        <v>1</v>
      </c>
    </row>
    <row r="32" spans="1:29" ht="27">
      <c r="A32" s="1595"/>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595"/>
      <c r="Q32" s="1543" t="str">
        <f t="shared" si="8"/>
        <v>毗邻道路的类型与等级</v>
      </c>
      <c r="R32" s="1653" t="s">
        <v>25</v>
      </c>
      <c r="S32" s="1654">
        <f t="shared" si="10"/>
        <v>100</v>
      </c>
      <c r="T32" s="1653" t="s">
        <v>25</v>
      </c>
      <c r="U32" s="1654">
        <f t="shared" si="11"/>
        <v>100</v>
      </c>
      <c r="V32" s="1653" t="s">
        <v>25</v>
      </c>
      <c r="W32" s="1654">
        <f t="shared" si="12"/>
        <v>100</v>
      </c>
      <c r="X32" s="1593"/>
      <c r="Y32" s="3595"/>
      <c r="Z32" s="1655" t="str">
        <f t="shared" si="13"/>
        <v>毗邻道路的类型与等级</v>
      </c>
      <c r="AA32" s="1656">
        <f t="shared" si="3"/>
        <v>1</v>
      </c>
      <c r="AB32" s="1656">
        <f t="shared" si="4"/>
        <v>1</v>
      </c>
      <c r="AC32" s="1656">
        <f t="shared" si="5"/>
        <v>1</v>
      </c>
    </row>
    <row r="33" spans="1:29" ht="15">
      <c r="A33" s="1595"/>
      <c r="B33" s="1903"/>
      <c r="C33" s="1900"/>
      <c r="D33" s="1659"/>
      <c r="E33" s="1900"/>
      <c r="F33" s="1659"/>
      <c r="G33" s="1900"/>
      <c r="H33" s="1659"/>
      <c r="I33" s="1658"/>
      <c r="J33" s="1659"/>
      <c r="K33" s="1914"/>
      <c r="L33" s="2916"/>
      <c r="M33" s="2912"/>
      <c r="N33" s="2912"/>
      <c r="O33" s="2960"/>
      <c r="P33" s="3595"/>
      <c r="Q33" s="1543"/>
      <c r="R33" s="1653"/>
      <c r="S33" s="1654"/>
      <c r="T33" s="1653"/>
      <c r="U33" s="1654"/>
      <c r="V33" s="1653"/>
      <c r="W33" s="1654"/>
      <c r="X33" s="1593"/>
      <c r="Y33" s="3595"/>
      <c r="Z33" s="1655"/>
      <c r="AA33" s="1656">
        <v>1</v>
      </c>
      <c r="AB33" s="1656">
        <v>1</v>
      </c>
      <c r="AC33" s="1656">
        <v>1</v>
      </c>
    </row>
    <row r="34" spans="1:29" ht="15">
      <c r="A34" s="1595"/>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595"/>
      <c r="Q34" s="1543" t="str">
        <f t="shared" si="8"/>
        <v>土地级别</v>
      </c>
      <c r="R34" s="1653" t="s">
        <v>25</v>
      </c>
      <c r="S34" s="1654">
        <f t="shared" si="10"/>
        <v>100</v>
      </c>
      <c r="T34" s="1653" t="s">
        <v>25</v>
      </c>
      <c r="U34" s="1654">
        <f t="shared" si="11"/>
        <v>100</v>
      </c>
      <c r="V34" s="1653" t="s">
        <v>25</v>
      </c>
      <c r="W34" s="1654">
        <f t="shared" si="12"/>
        <v>100</v>
      </c>
      <c r="X34" s="1593"/>
      <c r="Y34" s="3595"/>
      <c r="Z34" s="1655" t="str">
        <f t="shared" si="13"/>
        <v>土地级别</v>
      </c>
      <c r="AA34" s="1656">
        <f t="shared" si="3"/>
        <v>1</v>
      </c>
      <c r="AB34" s="1656">
        <f t="shared" si="4"/>
        <v>1</v>
      </c>
      <c r="AC34" s="1656">
        <f t="shared" si="5"/>
        <v>1</v>
      </c>
    </row>
    <row r="35" spans="1:29" ht="15">
      <c r="A35" s="1595"/>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595"/>
      <c r="Q35" s="1543">
        <f t="shared" si="8"/>
        <v>111</v>
      </c>
      <c r="R35" s="1653" t="s">
        <v>25</v>
      </c>
      <c r="S35" s="1654">
        <f t="shared" si="10"/>
        <v>100</v>
      </c>
      <c r="T35" s="1653" t="s">
        <v>25</v>
      </c>
      <c r="U35" s="1654">
        <f t="shared" si="11"/>
        <v>100</v>
      </c>
      <c r="V35" s="1653" t="s">
        <v>25</v>
      </c>
      <c r="W35" s="1654">
        <f t="shared" si="12"/>
        <v>100</v>
      </c>
      <c r="X35" s="1593"/>
      <c r="Y35" s="3595"/>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596" t="s">
        <v>2037</v>
      </c>
      <c r="Q36" s="1543">
        <f t="shared" si="8"/>
        <v>111</v>
      </c>
      <c r="R36" s="1653" t="s">
        <v>25</v>
      </c>
      <c r="S36" s="1654">
        <f t="shared" si="10"/>
        <v>100</v>
      </c>
      <c r="T36" s="1653" t="s">
        <v>25</v>
      </c>
      <c r="U36" s="1654">
        <f t="shared" si="11"/>
        <v>100</v>
      </c>
      <c r="V36" s="1653" t="s">
        <v>25</v>
      </c>
      <c r="W36" s="1654">
        <f t="shared" si="12"/>
        <v>100</v>
      </c>
      <c r="X36" s="1593"/>
      <c r="Y36" s="3597"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597"/>
      <c r="Q37" s="1543">
        <f t="shared" si="8"/>
        <v>111</v>
      </c>
      <c r="R37" s="1694" t="s">
        <v>25</v>
      </c>
      <c r="S37" s="1695">
        <f t="shared" si="10"/>
        <v>100</v>
      </c>
      <c r="T37" s="1694" t="s">
        <v>25</v>
      </c>
      <c r="U37" s="1695">
        <f t="shared" si="11"/>
        <v>100</v>
      </c>
      <c r="V37" s="1694" t="s">
        <v>25</v>
      </c>
      <c r="W37" s="1695">
        <f t="shared" si="12"/>
        <v>100</v>
      </c>
      <c r="X37" s="1696"/>
      <c r="Y37" s="3597"/>
      <c r="Z37" s="1697">
        <f t="shared" si="13"/>
        <v>111</v>
      </c>
      <c r="AA37" s="1656">
        <f t="shared" si="3"/>
        <v>1</v>
      </c>
      <c r="AB37" s="1656">
        <f t="shared" si="4"/>
        <v>1</v>
      </c>
      <c r="AC37" s="1656">
        <f t="shared" si="5"/>
        <v>1</v>
      </c>
    </row>
    <row r="38" spans="1:29" ht="15">
      <c r="A38" s="1590"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597"/>
      <c r="Q38" s="1543" t="str">
        <f>B38</f>
        <v>宗地面积</v>
      </c>
      <c r="R38" s="1653" t="s">
        <v>25</v>
      </c>
      <c r="S38" s="1654" t="e">
        <f t="shared" si="10"/>
        <v>#N/A</v>
      </c>
      <c r="T38" s="1653" t="s">
        <v>25</v>
      </c>
      <c r="U38" s="1654" t="e">
        <f t="shared" si="11"/>
        <v>#N/A</v>
      </c>
      <c r="V38" s="1653" t="s">
        <v>25</v>
      </c>
      <c r="W38" s="1654" t="e">
        <f t="shared" si="12"/>
        <v>#N/A</v>
      </c>
      <c r="X38" s="1593"/>
      <c r="Y38" s="3597"/>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597"/>
      <c r="Q39" s="1543" t="str">
        <f t="shared" ref="Q39:Q45" si="14">B39</f>
        <v>宗地形状</v>
      </c>
      <c r="R39" s="1653" t="s">
        <v>25</v>
      </c>
      <c r="S39" s="1654">
        <f t="shared" si="10"/>
        <v>100</v>
      </c>
      <c r="T39" s="1653" t="s">
        <v>25</v>
      </c>
      <c r="U39" s="1654">
        <f t="shared" si="11"/>
        <v>100</v>
      </c>
      <c r="V39" s="1653" t="s">
        <v>25</v>
      </c>
      <c r="W39" s="1654">
        <f t="shared" si="12"/>
        <v>100</v>
      </c>
      <c r="X39" s="1593"/>
      <c r="Y39" s="3597"/>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597"/>
      <c r="Q40" s="1543" t="str">
        <f t="shared" si="14"/>
        <v>临街宽度及深度</v>
      </c>
      <c r="R40" s="1653" t="s">
        <v>25</v>
      </c>
      <c r="S40" s="1654">
        <f t="shared" si="10"/>
        <v>100</v>
      </c>
      <c r="T40" s="1653" t="s">
        <v>25</v>
      </c>
      <c r="U40" s="1654">
        <f t="shared" si="11"/>
        <v>100</v>
      </c>
      <c r="V40" s="1653" t="s">
        <v>25</v>
      </c>
      <c r="W40" s="1654">
        <f t="shared" si="12"/>
        <v>100</v>
      </c>
      <c r="X40" s="1593"/>
      <c r="Y40" s="3597"/>
      <c r="Z40" s="1655" t="str">
        <f t="shared" si="13"/>
        <v>临街宽度及深度</v>
      </c>
      <c r="AA40" s="1656">
        <f t="shared" si="3"/>
        <v>1</v>
      </c>
      <c r="AB40" s="1656">
        <f t="shared" si="4"/>
        <v>1</v>
      </c>
      <c r="AC40" s="1656">
        <f t="shared" si="5"/>
        <v>1</v>
      </c>
    </row>
    <row r="41" spans="1:29" s="1612"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597"/>
      <c r="Q41" s="1543" t="str">
        <f t="shared" si="14"/>
        <v>宗地开发程度</v>
      </c>
      <c r="R41" s="1608" t="s">
        <v>25</v>
      </c>
      <c r="S41" s="1609">
        <f t="shared" si="10"/>
        <v>100</v>
      </c>
      <c r="T41" s="1608" t="s">
        <v>25</v>
      </c>
      <c r="U41" s="1609">
        <f t="shared" si="11"/>
        <v>100</v>
      </c>
      <c r="V41" s="1608" t="s">
        <v>25</v>
      </c>
      <c r="W41" s="1609">
        <f t="shared" si="12"/>
        <v>100</v>
      </c>
      <c r="X41" s="1610"/>
      <c r="Y41" s="3597"/>
      <c r="Z41" s="1621" t="str">
        <f t="shared" si="13"/>
        <v>宗地开发程度</v>
      </c>
      <c r="AA41" s="1611">
        <f t="shared" si="3"/>
        <v>1</v>
      </c>
      <c r="AB41" s="1611">
        <f t="shared" si="4"/>
        <v>1</v>
      </c>
      <c r="AC41" s="1611">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597" t="s">
        <v>2037</v>
      </c>
      <c r="Q42" s="1543" t="str">
        <f t="shared" si="14"/>
        <v>工程地质条件</v>
      </c>
      <c r="R42" s="1653" t="s">
        <v>25</v>
      </c>
      <c r="S42" s="1654">
        <f t="shared" si="10"/>
        <v>100</v>
      </c>
      <c r="T42" s="1653" t="s">
        <v>25</v>
      </c>
      <c r="U42" s="1654">
        <f t="shared" si="11"/>
        <v>100</v>
      </c>
      <c r="V42" s="1653" t="s">
        <v>25</v>
      </c>
      <c r="W42" s="1654">
        <f t="shared" si="12"/>
        <v>100</v>
      </c>
      <c r="X42" s="1593"/>
      <c r="Y42" s="3597"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597"/>
      <c r="Q43" s="1543">
        <f t="shared" si="14"/>
        <v>111</v>
      </c>
      <c r="R43" s="1653" t="s">
        <v>25</v>
      </c>
      <c r="S43" s="1654">
        <f t="shared" si="10"/>
        <v>100</v>
      </c>
      <c r="T43" s="1653" t="s">
        <v>25</v>
      </c>
      <c r="U43" s="1654">
        <f t="shared" si="11"/>
        <v>100</v>
      </c>
      <c r="V43" s="1653" t="s">
        <v>25</v>
      </c>
      <c r="W43" s="1654">
        <f t="shared" si="12"/>
        <v>100</v>
      </c>
      <c r="X43" s="1593"/>
      <c r="Y43" s="3597"/>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597"/>
      <c r="Q44" s="1543">
        <f t="shared" si="14"/>
        <v>111</v>
      </c>
      <c r="R44" s="1653" t="s">
        <v>25</v>
      </c>
      <c r="S44" s="1654">
        <f t="shared" si="10"/>
        <v>100</v>
      </c>
      <c r="T44" s="1653" t="s">
        <v>25</v>
      </c>
      <c r="U44" s="1654">
        <f t="shared" si="11"/>
        <v>100</v>
      </c>
      <c r="V44" s="1653" t="s">
        <v>25</v>
      </c>
      <c r="W44" s="1654">
        <f t="shared" si="12"/>
        <v>100</v>
      </c>
      <c r="X44" s="1593"/>
      <c r="Y44" s="3597"/>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597"/>
      <c r="Q45" s="1543">
        <f t="shared" si="14"/>
        <v>111</v>
      </c>
      <c r="R45" s="1694" t="s">
        <v>25</v>
      </c>
      <c r="S45" s="1695">
        <f t="shared" si="10"/>
        <v>100</v>
      </c>
      <c r="T45" s="1694" t="s">
        <v>25</v>
      </c>
      <c r="U45" s="1695">
        <f t="shared" si="11"/>
        <v>100</v>
      </c>
      <c r="V45" s="1694" t="s">
        <v>25</v>
      </c>
      <c r="W45" s="1695">
        <f t="shared" si="12"/>
        <v>100</v>
      </c>
      <c r="X45" s="1696"/>
      <c r="Y45" s="3597"/>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566" t="str">
        <f>A46</f>
        <v>成交单价</v>
      </c>
      <c r="Q46" s="3566"/>
      <c r="R46" s="3590">
        <f>E46</f>
        <v>0</v>
      </c>
      <c r="S46" s="3590"/>
      <c r="T46" s="3590">
        <f>G46</f>
        <v>0</v>
      </c>
      <c r="U46" s="3590"/>
      <c r="V46" s="3590">
        <f>I46</f>
        <v>0</v>
      </c>
      <c r="W46" s="3590"/>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566" t="str">
        <f>A47</f>
        <v>比较价值（元/平方米）</v>
      </c>
      <c r="Q47" s="3566"/>
      <c r="R47" s="3681" t="e">
        <f>ROUND(PRODUCT(R46,AA7:AA45),0)</f>
        <v>#DIV/0!</v>
      </c>
      <c r="S47" s="3681"/>
      <c r="T47" s="3681" t="e">
        <f>ROUND(PRODUCT(T46,AB7:AB45),0)</f>
        <v>#DIV/0!</v>
      </c>
      <c r="U47" s="3681"/>
      <c r="V47" s="3681" t="e">
        <f>ROUND(PRODUCT(V46,AC7:AC45),0)</f>
        <v>#DIV/0!</v>
      </c>
      <c r="W47" s="3681"/>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600" t="str">
        <f>A48</f>
        <v>估价对象XX用房的比较价值（楼面单价，元/平方米）</v>
      </c>
      <c r="Q48" s="3601"/>
      <c r="R48" s="3682" t="e">
        <f>ROUND(IF(D47="简单平均",AVERAGE(R47:W47),R47*F47+T47*H47+V47*J47),0)</f>
        <v>#DIV/0!</v>
      </c>
      <c r="S48" s="3682"/>
      <c r="T48" s="3682"/>
      <c r="U48" s="3682"/>
      <c r="V48" s="3682"/>
      <c r="W48" s="3682"/>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1"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v>
      </c>
      <c r="D57" s="1959">
        <v>0.25</v>
      </c>
      <c r="E57" s="1953">
        <v>0</v>
      </c>
      <c r="F57" s="1954" t="e">
        <f t="shared" si="15"/>
        <v>#DIV/0!</v>
      </c>
      <c r="G57" s="1955">
        <f>SUMIF(修正!$A$57:$A$68,项目基本情况!$F$9,修正!B57:B68)</f>
        <v>0</v>
      </c>
      <c r="H57" s="1960"/>
      <c r="I57" s="1594"/>
      <c r="J57" s="1834"/>
      <c r="K57" s="1835"/>
      <c r="L57" s="1835"/>
      <c r="M57" s="1594"/>
      <c r="N57" s="1594"/>
    </row>
    <row r="58" spans="1:14" s="1956" customFormat="1">
      <c r="A58" s="1957" t="s">
        <v>2227</v>
      </c>
      <c r="B58" s="1958" t="e">
        <f t="shared" ref="B58:B64" si="16">ROUND($C$48*C58*D58,0)</f>
        <v>#DIV/0!</v>
      </c>
      <c r="C58" s="50">
        <f t="shared" ref="C58:C64" si="17">IF($C$55="北京市系数",G58,H58)</f>
        <v>0</v>
      </c>
      <c r="D58" s="1959">
        <v>0.25</v>
      </c>
      <c r="E58" s="1953">
        <v>0</v>
      </c>
      <c r="F58" s="1954" t="e">
        <f t="shared" si="15"/>
        <v>#DIV/0!</v>
      </c>
      <c r="G58" s="1955">
        <f>SUMIF(修正!$A$57:$A$68,项目基本情况!$F$9,修正!C57:C68)</f>
        <v>0</v>
      </c>
      <c r="H58" s="1960"/>
      <c r="I58" s="1738"/>
      <c r="J58" s="1738"/>
      <c r="K58" s="2924"/>
      <c r="L58" s="2918"/>
      <c r="M58" s="1738"/>
      <c r="N58" s="1738"/>
    </row>
    <row r="59" spans="1:14" s="1956" customFormat="1">
      <c r="A59" s="1957" t="s">
        <v>2228</v>
      </c>
      <c r="B59" s="1958" t="e">
        <f t="shared" si="16"/>
        <v>#DIV/0!</v>
      </c>
      <c r="C59" s="50">
        <f t="shared" si="17"/>
        <v>0</v>
      </c>
      <c r="D59" s="1959">
        <v>0.25</v>
      </c>
      <c r="E59" s="1953">
        <v>0</v>
      </c>
      <c r="F59" s="1954" t="e">
        <f t="shared" si="15"/>
        <v>#DIV/0!</v>
      </c>
      <c r="G59" s="1955">
        <f>SUMIF(修正!$A$57:$A$68,项目基本情况!$F$9,修正!D57:D68)</f>
        <v>0</v>
      </c>
      <c r="H59" s="1960"/>
      <c r="I59" s="1594"/>
      <c r="J59" s="1834"/>
      <c r="K59" s="1835"/>
      <c r="L59" s="1835"/>
      <c r="M59" s="1594"/>
      <c r="N59" s="1594"/>
    </row>
    <row r="60" spans="1:14" s="1956" customFormat="1">
      <c r="A60" s="1957" t="s">
        <v>2229</v>
      </c>
      <c r="B60" s="1958" t="e">
        <f t="shared" si="16"/>
        <v>#DIV/0!</v>
      </c>
      <c r="C60" s="50">
        <f t="shared" si="17"/>
        <v>0</v>
      </c>
      <c r="D60" s="1959">
        <v>0.25</v>
      </c>
      <c r="E60" s="1953">
        <v>0</v>
      </c>
      <c r="F60" s="1954" t="e">
        <f t="shared" si="15"/>
        <v>#DIV/0!</v>
      </c>
      <c r="G60" s="1955">
        <f>SUMIF(修正!A57:A68,项目基本情况!F9,修正!E57:E68)</f>
        <v>0</v>
      </c>
      <c r="H60" s="1960"/>
      <c r="I60" s="1594"/>
      <c r="J60" s="1834"/>
      <c r="K60" s="1835"/>
      <c r="L60" s="1835"/>
      <c r="M60" s="1594"/>
      <c r="N60" s="1594"/>
    </row>
    <row r="61" spans="1:14" s="1956" customFormat="1">
      <c r="A61" s="1957" t="s">
        <v>2230</v>
      </c>
      <c r="B61" s="1958" t="e">
        <f t="shared" si="16"/>
        <v>#DIV/0!</v>
      </c>
      <c r="C61" s="50">
        <f t="shared" si="17"/>
        <v>0</v>
      </c>
      <c r="D61" s="1959">
        <v>0.25</v>
      </c>
      <c r="E61" s="1953">
        <v>0</v>
      </c>
      <c r="F61" s="1954" t="e">
        <f t="shared" si="15"/>
        <v>#DIV/0!</v>
      </c>
      <c r="G61" s="1955">
        <f>SUMIF(修正!A57:A68,项目基本情况!F9,修正!F57:F68)</f>
        <v>0</v>
      </c>
      <c r="H61" s="1960"/>
      <c r="I61" s="1738"/>
      <c r="J61" s="1738"/>
      <c r="K61" s="2924"/>
      <c r="L61" s="2918"/>
      <c r="M61" s="1738"/>
      <c r="N61" s="1738"/>
    </row>
    <row r="62" spans="1:14" s="1956" customFormat="1">
      <c r="A62" s="1957" t="s">
        <v>2231</v>
      </c>
      <c r="B62" s="1958" t="e">
        <f t="shared" si="16"/>
        <v>#DIV/0!</v>
      </c>
      <c r="C62" s="50">
        <f>IF($C$55="北京市系数",G62,H62)</f>
        <v>0</v>
      </c>
      <c r="D62" s="1959">
        <v>0.25</v>
      </c>
      <c r="E62" s="1953">
        <v>0</v>
      </c>
      <c r="F62" s="1954" t="e">
        <f t="shared" si="15"/>
        <v>#DIV/0!</v>
      </c>
      <c r="G62" s="1955">
        <f>SUMIF(修正!A57:A68,项目基本情况!F9,修正!G57:G68)</f>
        <v>0</v>
      </c>
      <c r="H62" s="1960"/>
      <c r="I62" s="1594"/>
      <c r="J62" s="1834"/>
      <c r="K62" s="1835"/>
      <c r="L62" s="1835"/>
      <c r="M62" s="1594"/>
      <c r="N62" s="1594"/>
    </row>
    <row r="63" spans="1:14" s="1956" customFormat="1">
      <c r="A63" s="1957" t="s">
        <v>2232</v>
      </c>
      <c r="B63" s="1958" t="e">
        <f t="shared" si="16"/>
        <v>#DIV/0!</v>
      </c>
      <c r="C63" s="50">
        <f t="shared" si="17"/>
        <v>0</v>
      </c>
      <c r="D63" s="1959">
        <v>0.25</v>
      </c>
      <c r="E63" s="1953">
        <v>0</v>
      </c>
      <c r="F63" s="1954" t="e">
        <f t="shared" si="15"/>
        <v>#DIV/0!</v>
      </c>
      <c r="G63" s="1955">
        <f>G62</f>
        <v>0</v>
      </c>
      <c r="H63" s="1960"/>
      <c r="I63" s="1738"/>
      <c r="J63" s="1738"/>
      <c r="K63" s="2924"/>
      <c r="L63" s="2918"/>
      <c r="M63" s="1738"/>
      <c r="N63" s="1738"/>
    </row>
    <row r="64" spans="1:14" s="1956" customFormat="1">
      <c r="A64" s="1957" t="s">
        <v>2233</v>
      </c>
      <c r="B64" s="1958" t="e">
        <f t="shared" si="16"/>
        <v>#DIV/0!</v>
      </c>
      <c r="C64" s="50">
        <f t="shared" si="17"/>
        <v>0</v>
      </c>
      <c r="D64" s="1959">
        <v>0.25</v>
      </c>
      <c r="E64" s="1953">
        <v>0</v>
      </c>
      <c r="F64" s="1954" t="e">
        <f t="shared" si="15"/>
        <v>#DIV/0!</v>
      </c>
      <c r="G64" s="1955">
        <f>G62</f>
        <v>0</v>
      </c>
      <c r="H64" s="1960"/>
      <c r="I64" s="1594"/>
      <c r="J64" s="1834"/>
      <c r="K64" s="1835"/>
      <c r="L64" s="1835"/>
      <c r="M64" s="1594"/>
      <c r="N64" s="1594"/>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2022-10-1</v>
      </c>
      <c r="D67" s="1965">
        <f>EDATE(C67,-3)</f>
        <v>44743</v>
      </c>
      <c r="E67" s="1965">
        <f t="shared" ref="E67:O67" si="18">EDATE(D67,-3)</f>
        <v>44652</v>
      </c>
      <c r="F67" s="1965">
        <f t="shared" si="18"/>
        <v>44562</v>
      </c>
      <c r="G67" s="1965">
        <f t="shared" si="18"/>
        <v>44470</v>
      </c>
      <c r="H67" s="1965">
        <f t="shared" si="18"/>
        <v>44378</v>
      </c>
      <c r="I67" s="1965">
        <f t="shared" si="18"/>
        <v>44287</v>
      </c>
      <c r="J67" s="1965">
        <f t="shared" si="18"/>
        <v>44197</v>
      </c>
      <c r="K67" s="1965">
        <f t="shared" si="18"/>
        <v>44105</v>
      </c>
      <c r="L67" s="1965">
        <f t="shared" si="18"/>
        <v>44013</v>
      </c>
      <c r="M67" s="1965">
        <f t="shared" si="18"/>
        <v>43922</v>
      </c>
      <c r="N67" s="1965">
        <f t="shared" si="18"/>
        <v>43831</v>
      </c>
      <c r="O67" s="1965">
        <f t="shared" si="18"/>
        <v>43739</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2022-4</v>
      </c>
      <c r="D69" s="1973" t="str">
        <f>YEAR(D67)&amp;"-"&amp;ROUNDUP(MONTH(D67)/3,0)</f>
        <v>2022-3</v>
      </c>
      <c r="E69" s="1973" t="str">
        <f t="shared" ref="E69:O69" si="19">YEAR(E67)&amp;"-"&amp;ROUNDUP(MONTH(E67)/3,0)</f>
        <v>2022-2</v>
      </c>
      <c r="F69" s="1973" t="str">
        <f t="shared" si="19"/>
        <v>2022-1</v>
      </c>
      <c r="G69" s="1973" t="str">
        <f t="shared" si="19"/>
        <v>2021-4</v>
      </c>
      <c r="H69" s="1973" t="str">
        <f t="shared" si="19"/>
        <v>2021-3</v>
      </c>
      <c r="I69" s="1973" t="str">
        <f t="shared" si="19"/>
        <v>2021-2</v>
      </c>
      <c r="J69" s="1973" t="str">
        <f t="shared" si="19"/>
        <v>2021-1</v>
      </c>
      <c r="K69" s="1973" t="str">
        <f t="shared" si="19"/>
        <v>2020-4</v>
      </c>
      <c r="L69" s="1973" t="str">
        <f t="shared" si="19"/>
        <v>2020-3</v>
      </c>
      <c r="M69" s="1973" t="str">
        <f t="shared" si="19"/>
        <v>2020-2</v>
      </c>
      <c r="N69" s="1973" t="str">
        <f t="shared" si="19"/>
        <v>2020-1</v>
      </c>
      <c r="O69" s="1973" t="str">
        <f t="shared" si="19"/>
        <v>2019-4</v>
      </c>
      <c r="P69" s="1974"/>
    </row>
    <row r="70" spans="1:17" s="1612" customFormat="1" ht="29.25" customHeight="1">
      <c r="A70" s="1976" t="s">
        <v>2236</v>
      </c>
      <c r="B70" s="1977" t="str">
        <f>"北京市平均增长率"&amp;TEXT(SUMIF(基准地价修正!N21:N25,A70,基准地价修正!P21:P25),"0.00%")</f>
        <v>北京市平均增长率0.95%</v>
      </c>
      <c r="C70" s="1830">
        <v>100</v>
      </c>
      <c r="D70" s="1826"/>
      <c r="E70" s="1826"/>
      <c r="F70" s="1826"/>
      <c r="G70" s="1826"/>
      <c r="H70" s="1826"/>
      <c r="I70" s="1826"/>
      <c r="J70" s="1826"/>
      <c r="K70" s="1826"/>
      <c r="L70" s="1826"/>
      <c r="M70" s="1978"/>
      <c r="N70" s="1826"/>
      <c r="O70" s="1979"/>
      <c r="P70" s="1746"/>
    </row>
    <row r="71" spans="1:17" s="1612"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2"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2"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2"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2"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2"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2"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2"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2"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5"/>
      <c r="I105" s="1505"/>
      <c r="J105" s="1505"/>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5"/>
      <c r="D107" s="1505"/>
      <c r="E107" s="1505"/>
      <c r="F107" s="1505"/>
      <c r="G107" s="1505"/>
      <c r="H107" s="1505"/>
      <c r="I107" s="1505"/>
      <c r="J107" s="1505"/>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5"/>
      <c r="H111" s="1505"/>
      <c r="I111" s="1505"/>
      <c r="J111" s="1505"/>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5"/>
      <c r="D118" s="1505"/>
      <c r="E118" s="1505"/>
      <c r="F118" s="1505"/>
      <c r="G118" s="1505"/>
      <c r="H118" s="1505"/>
      <c r="I118" s="1505"/>
      <c r="J118" s="1505"/>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5"/>
      <c r="G120" s="1505"/>
      <c r="H120" s="1505"/>
      <c r="I120" s="1505"/>
      <c r="J120" s="1505"/>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5"/>
      <c r="I122" s="1505"/>
      <c r="J122" s="1505"/>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5"/>
      <c r="F124" s="1505"/>
      <c r="G124" s="1505"/>
      <c r="H124" s="1505"/>
      <c r="I124" s="1505"/>
      <c r="J124" s="1505"/>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5"/>
      <c r="I126" s="1505"/>
      <c r="J126" s="1505"/>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5"/>
      <c r="H128" s="1505"/>
      <c r="I128" s="1505"/>
      <c r="J128" s="1505"/>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3"/>
      <c r="E1" s="613"/>
      <c r="F1" s="612" t="s">
        <v>2004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2204</v>
      </c>
      <c r="D2" s="2934"/>
      <c r="E2" s="2934"/>
      <c r="F2" s="2937"/>
      <c r="G2" s="2934"/>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2205</v>
      </c>
      <c r="D3" s="2934"/>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51" t="s">
        <v>2007</v>
      </c>
      <c r="D4" s="3652"/>
      <c r="E4" s="3653" t="s">
        <v>2008</v>
      </c>
      <c r="F4" s="3654"/>
      <c r="G4" s="3651" t="s">
        <v>2009</v>
      </c>
      <c r="H4" s="3652"/>
      <c r="I4" s="3651" t="s">
        <v>2010</v>
      </c>
      <c r="J4" s="3652"/>
      <c r="K4" s="496" t="s">
        <v>2011</v>
      </c>
      <c r="L4" s="2939"/>
      <c r="M4" s="2940"/>
      <c r="N4" s="2940"/>
      <c r="O4" s="2940"/>
      <c r="P4" s="3655" t="s">
        <v>2012</v>
      </c>
      <c r="Q4" s="3656"/>
      <c r="R4" s="3661" t="s">
        <v>2008</v>
      </c>
      <c r="S4" s="3662"/>
      <c r="T4" s="3661" t="s">
        <v>2009</v>
      </c>
      <c r="U4" s="3662"/>
      <c r="V4" s="3667" t="s">
        <v>2010</v>
      </c>
      <c r="W4" s="3667"/>
      <c r="X4" s="1262"/>
      <c r="Y4" s="3661" t="s">
        <v>2012</v>
      </c>
      <c r="Z4" s="3662"/>
      <c r="AA4" s="3648" t="s">
        <v>2008</v>
      </c>
      <c r="AB4" s="3649" t="s">
        <v>2009</v>
      </c>
      <c r="AC4" s="3648" t="s">
        <v>2010</v>
      </c>
    </row>
    <row r="5" spans="1:29" ht="15">
      <c r="A5" s="297"/>
      <c r="B5" s="298"/>
      <c r="C5" s="3644" t="s">
        <v>2013</v>
      </c>
      <c r="D5" s="3645"/>
      <c r="E5" s="3668" t="s">
        <v>2014</v>
      </c>
      <c r="F5" s="3669"/>
      <c r="G5" s="3644" t="s">
        <v>2015</v>
      </c>
      <c r="H5" s="3645"/>
      <c r="I5" s="3644" t="s">
        <v>2016</v>
      </c>
      <c r="J5" s="3645"/>
      <c r="K5" s="496"/>
      <c r="L5" s="2939"/>
      <c r="M5" s="2940"/>
      <c r="N5" s="2940"/>
      <c r="O5" s="2940"/>
      <c r="P5" s="3657"/>
      <c r="Q5" s="3658"/>
      <c r="R5" s="3663"/>
      <c r="S5" s="3664"/>
      <c r="T5" s="3663"/>
      <c r="U5" s="3664"/>
      <c r="V5" s="3667"/>
      <c r="W5" s="3667"/>
      <c r="X5" s="1262"/>
      <c r="Y5" s="3663"/>
      <c r="Z5" s="3664"/>
      <c r="AA5" s="3649"/>
      <c r="AB5" s="3649"/>
      <c r="AC5" s="3649"/>
    </row>
    <row r="6" spans="1:29" ht="15.75" thickBot="1">
      <c r="A6" s="299"/>
      <c r="B6" s="300"/>
      <c r="C6" s="3641" t="s">
        <v>2017</v>
      </c>
      <c r="D6" s="3642"/>
      <c r="E6" s="3639" t="s">
        <v>2017</v>
      </c>
      <c r="F6" s="3640"/>
      <c r="G6" s="3641" t="s">
        <v>2017</v>
      </c>
      <c r="H6" s="3642"/>
      <c r="I6" s="3641" t="s">
        <v>2017</v>
      </c>
      <c r="J6" s="3642"/>
      <c r="K6" s="496" t="s">
        <v>2018</v>
      </c>
      <c r="L6" s="2939"/>
      <c r="M6" s="2940"/>
      <c r="N6" s="2940"/>
      <c r="O6" s="2940"/>
      <c r="P6" s="3659"/>
      <c r="Q6" s="3660"/>
      <c r="R6" s="3663"/>
      <c r="S6" s="3664"/>
      <c r="T6" s="3665"/>
      <c r="U6" s="3666"/>
      <c r="V6" s="3667"/>
      <c r="W6" s="3667"/>
      <c r="X6" s="1262"/>
      <c r="Y6" s="3665"/>
      <c r="Z6" s="3666"/>
      <c r="AA6" s="3650"/>
      <c r="AB6" s="3650"/>
      <c r="AC6" s="3650"/>
    </row>
    <row r="7" spans="1:29" s="25" customFormat="1" ht="15.75" thickBot="1">
      <c r="A7" s="301" t="s">
        <v>2019</v>
      </c>
      <c r="B7" s="302"/>
      <c r="C7" s="303">
        <f>'数据-取费表'!B2</f>
        <v>44858</v>
      </c>
      <c r="D7" s="304">
        <v>100</v>
      </c>
      <c r="E7" s="305"/>
      <c r="F7" s="306">
        <f>SUMIF(64:64,YEAR(E7)&amp;"-"&amp;INT((MONTH(E7)+2)/3),65:65)</f>
        <v>0</v>
      </c>
      <c r="G7" s="1502"/>
      <c r="H7" s="304">
        <f>SUMIF(64:64,YEAR(G7)&amp;"-"&amp;INT((MONTH(G7)+2)/3),65:65)</f>
        <v>0</v>
      </c>
      <c r="I7" s="1502"/>
      <c r="J7" s="304">
        <f>SUMIF(64:64,YEAR(I7)&amp;"-"&amp;INT((MONTH(I7)+2)/3),65:65)</f>
        <v>0</v>
      </c>
      <c r="K7" s="497"/>
      <c r="L7" s="2941"/>
      <c r="M7" s="2942"/>
      <c r="N7" s="2942"/>
      <c r="O7" s="2942"/>
      <c r="P7" s="3646" t="s">
        <v>2020</v>
      </c>
      <c r="Q7" s="3670"/>
      <c r="R7" s="626" t="s">
        <v>25</v>
      </c>
      <c r="S7" s="627">
        <f t="shared" ref="S7:S15" si="0">F7</f>
        <v>0</v>
      </c>
      <c r="T7" s="626" t="s">
        <v>25</v>
      </c>
      <c r="U7" s="627">
        <f t="shared" ref="U7:U15" si="1">H7</f>
        <v>0</v>
      </c>
      <c r="V7" s="626" t="s">
        <v>25</v>
      </c>
      <c r="W7" s="627">
        <f t="shared" ref="W7:W15" si="2">J7</f>
        <v>0</v>
      </c>
      <c r="X7" s="628"/>
      <c r="Y7" s="3646" t="s">
        <v>2020</v>
      </c>
      <c r="Z7" s="3647"/>
      <c r="AA7" s="629" t="e">
        <f>D7/F7</f>
        <v>#DIV/0!</v>
      </c>
      <c r="AB7" s="629" t="e">
        <f>D7/H7</f>
        <v>#DIV/0!</v>
      </c>
      <c r="AC7" s="629"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46" t="s">
        <v>2023</v>
      </c>
      <c r="Q8" s="3647"/>
      <c r="R8" s="626" t="s">
        <v>25</v>
      </c>
      <c r="S8" s="627">
        <f t="shared" si="0"/>
        <v>0</v>
      </c>
      <c r="T8" s="626" t="s">
        <v>25</v>
      </c>
      <c r="U8" s="627">
        <f t="shared" si="1"/>
        <v>0</v>
      </c>
      <c r="V8" s="626" t="s">
        <v>25</v>
      </c>
      <c r="W8" s="627">
        <f t="shared" si="2"/>
        <v>0</v>
      </c>
      <c r="X8" s="628"/>
      <c r="Y8" s="3646" t="s">
        <v>2023</v>
      </c>
      <c r="Z8" s="3647"/>
      <c r="AA8" s="629" t="e">
        <f t="shared" ref="AA8:AA40" si="3">D8/F8</f>
        <v>#DIV/0!</v>
      </c>
      <c r="AB8" s="629" t="e">
        <f t="shared" ref="AB8:AB40" si="4">D8/H8</f>
        <v>#DIV/0!</v>
      </c>
      <c r="AC8" s="629"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1"/>
      <c r="M9" s="2942"/>
      <c r="N9" s="2942"/>
      <c r="O9" s="2943"/>
      <c r="P9" s="3643" t="s">
        <v>2026</v>
      </c>
      <c r="Q9" s="1254" t="str">
        <f t="shared" ref="Q9:Q15" si="6">B9</f>
        <v>用途</v>
      </c>
      <c r="R9" s="626" t="s">
        <v>25</v>
      </c>
      <c r="S9" s="627">
        <f t="shared" si="0"/>
        <v>100</v>
      </c>
      <c r="T9" s="626" t="s">
        <v>25</v>
      </c>
      <c r="U9" s="627">
        <f t="shared" si="1"/>
        <v>100</v>
      </c>
      <c r="V9" s="626" t="s">
        <v>25</v>
      </c>
      <c r="W9" s="627">
        <f t="shared" si="2"/>
        <v>100</v>
      </c>
      <c r="X9" s="628"/>
      <c r="Y9" s="3673" t="s">
        <v>2027</v>
      </c>
      <c r="Z9" s="19" t="str">
        <f t="shared" ref="Z9:Z15" si="7">Q9</f>
        <v>用途</v>
      </c>
      <c r="AA9" s="629">
        <f t="shared" si="3"/>
        <v>1</v>
      </c>
      <c r="AB9" s="629">
        <f t="shared" si="4"/>
        <v>1</v>
      </c>
      <c r="AC9" s="629">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4"/>
      <c r="M10" s="2945"/>
      <c r="N10" s="2945"/>
      <c r="O10" s="2946"/>
      <c r="P10" s="3643"/>
      <c r="Q10" s="1254" t="str">
        <f t="shared" si="6"/>
        <v>土地使用年限（年）</v>
      </c>
      <c r="R10" s="626" t="s">
        <v>25</v>
      </c>
      <c r="S10" s="627">
        <f t="shared" si="0"/>
        <v>106</v>
      </c>
      <c r="T10" s="626" t="s">
        <v>25</v>
      </c>
      <c r="U10" s="627">
        <f t="shared" si="1"/>
        <v>106</v>
      </c>
      <c r="V10" s="626" t="s">
        <v>25</v>
      </c>
      <c r="W10" s="627">
        <f t="shared" si="2"/>
        <v>106</v>
      </c>
      <c r="X10" s="628"/>
      <c r="Y10" s="3673"/>
      <c r="Z10" s="19" t="str">
        <f t="shared" si="7"/>
        <v>土地使用年限（年）</v>
      </c>
      <c r="AA10" s="629">
        <f t="shared" si="3"/>
        <v>0.94339622641509435</v>
      </c>
      <c r="AB10" s="629">
        <f t="shared" si="4"/>
        <v>0.94339622641509435</v>
      </c>
      <c r="AC10" s="629">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43"/>
      <c r="Q11" s="1254" t="str">
        <f t="shared" si="6"/>
        <v>容积率</v>
      </c>
      <c r="R11" s="626" t="s">
        <v>25</v>
      </c>
      <c r="S11" s="627" t="e">
        <f t="shared" si="0"/>
        <v>#N/A</v>
      </c>
      <c r="T11" s="626" t="s">
        <v>25</v>
      </c>
      <c r="U11" s="627" t="e">
        <f t="shared" si="1"/>
        <v>#N/A</v>
      </c>
      <c r="V11" s="626" t="s">
        <v>25</v>
      </c>
      <c r="W11" s="627" t="e">
        <f t="shared" si="2"/>
        <v>#N/A</v>
      </c>
      <c r="X11" s="628"/>
      <c r="Y11" s="3673"/>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43"/>
      <c r="Q12" s="1254">
        <f t="shared" si="6"/>
        <v>111</v>
      </c>
      <c r="R12" s="626" t="s">
        <v>25</v>
      </c>
      <c r="S12" s="627">
        <f t="shared" si="0"/>
        <v>100</v>
      </c>
      <c r="T12" s="626" t="s">
        <v>25</v>
      </c>
      <c r="U12" s="627">
        <f t="shared" si="1"/>
        <v>100</v>
      </c>
      <c r="V12" s="626" t="s">
        <v>25</v>
      </c>
      <c r="W12" s="627">
        <f t="shared" si="2"/>
        <v>100</v>
      </c>
      <c r="X12" s="628"/>
      <c r="Y12" s="3673"/>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43"/>
      <c r="Q13" s="1254">
        <f t="shared" si="6"/>
        <v>111</v>
      </c>
      <c r="R13" s="626" t="s">
        <v>25</v>
      </c>
      <c r="S13" s="627">
        <f t="shared" si="0"/>
        <v>100</v>
      </c>
      <c r="T13" s="626" t="s">
        <v>25</v>
      </c>
      <c r="U13" s="627">
        <f t="shared" si="1"/>
        <v>100</v>
      </c>
      <c r="V13" s="626" t="s">
        <v>25</v>
      </c>
      <c r="W13" s="627">
        <f t="shared" si="2"/>
        <v>100</v>
      </c>
      <c r="X13" s="628"/>
      <c r="Y13" s="3673"/>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43"/>
      <c r="Q14" s="1254">
        <f t="shared" si="6"/>
        <v>111</v>
      </c>
      <c r="R14" s="626" t="s">
        <v>25</v>
      </c>
      <c r="S14" s="627">
        <f t="shared" si="0"/>
        <v>100</v>
      </c>
      <c r="T14" s="626" t="s">
        <v>25</v>
      </c>
      <c r="U14" s="627">
        <f t="shared" si="1"/>
        <v>100</v>
      </c>
      <c r="V14" s="626" t="s">
        <v>25</v>
      </c>
      <c r="W14" s="627">
        <f t="shared" si="2"/>
        <v>100</v>
      </c>
      <c r="X14" s="628"/>
      <c r="Y14" s="3673"/>
      <c r="Z14" s="19">
        <f t="shared" si="7"/>
        <v>111</v>
      </c>
      <c r="AA14" s="629">
        <f t="shared" si="3"/>
        <v>1</v>
      </c>
      <c r="AB14" s="629">
        <f t="shared" si="4"/>
        <v>1</v>
      </c>
      <c r="AC14" s="629">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71" t="s">
        <v>2031</v>
      </c>
      <c r="Q15" s="1261" t="str">
        <f t="shared" si="6"/>
        <v>产业集聚程度</v>
      </c>
      <c r="R15" s="630" t="s">
        <v>25</v>
      </c>
      <c r="S15" s="631">
        <f t="shared" si="0"/>
        <v>100</v>
      </c>
      <c r="T15" s="630" t="s">
        <v>25</v>
      </c>
      <c r="U15" s="631">
        <f t="shared" si="1"/>
        <v>100</v>
      </c>
      <c r="V15" s="630" t="s">
        <v>25</v>
      </c>
      <c r="W15" s="631">
        <f t="shared" si="2"/>
        <v>100</v>
      </c>
      <c r="X15" s="1262"/>
      <c r="Y15" s="3671"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49"/>
      <c r="M16" s="2940"/>
      <c r="N16" s="2940"/>
      <c r="O16" s="2948"/>
      <c r="P16" s="3672"/>
      <c r="Q16" s="1261"/>
      <c r="R16" s="630"/>
      <c r="S16" s="631"/>
      <c r="T16" s="630"/>
      <c r="U16" s="631"/>
      <c r="V16" s="630"/>
      <c r="W16" s="631"/>
      <c r="X16" s="1262"/>
      <c r="Y16" s="3672"/>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72"/>
      <c r="Q17" s="1261" t="str">
        <f>B17</f>
        <v>交通便捷度</v>
      </c>
      <c r="R17" s="630" t="s">
        <v>25</v>
      </c>
      <c r="S17" s="631">
        <f>F17</f>
        <v>100</v>
      </c>
      <c r="T17" s="630" t="s">
        <v>25</v>
      </c>
      <c r="U17" s="631">
        <f>H17</f>
        <v>100</v>
      </c>
      <c r="V17" s="630" t="s">
        <v>25</v>
      </c>
      <c r="W17" s="631">
        <f>J17</f>
        <v>100</v>
      </c>
      <c r="X17" s="1262"/>
      <c r="Y17" s="3672"/>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49"/>
      <c r="M18" s="2940"/>
      <c r="N18" s="2940"/>
      <c r="O18" s="2948"/>
      <c r="P18" s="3672"/>
      <c r="Q18" s="1261"/>
      <c r="R18" s="630"/>
      <c r="S18" s="631"/>
      <c r="T18" s="630"/>
      <c r="U18" s="631"/>
      <c r="V18" s="630"/>
      <c r="W18" s="631"/>
      <c r="X18" s="1262"/>
      <c r="Y18" s="3672"/>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72"/>
      <c r="Q19" s="1261" t="str">
        <f t="shared" ref="Q19:Q33" si="8">B19</f>
        <v>区域土地利用方向</v>
      </c>
      <c r="R19" s="630" t="s">
        <v>25</v>
      </c>
      <c r="S19" s="631">
        <f>F19</f>
        <v>100</v>
      </c>
      <c r="T19" s="630" t="s">
        <v>25</v>
      </c>
      <c r="U19" s="631">
        <f>H19</f>
        <v>100</v>
      </c>
      <c r="V19" s="630" t="s">
        <v>25</v>
      </c>
      <c r="W19" s="631">
        <f>J19</f>
        <v>100</v>
      </c>
      <c r="X19" s="1262"/>
      <c r="Y19" s="3672"/>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49"/>
      <c r="M20" s="2940"/>
      <c r="N20" s="2940"/>
      <c r="O20" s="2948"/>
      <c r="P20" s="3672"/>
      <c r="Q20" s="1261"/>
      <c r="R20" s="630"/>
      <c r="S20" s="631"/>
      <c r="T20" s="630"/>
      <c r="U20" s="631"/>
      <c r="V20" s="630"/>
      <c r="W20" s="631"/>
      <c r="X20" s="1262"/>
      <c r="Y20" s="3672"/>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72"/>
      <c r="Q21" s="1261" t="str">
        <f t="shared" si="8"/>
        <v>环境状况</v>
      </c>
      <c r="R21" s="630" t="s">
        <v>25</v>
      </c>
      <c r="S21" s="631">
        <f>F21</f>
        <v>100</v>
      </c>
      <c r="T21" s="630" t="s">
        <v>25</v>
      </c>
      <c r="U21" s="631">
        <f>H21</f>
        <v>100</v>
      </c>
      <c r="V21" s="630" t="s">
        <v>25</v>
      </c>
      <c r="W21" s="631">
        <f>J21</f>
        <v>100</v>
      </c>
      <c r="X21" s="1262"/>
      <c r="Y21" s="3672"/>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49"/>
      <c r="M22" s="2940"/>
      <c r="N22" s="2940"/>
      <c r="O22" s="2948"/>
      <c r="P22" s="3672"/>
      <c r="Q22" s="1261"/>
      <c r="R22" s="630"/>
      <c r="S22" s="631"/>
      <c r="T22" s="630"/>
      <c r="U22" s="631"/>
      <c r="V22" s="630"/>
      <c r="W22" s="631"/>
      <c r="X22" s="1262"/>
      <c r="Y22" s="3672"/>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72"/>
      <c r="Q23" s="1254" t="str">
        <f t="shared" si="8"/>
        <v>公共配套设施</v>
      </c>
      <c r="R23" s="626" t="s">
        <v>25</v>
      </c>
      <c r="S23" s="627">
        <f>F23</f>
        <v>100</v>
      </c>
      <c r="T23" s="626" t="s">
        <v>25</v>
      </c>
      <c r="U23" s="627">
        <f>H23</f>
        <v>100</v>
      </c>
      <c r="V23" s="626" t="s">
        <v>25</v>
      </c>
      <c r="W23" s="627">
        <f>J23</f>
        <v>100</v>
      </c>
      <c r="X23" s="628"/>
      <c r="Y23" s="3672"/>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1"/>
      <c r="M24" s="2942"/>
      <c r="N24" s="2942"/>
      <c r="O24" s="2943"/>
      <c r="P24" s="3672"/>
      <c r="Q24" s="1254"/>
      <c r="R24" s="626"/>
      <c r="S24" s="627"/>
      <c r="T24" s="626"/>
      <c r="U24" s="627"/>
      <c r="V24" s="626"/>
      <c r="W24" s="627"/>
      <c r="X24" s="628"/>
      <c r="Y24" s="3672"/>
      <c r="Z24" s="19"/>
      <c r="AA24" s="629">
        <v>1</v>
      </c>
      <c r="AB24" s="629">
        <v>1</v>
      </c>
      <c r="AC24" s="629">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72"/>
      <c r="Q25" s="1254" t="str">
        <f t="shared" ref="Q25" si="9">B25</f>
        <v>基础设施水平</v>
      </c>
      <c r="R25" s="626" t="s">
        <v>25</v>
      </c>
      <c r="S25" s="627">
        <f>F25</f>
        <v>100</v>
      </c>
      <c r="T25" s="626" t="s">
        <v>25</v>
      </c>
      <c r="U25" s="627">
        <f>H25</f>
        <v>100</v>
      </c>
      <c r="V25" s="626" t="s">
        <v>25</v>
      </c>
      <c r="W25" s="627">
        <f>J25</f>
        <v>100</v>
      </c>
      <c r="X25" s="628"/>
      <c r="Y25" s="3672"/>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1"/>
      <c r="M26" s="2942"/>
      <c r="N26" s="2942"/>
      <c r="O26" s="2943"/>
      <c r="P26" s="3672"/>
      <c r="Q26" s="1254"/>
      <c r="R26" s="626"/>
      <c r="S26" s="627"/>
      <c r="T26" s="626"/>
      <c r="U26" s="627"/>
      <c r="V26" s="626"/>
      <c r="W26" s="627"/>
      <c r="X26" s="628"/>
      <c r="Y26" s="3672"/>
      <c r="Z26" s="19"/>
      <c r="AA26" s="629">
        <v>1</v>
      </c>
      <c r="AB26" s="629">
        <v>1</v>
      </c>
      <c r="AC26" s="629">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72"/>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72"/>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72"/>
      <c r="Q28" s="1261" t="str">
        <f t="shared" si="8"/>
        <v>毗邻道路的类型与等级</v>
      </c>
      <c r="R28" s="630" t="s">
        <v>25</v>
      </c>
      <c r="S28" s="631">
        <f t="shared" si="10"/>
        <v>100</v>
      </c>
      <c r="T28" s="630" t="s">
        <v>25</v>
      </c>
      <c r="U28" s="631">
        <f t="shared" si="11"/>
        <v>100</v>
      </c>
      <c r="V28" s="630" t="s">
        <v>25</v>
      </c>
      <c r="W28" s="631">
        <f t="shared" si="12"/>
        <v>100</v>
      </c>
      <c r="X28" s="1262"/>
      <c r="Y28" s="3672"/>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49"/>
      <c r="M29" s="2940"/>
      <c r="N29" s="2940"/>
      <c r="O29" s="2948"/>
      <c r="P29" s="3672"/>
      <c r="Q29" s="1261"/>
      <c r="R29" s="630"/>
      <c r="S29" s="631"/>
      <c r="T29" s="630"/>
      <c r="U29" s="631"/>
      <c r="V29" s="630"/>
      <c r="W29" s="631"/>
      <c r="X29" s="1262"/>
      <c r="Y29" s="3672"/>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72"/>
      <c r="Q30" s="1261" t="str">
        <f t="shared" si="8"/>
        <v>土地级别</v>
      </c>
      <c r="R30" s="630" t="s">
        <v>25</v>
      </c>
      <c r="S30" s="631">
        <f t="shared" si="10"/>
        <v>100</v>
      </c>
      <c r="T30" s="630" t="s">
        <v>25</v>
      </c>
      <c r="U30" s="631">
        <f t="shared" si="11"/>
        <v>100</v>
      </c>
      <c r="V30" s="630" t="s">
        <v>25</v>
      </c>
      <c r="W30" s="631">
        <f t="shared" si="12"/>
        <v>100</v>
      </c>
      <c r="X30" s="1262"/>
      <c r="Y30" s="3672"/>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72"/>
      <c r="Q31" s="1261">
        <f t="shared" si="8"/>
        <v>111</v>
      </c>
      <c r="R31" s="630" t="s">
        <v>25</v>
      </c>
      <c r="S31" s="631">
        <f t="shared" si="10"/>
        <v>100</v>
      </c>
      <c r="T31" s="630" t="s">
        <v>25</v>
      </c>
      <c r="U31" s="631">
        <f t="shared" si="11"/>
        <v>100</v>
      </c>
      <c r="V31" s="630" t="s">
        <v>25</v>
      </c>
      <c r="W31" s="631">
        <f t="shared" si="12"/>
        <v>100</v>
      </c>
      <c r="X31" s="1262"/>
      <c r="Y31" s="3672"/>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74" t="s">
        <v>2037</v>
      </c>
      <c r="Q32" s="1261">
        <f t="shared" si="8"/>
        <v>111</v>
      </c>
      <c r="R32" s="630" t="s">
        <v>25</v>
      </c>
      <c r="S32" s="631">
        <f t="shared" si="10"/>
        <v>100</v>
      </c>
      <c r="T32" s="630" t="s">
        <v>25</v>
      </c>
      <c r="U32" s="631">
        <f t="shared" si="11"/>
        <v>100</v>
      </c>
      <c r="V32" s="630" t="s">
        <v>25</v>
      </c>
      <c r="W32" s="631">
        <f t="shared" si="12"/>
        <v>100</v>
      </c>
      <c r="X32" s="1262"/>
      <c r="Y32" s="3675"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75"/>
      <c r="Q33" s="1261">
        <f t="shared" si="8"/>
        <v>111</v>
      </c>
      <c r="R33" s="633" t="s">
        <v>25</v>
      </c>
      <c r="S33" s="634">
        <f t="shared" si="10"/>
        <v>100</v>
      </c>
      <c r="T33" s="633" t="s">
        <v>25</v>
      </c>
      <c r="U33" s="634">
        <f t="shared" si="11"/>
        <v>100</v>
      </c>
      <c r="V33" s="633" t="s">
        <v>25</v>
      </c>
      <c r="W33" s="634">
        <f t="shared" si="12"/>
        <v>100</v>
      </c>
      <c r="X33" s="635"/>
      <c r="Y33" s="3675"/>
      <c r="Z33" s="636">
        <f t="shared" si="13"/>
        <v>111</v>
      </c>
      <c r="AA33" s="1264">
        <f t="shared" si="3"/>
        <v>1</v>
      </c>
      <c r="AB33" s="1264">
        <f t="shared" si="4"/>
        <v>1</v>
      </c>
      <c r="AC33" s="1264">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75"/>
      <c r="Q34" s="1261" t="str">
        <f>B34</f>
        <v>宗地面积</v>
      </c>
      <c r="R34" s="630" t="s">
        <v>25</v>
      </c>
      <c r="S34" s="631" t="e">
        <f t="shared" si="10"/>
        <v>#N/A</v>
      </c>
      <c r="T34" s="630" t="s">
        <v>25</v>
      </c>
      <c r="U34" s="631" t="e">
        <f t="shared" si="11"/>
        <v>#N/A</v>
      </c>
      <c r="V34" s="630" t="s">
        <v>25</v>
      </c>
      <c r="W34" s="631" t="e">
        <f t="shared" si="12"/>
        <v>#N/A</v>
      </c>
      <c r="X34" s="1262"/>
      <c r="Y34" s="3675"/>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49"/>
      <c r="M35" s="2940"/>
      <c r="N35" s="2940"/>
      <c r="O35" s="2948"/>
      <c r="P35" s="3675"/>
      <c r="Q35" s="1261" t="str">
        <f t="shared" ref="Q35:Q40" si="14">B35</f>
        <v>宗地形状</v>
      </c>
      <c r="R35" s="630" t="s">
        <v>25</v>
      </c>
      <c r="S35" s="631">
        <f t="shared" si="10"/>
        <v>100</v>
      </c>
      <c r="T35" s="630" t="s">
        <v>25</v>
      </c>
      <c r="U35" s="631">
        <f t="shared" si="11"/>
        <v>100</v>
      </c>
      <c r="V35" s="630" t="s">
        <v>25</v>
      </c>
      <c r="W35" s="631">
        <f t="shared" si="12"/>
        <v>100</v>
      </c>
      <c r="X35" s="1262"/>
      <c r="Y35" s="3675"/>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1"/>
      <c r="M36" s="2942"/>
      <c r="N36" s="2942"/>
      <c r="O36" s="2943"/>
      <c r="P36" s="3675"/>
      <c r="Q36" s="1261" t="str">
        <f t="shared" si="14"/>
        <v>宗地开发程度</v>
      </c>
      <c r="R36" s="626" t="s">
        <v>25</v>
      </c>
      <c r="S36" s="627">
        <f t="shared" si="10"/>
        <v>100</v>
      </c>
      <c r="T36" s="626" t="s">
        <v>25</v>
      </c>
      <c r="U36" s="627">
        <f t="shared" si="11"/>
        <v>100</v>
      </c>
      <c r="V36" s="626" t="s">
        <v>25</v>
      </c>
      <c r="W36" s="627">
        <f t="shared" si="12"/>
        <v>100</v>
      </c>
      <c r="X36" s="628"/>
      <c r="Y36" s="3675"/>
      <c r="Z36" s="19" t="str">
        <f t="shared" si="13"/>
        <v>宗地开发程度</v>
      </c>
      <c r="AA36" s="629">
        <f t="shared" si="3"/>
        <v>1</v>
      </c>
      <c r="AB36" s="629">
        <f t="shared" si="4"/>
        <v>1</v>
      </c>
      <c r="AC36" s="629">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49"/>
      <c r="M37" s="2940"/>
      <c r="N37" s="2940"/>
      <c r="O37" s="2948"/>
      <c r="P37" s="3675" t="s">
        <v>2037</v>
      </c>
      <c r="Q37" s="1261" t="str">
        <f t="shared" si="14"/>
        <v>工程地质条件</v>
      </c>
      <c r="R37" s="630" t="s">
        <v>25</v>
      </c>
      <c r="S37" s="631">
        <f t="shared" si="10"/>
        <v>100</v>
      </c>
      <c r="T37" s="630" t="s">
        <v>25</v>
      </c>
      <c r="U37" s="631">
        <f t="shared" si="11"/>
        <v>100</v>
      </c>
      <c r="V37" s="630" t="s">
        <v>25</v>
      </c>
      <c r="W37" s="631">
        <f t="shared" si="12"/>
        <v>100</v>
      </c>
      <c r="X37" s="1262"/>
      <c r="Y37" s="3675"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75"/>
      <c r="Q38" s="1261">
        <f t="shared" si="14"/>
        <v>111</v>
      </c>
      <c r="R38" s="630" t="s">
        <v>25</v>
      </c>
      <c r="S38" s="631">
        <f t="shared" si="10"/>
        <v>100</v>
      </c>
      <c r="T38" s="630" t="s">
        <v>25</v>
      </c>
      <c r="U38" s="631">
        <f t="shared" si="11"/>
        <v>100</v>
      </c>
      <c r="V38" s="630" t="s">
        <v>25</v>
      </c>
      <c r="W38" s="631">
        <f t="shared" si="12"/>
        <v>100</v>
      </c>
      <c r="X38" s="1262"/>
      <c r="Y38" s="3675"/>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75"/>
      <c r="Q39" s="1261">
        <f t="shared" si="14"/>
        <v>111</v>
      </c>
      <c r="R39" s="630" t="s">
        <v>25</v>
      </c>
      <c r="S39" s="631">
        <f t="shared" si="10"/>
        <v>100</v>
      </c>
      <c r="T39" s="630" t="s">
        <v>25</v>
      </c>
      <c r="U39" s="631">
        <f t="shared" si="11"/>
        <v>100</v>
      </c>
      <c r="V39" s="630" t="s">
        <v>25</v>
      </c>
      <c r="W39" s="631">
        <f t="shared" si="12"/>
        <v>100</v>
      </c>
      <c r="X39" s="1262"/>
      <c r="Y39" s="3675"/>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75"/>
      <c r="Q40" s="1261">
        <f t="shared" si="14"/>
        <v>111</v>
      </c>
      <c r="R40" s="633" t="s">
        <v>25</v>
      </c>
      <c r="S40" s="634">
        <f t="shared" si="10"/>
        <v>100</v>
      </c>
      <c r="T40" s="633" t="s">
        <v>25</v>
      </c>
      <c r="U40" s="634">
        <f t="shared" si="11"/>
        <v>100</v>
      </c>
      <c r="V40" s="633" t="s">
        <v>25</v>
      </c>
      <c r="W40" s="634">
        <f t="shared" si="12"/>
        <v>100</v>
      </c>
      <c r="X40" s="635"/>
      <c r="Y40" s="3675"/>
      <c r="Z40" s="636">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39"/>
      <c r="L41" s="2951"/>
      <c r="M41" s="2940"/>
      <c r="N41" s="2940"/>
      <c r="P41" s="3643" t="str">
        <f>A41</f>
        <v>成交单价</v>
      </c>
      <c r="Q41" s="3643"/>
      <c r="R41" s="3667">
        <f>E41</f>
        <v>0</v>
      </c>
      <c r="S41" s="3667"/>
      <c r="T41" s="3667">
        <f>G41</f>
        <v>0</v>
      </c>
      <c r="U41" s="3667"/>
      <c r="V41" s="3667">
        <f>I41</f>
        <v>0</v>
      </c>
      <c r="W41" s="3667"/>
      <c r="X41" s="617"/>
      <c r="Y41" s="637"/>
      <c r="Z41" s="617"/>
      <c r="AA41" s="617"/>
      <c r="AB41" s="617"/>
      <c r="AC41" s="617"/>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643" t="str">
        <f>A42</f>
        <v>比较价值（元/平方米）</v>
      </c>
      <c r="Q42" s="3643"/>
      <c r="R42" s="3684" t="e">
        <f>ROUND(PRODUCT(R41,AA7:AA40),0)</f>
        <v>#DIV/0!</v>
      </c>
      <c r="S42" s="3684"/>
      <c r="T42" s="3684" t="e">
        <f>ROUND(PRODUCT(T41,AB7:AB40),0)</f>
        <v>#DIV/0!</v>
      </c>
      <c r="U42" s="3684"/>
      <c r="V42" s="3684" t="e">
        <f>ROUND(PRODUCT(V41,AC7:AC40),0)</f>
        <v>#DIV/0!</v>
      </c>
      <c r="W42" s="3684"/>
      <c r="X42" s="617"/>
      <c r="Y42" s="617"/>
      <c r="Z42" s="617"/>
      <c r="AA42" s="617"/>
      <c r="AB42" s="617"/>
      <c r="AC42" s="617"/>
    </row>
    <row r="43" spans="1:29" ht="15.75" thickBot="1">
      <c r="A43" s="378" t="s">
        <v>2155</v>
      </c>
      <c r="B43" s="379"/>
      <c r="C43" s="380" t="e">
        <f>R43</f>
        <v>#DIV/0!</v>
      </c>
      <c r="D43" s="380"/>
      <c r="E43" s="380"/>
      <c r="F43" s="380"/>
      <c r="G43" s="380"/>
      <c r="H43" s="380"/>
      <c r="I43" s="380"/>
      <c r="J43" s="380"/>
      <c r="K43" s="640"/>
      <c r="L43" s="2951"/>
      <c r="M43" s="2940"/>
      <c r="N43" s="2940"/>
      <c r="P43" s="3678" t="str">
        <f>A43</f>
        <v>估价对象XX用房的比较价值（楼面单价，元/平方米）</v>
      </c>
      <c r="Q43" s="3679"/>
      <c r="R43" s="3683" t="e">
        <f>ROUND(IF(D42="简单平均",AVERAGE(R42:W42),R42*F42+T42*H42+V42*J42),0)</f>
        <v>#DIV/0!</v>
      </c>
      <c r="S43" s="3683"/>
      <c r="T43" s="3683"/>
      <c r="U43" s="3683"/>
      <c r="V43" s="3683"/>
      <c r="W43" s="3683"/>
      <c r="X43" s="617"/>
      <c r="Y43" s="617"/>
      <c r="Z43" s="617"/>
      <c r="AA43" s="617"/>
      <c r="AB43" s="617"/>
      <c r="AC43" s="617"/>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5"/>
      <c r="K50" s="913"/>
    </row>
    <row r="51" spans="1:17" s="572" customFormat="1">
      <c r="A51" s="568" t="s">
        <v>2225</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2226</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2228</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2229</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2230</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2231</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2232</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2233</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7"/>
      <c r="H60" s="917"/>
      <c r="I60" s="2963"/>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2022-10-1</v>
      </c>
      <c r="D62" s="1110">
        <f>EDATE(C62,-3)</f>
        <v>44743</v>
      </c>
      <c r="E62" s="1110">
        <f t="shared" ref="E62:O62" si="18">EDATE(D62,-3)</f>
        <v>44652</v>
      </c>
      <c r="F62" s="1110">
        <f t="shared" si="18"/>
        <v>44562</v>
      </c>
      <c r="G62" s="1110">
        <f t="shared" si="18"/>
        <v>44470</v>
      </c>
      <c r="H62" s="1110">
        <f t="shared" si="18"/>
        <v>44378</v>
      </c>
      <c r="I62" s="1110">
        <f t="shared" si="18"/>
        <v>44287</v>
      </c>
      <c r="J62" s="1110">
        <f t="shared" si="18"/>
        <v>44197</v>
      </c>
      <c r="K62" s="1110">
        <f t="shared" si="18"/>
        <v>44105</v>
      </c>
      <c r="L62" s="1110">
        <f t="shared" si="18"/>
        <v>44013</v>
      </c>
      <c r="M62" s="1110">
        <f t="shared" si="18"/>
        <v>43922</v>
      </c>
      <c r="N62" s="1110">
        <f t="shared" si="18"/>
        <v>43831</v>
      </c>
      <c r="O62" s="1110">
        <f t="shared" si="18"/>
        <v>43739</v>
      </c>
    </row>
    <row r="63" spans="1:17" ht="21.75" thickBot="1">
      <c r="A63" s="619" t="s">
        <v>2137</v>
      </c>
      <c r="B63" s="617"/>
      <c r="C63" s="620"/>
      <c r="D63" s="620"/>
      <c r="E63" s="620"/>
      <c r="F63" s="621"/>
      <c r="G63" s="621"/>
      <c r="H63" s="620"/>
      <c r="I63" s="920"/>
      <c r="J63" s="920"/>
      <c r="K63" s="918"/>
      <c r="L63" s="919"/>
      <c r="M63" s="920"/>
      <c r="N63" s="920"/>
      <c r="O63" s="920"/>
      <c r="P63" s="389"/>
      <c r="Q63" s="390"/>
    </row>
    <row r="64" spans="1:17" s="394" customFormat="1" ht="15">
      <c r="A64" s="1522" t="s">
        <v>2235</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7" t="s">
        <v>2255</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估价对象为北京市房地产，为XX所有。根据《》[]，估价对象建筑面积为770.88平方米。根据《》[]，估价对象（分摊）出让国有建设用地使用权面积为平方米。估价对象用途为。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2022年10月24日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89" customWidth="1"/>
    <col min="33" max="38" width="9.375" style="1551" customWidth="1"/>
    <col min="39" max="16384" width="9" style="1551"/>
  </cols>
  <sheetData>
    <row r="1" spans="1:36" ht="28.5">
      <c r="A1" s="2021" t="s">
        <v>2256</v>
      </c>
      <c r="B1" s="2022"/>
      <c r="C1" s="2023" t="s">
        <v>2257</v>
      </c>
      <c r="D1" s="2024">
        <f>SUM(D29:D30,D33:D39)</f>
        <v>770.88</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6" t="e">
        <f>C26</f>
        <v>#REF!</v>
      </c>
      <c r="C2" s="2032" t="s">
        <v>2265</v>
      </c>
      <c r="D2" s="1529" t="s">
        <v>2266</v>
      </c>
      <c r="E2" s="2033" t="s">
        <v>2643</v>
      </c>
      <c r="F2" s="1529" t="s">
        <v>2267</v>
      </c>
      <c r="G2" s="2034">
        <f>项目基本情况!F9</f>
        <v>0</v>
      </c>
      <c r="H2" s="1530"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6" t="s">
        <v>2270</v>
      </c>
      <c r="B3" s="1586" t="e">
        <f>ROUND(B2/D1,0)</f>
        <v>#REF!</v>
      </c>
      <c r="C3" s="2032" t="s">
        <v>2271</v>
      </c>
      <c r="D3" s="1529" t="s">
        <v>2272</v>
      </c>
      <c r="E3" s="2033" t="s">
        <v>2645</v>
      </c>
      <c r="F3" s="1531"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702"/>
      <c r="B4" s="3703"/>
      <c r="C4" s="3703"/>
      <c r="D4" s="3704"/>
      <c r="E4" s="3704"/>
      <c r="F4" s="3704"/>
      <c r="G4" s="3704"/>
      <c r="H4" s="3704"/>
      <c r="I4" s="3704"/>
      <c r="J4" s="3705"/>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2" t="s">
        <v>2278</v>
      </c>
      <c r="B5" s="1532" t="s">
        <v>2279</v>
      </c>
      <c r="C5" s="2042">
        <f>ROUND(IF(E2="商业",C6*C7+C16,(IF(E2="住宅",C6*C12+C16,C6+C16))),0)</f>
        <v>0</v>
      </c>
      <c r="D5" s="2043">
        <f>ROUND(C6+C16,0)</f>
        <v>0</v>
      </c>
      <c r="E5" s="2043"/>
      <c r="F5" s="2044"/>
      <c r="G5" s="2045"/>
      <c r="H5" s="2045"/>
      <c r="I5" s="2045"/>
      <c r="J5" s="2002"/>
      <c r="K5" s="1594"/>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3" t="s">
        <v>2281</v>
      </c>
      <c r="C6" s="2051">
        <f>SUMIF(L1:L12,G2,M1:M12)</f>
        <v>0</v>
      </c>
      <c r="D6" s="2052" t="s">
        <v>2282</v>
      </c>
      <c r="E6" s="1533"/>
      <c r="F6" s="1533"/>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706" t="str">
        <f>IF(E2="商业",IF(C8="不临58条商业街","",2),"")</f>
        <v/>
      </c>
      <c r="B7" s="1534"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f>G2</f>
        <v>0</v>
      </c>
      <c r="Y7" s="2061" t="s">
        <v>2288</v>
      </c>
      <c r="Z7" s="2062">
        <f>G3</f>
        <v>0</v>
      </c>
      <c r="AA7" s="2029"/>
      <c r="AB7" s="2029"/>
      <c r="AC7" s="2029"/>
      <c r="AD7" s="2030"/>
      <c r="AE7" s="2030"/>
      <c r="AF7" s="2030"/>
      <c r="AG7" s="2030"/>
      <c r="AH7" s="2030"/>
      <c r="AI7" s="2030"/>
      <c r="AJ7" s="2031"/>
    </row>
    <row r="8" spans="1:36" ht="15">
      <c r="A8" s="3707"/>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700" t="s">
        <v>2292</v>
      </c>
      <c r="X8" s="3701"/>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707"/>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701"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07"/>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701"/>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707"/>
      <c r="B11" s="1535" t="s">
        <v>2313</v>
      </c>
      <c r="C11" s="1535">
        <f>C10/4</f>
        <v>0</v>
      </c>
      <c r="D11" s="1535" t="s">
        <v>92</v>
      </c>
      <c r="E11" s="1535"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701"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706">
        <f>IF(E2="住宅",2,"")</f>
        <v>2</v>
      </c>
      <c r="B12" s="1536"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701"/>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08"/>
      <c r="B13" s="1537" t="s">
        <v>2322</v>
      </c>
      <c r="C13" s="2086" t="s">
        <v>2323</v>
      </c>
      <c r="D13" s="1538" t="s">
        <v>2324</v>
      </c>
      <c r="E13" s="1538"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701"/>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08"/>
      <c r="B14" s="1538"/>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709"/>
      <c r="B15" s="1539"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685">
        <f>IF(E2="办公",2,IF(E2="工业",2,IF(E2="住宅",3,IF(E2="商业",IF(C8="不临58条商业街",2,3)))))</f>
        <v>3</v>
      </c>
      <c r="B16" s="1558" t="s">
        <v>2338</v>
      </c>
      <c r="C16" s="1534">
        <f>ROUND(IF(F17="与级别开发程度一致",0,(G17-E17)/C17),0)</f>
        <v>0</v>
      </c>
      <c r="D16" s="3698" t="s">
        <v>2342</v>
      </c>
      <c r="E16" s="3699"/>
      <c r="F16" s="3698" t="s">
        <v>2339</v>
      </c>
      <c r="G16" s="3699"/>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686"/>
      <c r="B17" s="1559" t="s">
        <v>2341</v>
      </c>
      <c r="C17" s="2102">
        <f>SUMPRODUCT((修正!A2:A7=E2)*(修正!B1:M1=G2)*(修正!B2:M7))</f>
        <v>0</v>
      </c>
      <c r="D17" s="2096" t="str">
        <f>IF(OR(G2="八级",G2="九级",G2="十级",G2="十一级",G2="十二级"),"五通一平","七通一平")</f>
        <v>七通一平</v>
      </c>
      <c r="E17" s="2103">
        <f>SUMPRODUCT((修正!B1:M1=G2)*(修正!B17:M17))</f>
        <v>0</v>
      </c>
      <c r="F17" s="2104" t="s">
        <v>2646</v>
      </c>
      <c r="G17" s="1548">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0"/>
      <c r="S17" s="1550"/>
      <c r="T17" s="1550"/>
      <c r="U17" s="1550"/>
      <c r="V17" s="1550"/>
      <c r="W17" s="1550"/>
      <c r="X17" s="1550"/>
      <c r="Y17" s="1550"/>
      <c r="Z17" s="1550"/>
      <c r="AA17" s="1550"/>
      <c r="AB17" s="1550"/>
      <c r="AC17" s="1550"/>
      <c r="AD17" s="1550"/>
      <c r="AE17" s="1550"/>
      <c r="AF17" s="1550"/>
    </row>
    <row r="18" spans="1:35" s="2049" customFormat="1" ht="15.75" thickBot="1">
      <c r="A18" s="2107" t="s">
        <v>2344</v>
      </c>
      <c r="B18" s="1557"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0"/>
      <c r="Y18" s="1550"/>
      <c r="Z18" s="1550"/>
      <c r="AA18" s="1550"/>
      <c r="AB18" s="1550"/>
      <c r="AC18" s="1550"/>
      <c r="AD18" s="1550"/>
      <c r="AE18" s="1550"/>
      <c r="AF18" s="1550"/>
      <c r="AG18" s="1551"/>
      <c r="AH18" s="1551"/>
      <c r="AI18" s="1551"/>
    </row>
    <row r="19" spans="1:35" s="2049" customFormat="1" ht="29.25" thickBot="1">
      <c r="A19" s="2107" t="s">
        <v>2346</v>
      </c>
      <c r="B19" s="1540"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44858</v>
      </c>
      <c r="H19" s="2117" t="s">
        <v>2484</v>
      </c>
      <c r="I19" s="2118" t="str">
        <f>IF(H19="季度增幅（自定义）",SUMIF(N21:N24,E2,O21:O24),"")</f>
        <v/>
      </c>
      <c r="J19" s="2119"/>
      <c r="K19" s="2966"/>
      <c r="L19" s="2000" t="s">
        <v>2350</v>
      </c>
      <c r="M19" s="2120">
        <f>ROUND(SUMIF(地价!B2:F2,E2,地价!B41:F41),0)</f>
        <v>423</v>
      </c>
      <c r="N19" s="2121" t="s">
        <v>2351</v>
      </c>
      <c r="O19" s="2122">
        <f>ROUNDDOWN(DATEDIF(E19,G19,"M")/3,0)</f>
        <v>35</v>
      </c>
      <c r="P19" s="2964"/>
      <c r="Q19" s="2966"/>
      <c r="R19" s="2964"/>
      <c r="S19" s="2964"/>
      <c r="T19" s="2964"/>
      <c r="U19" s="2964"/>
      <c r="V19" s="2964"/>
      <c r="W19" s="2964"/>
      <c r="X19" s="1550"/>
      <c r="Y19" s="1550"/>
      <c r="Z19" s="1550"/>
      <c r="AA19" s="1550"/>
      <c r="AB19" s="1550"/>
      <c r="AC19" s="1550"/>
      <c r="AD19" s="1550"/>
      <c r="AE19" s="2112"/>
      <c r="AF19" s="2123"/>
      <c r="AG19" s="2124"/>
      <c r="AH19" s="1551"/>
    </row>
    <row r="20" spans="1:35" s="2049" customFormat="1" ht="27.75" thickBot="1">
      <c r="A20" s="1645" t="s">
        <v>2352</v>
      </c>
      <c r="B20" s="1541" t="s">
        <v>2353</v>
      </c>
      <c r="C20" s="2125">
        <f>ROUND(POWER(1+G20,J20-I20)*(POWER(1+G20,I20)-1)/(POWER(1+G20,J20)-1),4)</f>
        <v>0.8871</v>
      </c>
      <c r="D20" s="2126" t="s">
        <v>2354</v>
      </c>
      <c r="E20" s="3068">
        <f>存贷款利率!E22/100</f>
        <v>4.3499999999999997E-2</v>
      </c>
      <c r="F20" s="2126" t="s">
        <v>2343</v>
      </c>
      <c r="G20" s="3069">
        <f>SUMIF(M26:P26,E2,M28:P28)</f>
        <v>0.05</v>
      </c>
      <c r="H20" s="2126" t="s">
        <v>2355</v>
      </c>
      <c r="I20" s="2127">
        <f>'数据-取费表'!B13</f>
        <v>40</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0"/>
      <c r="Y20" s="1550"/>
      <c r="Z20" s="1550"/>
      <c r="AA20" s="1550"/>
      <c r="AB20" s="1550"/>
      <c r="AC20" s="1550"/>
      <c r="AD20" s="1550"/>
      <c r="AE20" s="2112"/>
      <c r="AF20" s="2112"/>
    </row>
    <row r="21" spans="1:35" s="2049" customFormat="1" ht="14.25">
      <c r="A21" s="2134" t="s">
        <v>2360</v>
      </c>
      <c r="B21" s="1542"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9.4999999999999998E-3</v>
      </c>
      <c r="Q21" s="2966"/>
      <c r="R21" s="2964"/>
      <c r="S21" s="2964"/>
      <c r="T21" s="2964"/>
      <c r="U21" s="2964"/>
      <c r="V21" s="2964"/>
      <c r="W21" s="2964"/>
      <c r="X21" s="1550"/>
      <c r="Y21" s="1550"/>
      <c r="Z21" s="1550"/>
      <c r="AA21" s="1550"/>
      <c r="AB21" s="1550"/>
      <c r="AC21" s="1550"/>
      <c r="AD21" s="1550"/>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9.4999999999999998E-3</v>
      </c>
      <c r="Q22" s="2966"/>
      <c r="R22" s="2964"/>
      <c r="S22" s="2964"/>
      <c r="T22" s="2964"/>
      <c r="U22" s="2964"/>
      <c r="V22" s="2964"/>
      <c r="W22" s="2964"/>
      <c r="X22" s="1550"/>
      <c r="Y22" s="1550"/>
      <c r="Z22" s="1550"/>
      <c r="AA22" s="1550"/>
      <c r="AB22" s="1550"/>
      <c r="AC22" s="1550"/>
      <c r="AD22" s="1550"/>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7"/>
      <c r="I23" s="1996"/>
      <c r="J23" s="2140"/>
      <c r="K23" s="2964"/>
      <c r="L23" s="2964"/>
      <c r="M23" s="2964"/>
      <c r="N23" s="2137" t="s">
        <v>2367</v>
      </c>
      <c r="O23" s="2138"/>
      <c r="P23" s="2139">
        <f>SUMPRODUCT((地价!A3:A41=YEAR(G19)&amp;"-"&amp;ROUNDUP(MONTH(G19)/3,0))*(地价!AD2:AH2=N23)*(地价!AD3:AH41))</f>
        <v>1.6899999999999998E-2</v>
      </c>
      <c r="Q23" s="2964"/>
      <c r="R23" s="2964"/>
      <c r="S23" s="2964"/>
      <c r="T23" s="2964"/>
      <c r="U23" s="2964"/>
      <c r="V23" s="2964"/>
      <c r="W23" s="2964"/>
      <c r="X23" s="1550"/>
      <c r="Y23" s="1550"/>
      <c r="Z23" s="1550"/>
      <c r="AA23" s="1550"/>
      <c r="AB23" s="1550"/>
      <c r="AC23" s="1550"/>
      <c r="AD23" s="1550"/>
      <c r="AE23" s="1550"/>
      <c r="AF23" s="1550"/>
    </row>
    <row r="24" spans="1:35" s="2049" customFormat="1" ht="15.75" thickBot="1">
      <c r="A24" s="2144" t="s">
        <v>2368</v>
      </c>
      <c r="B24" s="1544"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1.12E-2</v>
      </c>
      <c r="Q24" s="2966"/>
      <c r="R24" s="2964"/>
      <c r="S24" s="2964"/>
      <c r="T24" s="2964"/>
      <c r="U24" s="2964"/>
      <c r="V24" s="2964"/>
      <c r="W24" s="2964"/>
      <c r="X24" s="1550"/>
      <c r="Y24" s="1550"/>
      <c r="Z24" s="1550"/>
      <c r="AA24" s="1550"/>
      <c r="AB24" s="1550"/>
      <c r="AC24" s="1550"/>
      <c r="AD24" s="1550"/>
      <c r="AE24" s="2112"/>
      <c r="AF24" s="2112"/>
    </row>
    <row r="25" spans="1:35" ht="15" thickBot="1">
      <c r="A25" s="1645" t="s">
        <v>2371</v>
      </c>
      <c r="B25" s="1545"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1.5299999999999999E-2</v>
      </c>
      <c r="Q25" s="2964"/>
      <c r="R25" s="2964"/>
      <c r="S25" s="2964"/>
      <c r="T25" s="2964"/>
      <c r="U25" s="2964"/>
      <c r="V25" s="2964"/>
      <c r="W25" s="2964"/>
      <c r="X25" s="1550"/>
      <c r="Y25" s="1550"/>
      <c r="Z25" s="1550"/>
      <c r="AA25" s="1550"/>
      <c r="AB25" s="1550"/>
      <c r="AC25" s="1550"/>
      <c r="AD25" s="1550"/>
      <c r="AE25" s="1550"/>
      <c r="AF25" s="1550"/>
    </row>
    <row r="26" spans="1:35" ht="15">
      <c r="A26" s="1630"/>
      <c r="B26" s="1996" t="s">
        <v>2374</v>
      </c>
      <c r="C26" s="2804" t="e">
        <f>IF(B21="容积率修正",E29+SUM(E33:E39),SUM(V2:V16)+SUM(E33:E39))</f>
        <v>#REF!</v>
      </c>
      <c r="D26" s="2154"/>
      <c r="E26" s="2093"/>
      <c r="F26" s="1405"/>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0"/>
      <c r="Y26" s="1550"/>
      <c r="Z26" s="1550"/>
      <c r="AA26" s="1550"/>
      <c r="AB26" s="1550"/>
      <c r="AC26" s="1550"/>
      <c r="AD26" s="1550"/>
      <c r="AE26" s="1550"/>
      <c r="AF26" s="1550"/>
    </row>
    <row r="27" spans="1:35" ht="15.75" thickBot="1">
      <c r="A27" s="1630"/>
      <c r="B27" s="1546"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0"/>
      <c r="Y27" s="1550"/>
      <c r="Z27" s="1550"/>
      <c r="AA27" s="1550"/>
      <c r="AB27" s="1550"/>
      <c r="AC27" s="1550"/>
      <c r="AD27" s="1550"/>
      <c r="AE27" s="1550"/>
      <c r="AF27" s="1550"/>
    </row>
    <row r="28" spans="1:35" ht="15.75" thickBot="1">
      <c r="A28" s="1645"/>
      <c r="B28" s="2162" t="s">
        <v>2376</v>
      </c>
      <c r="C28" s="2163" t="s">
        <v>2377</v>
      </c>
      <c r="D28" s="2163" t="s">
        <v>2378</v>
      </c>
      <c r="E28" s="1545"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0"/>
      <c r="Y28" s="1550"/>
      <c r="Z28" s="1550"/>
      <c r="AA28" s="1550"/>
      <c r="AB28" s="1550"/>
      <c r="AC28" s="1550"/>
      <c r="AD28" s="1550"/>
      <c r="AE28" s="1550"/>
      <c r="AF28" s="1550"/>
    </row>
    <row r="29" spans="1:35">
      <c r="A29" s="2167"/>
      <c r="B29" s="1547" t="s">
        <v>2380</v>
      </c>
      <c r="C29" s="54">
        <f>ROUND(C5*C18*C19*C20*C21*C24,0)</f>
        <v>0</v>
      </c>
      <c r="D29" s="2168">
        <f>项目基本情况!C12</f>
        <v>770.88</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0"/>
      <c r="Y29" s="1550"/>
      <c r="Z29" s="1550"/>
      <c r="AA29" s="1550"/>
      <c r="AB29" s="1550"/>
      <c r="AC29" s="1550"/>
      <c r="AD29" s="1550"/>
      <c r="AE29" s="1550"/>
      <c r="AF29" s="1550"/>
    </row>
    <row r="30" spans="1:35" ht="25.5" thickBot="1">
      <c r="A30" s="2172"/>
      <c r="B30" s="1548"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0"/>
      <c r="Y30" s="1550"/>
      <c r="Z30" s="1550"/>
      <c r="AA30" s="1550"/>
      <c r="AB30" s="1550"/>
      <c r="AC30" s="1550"/>
      <c r="AD30" s="1550"/>
      <c r="AE30" s="1550"/>
      <c r="AF30" s="1550"/>
    </row>
    <row r="31" spans="1:35">
      <c r="A31" s="2177"/>
      <c r="B31" s="1549"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0"/>
      <c r="Y31" s="1550"/>
      <c r="Z31" s="1550"/>
      <c r="AA31" s="1550"/>
      <c r="AB31" s="1550"/>
      <c r="AC31" s="1550"/>
      <c r="AD31" s="1550"/>
      <c r="AE31" s="1550"/>
      <c r="AF31" s="1550"/>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0"/>
      <c r="Y32" s="1550"/>
      <c r="Z32" s="1550"/>
      <c r="AA32" s="1550"/>
      <c r="AB32" s="1550"/>
      <c r="AC32" s="1550"/>
      <c r="AD32" s="1550"/>
      <c r="AE32" s="1550"/>
      <c r="AF32" s="1550"/>
    </row>
    <row r="33" spans="1:33">
      <c r="A33" s="3695" t="s">
        <v>2388</v>
      </c>
      <c r="B33" s="2181" t="s">
        <v>2389</v>
      </c>
      <c r="C33" s="54">
        <f>ROUND(D5*C19*C20*C24*F33,0)</f>
        <v>0</v>
      </c>
      <c r="D33" s="2168"/>
      <c r="E33" s="50">
        <f t="shared" ref="E33:E39" si="7">ROUND(C33*D33,0)</f>
        <v>0</v>
      </c>
      <c r="F33" s="50">
        <f>SUMIF(修正!A57:A68,G2,修正!B57:B68)</f>
        <v>0</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0"/>
      <c r="Y33" s="1550"/>
      <c r="Z33" s="1550"/>
      <c r="AA33" s="1550"/>
      <c r="AB33" s="1550"/>
      <c r="AC33" s="1550"/>
      <c r="AD33" s="1550"/>
      <c r="AE33" s="1550"/>
      <c r="AF33" s="1550"/>
    </row>
    <row r="34" spans="1:33">
      <c r="A34" s="3696"/>
      <c r="B34" s="2086" t="s">
        <v>2390</v>
      </c>
      <c r="C34" s="54">
        <f>ROUND(D5*C19*C20*C24*F34,0)</f>
        <v>0</v>
      </c>
      <c r="D34" s="2168"/>
      <c r="E34" s="50">
        <f t="shared" si="7"/>
        <v>0</v>
      </c>
      <c r="F34" s="50">
        <f>SUMIF(修正!A57:A68,G2,修正!C57:C68)</f>
        <v>0</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0"/>
      <c r="Y34" s="1550"/>
      <c r="Z34" s="1550"/>
      <c r="AA34" s="1550"/>
      <c r="AB34" s="1550"/>
      <c r="AC34" s="1550"/>
      <c r="AD34" s="1550"/>
      <c r="AE34" s="1550"/>
      <c r="AF34" s="1550"/>
    </row>
    <row r="35" spans="1:33">
      <c r="A35" s="3696"/>
      <c r="B35" s="2086" t="s">
        <v>2391</v>
      </c>
      <c r="C35" s="54">
        <f>ROUND(D5*C19*C20*C24*F35,0)</f>
        <v>0</v>
      </c>
      <c r="D35" s="2168"/>
      <c r="E35" s="50">
        <f t="shared" si="7"/>
        <v>0</v>
      </c>
      <c r="F35" s="50">
        <f>SUMIF(修正!A57:A68,G2,修正!D57:D68)</f>
        <v>0</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0"/>
      <c r="Y35" s="1550"/>
      <c r="Z35" s="1550"/>
      <c r="AA35" s="1550"/>
      <c r="AB35" s="1550"/>
      <c r="AC35" s="1550"/>
      <c r="AD35" s="1550"/>
      <c r="AE35" s="1550"/>
      <c r="AF35" s="1550"/>
    </row>
    <row r="36" spans="1:33" ht="13.5" thickBot="1">
      <c r="A36" s="3697"/>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0"/>
      <c r="Y36" s="1550"/>
      <c r="Z36" s="1550"/>
      <c r="AA36" s="1550"/>
      <c r="AB36" s="1550"/>
      <c r="AC36" s="1550"/>
      <c r="AD36" s="1550"/>
      <c r="AE36" s="1550"/>
      <c r="AF36" s="1550"/>
    </row>
    <row r="37" spans="1:33">
      <c r="A37" s="2182"/>
      <c r="B37" s="2086" t="s">
        <v>2393</v>
      </c>
      <c r="C37" s="50">
        <f>ROUND(D5*C19*C20*C24*F37,0)</f>
        <v>0</v>
      </c>
      <c r="D37" s="2168"/>
      <c r="E37" s="50">
        <f t="shared" si="7"/>
        <v>0</v>
      </c>
      <c r="F37" s="54">
        <f>SUMIF(修正!A57:A68,G2,修正!E57:E68)</f>
        <v>0</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0"/>
      <c r="Y37" s="1550"/>
      <c r="Z37" s="1550"/>
      <c r="AA37" s="1550"/>
      <c r="AB37" s="1550"/>
      <c r="AC37" s="1550"/>
      <c r="AD37" s="1550"/>
      <c r="AE37" s="1550"/>
      <c r="AF37" s="1550"/>
    </row>
    <row r="38" spans="1:33">
      <c r="A38" s="2182"/>
      <c r="B38" s="2086" t="s">
        <v>2395</v>
      </c>
      <c r="C38" s="50">
        <f>ROUND(D5*C19*C41*C24*F38,0)</f>
        <v>0</v>
      </c>
      <c r="D38" s="2168"/>
      <c r="E38" s="50">
        <f t="shared" si="7"/>
        <v>0</v>
      </c>
      <c r="F38" s="54">
        <f>SUMIF(修正!A57:A68,G2,修正!F57:F68)</f>
        <v>0</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0"/>
      <c r="Y38" s="1550"/>
      <c r="Z38" s="1550"/>
      <c r="AA38" s="1550"/>
      <c r="AB38" s="1550"/>
      <c r="AC38" s="1550"/>
      <c r="AD38" s="1550"/>
      <c r="AE38" s="1550"/>
      <c r="AF38" s="1550"/>
    </row>
    <row r="39" spans="1:33" ht="13.5" thickBot="1">
      <c r="A39" s="2172"/>
      <c r="B39" s="2186" t="s">
        <v>2397</v>
      </c>
      <c r="C39" s="2096">
        <f>ROUND(D5*C19*C41*C24*F39,0)</f>
        <v>0</v>
      </c>
      <c r="D39" s="2173"/>
      <c r="E39" s="2096">
        <f t="shared" si="7"/>
        <v>0</v>
      </c>
      <c r="F39" s="56">
        <f>SUMIF(修正!A57:A68,G2,修正!G57:G68)</f>
        <v>0</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0"/>
      <c r="Y39" s="1550"/>
      <c r="Z39" s="1550"/>
      <c r="AA39" s="1550"/>
      <c r="AB39" s="1550"/>
      <c r="AC39" s="1550"/>
      <c r="AD39" s="1550"/>
      <c r="AE39" s="1550"/>
      <c r="AF39" s="1550"/>
    </row>
    <row r="40" spans="1:33" s="2189" customFormat="1">
      <c r="A40" s="1550"/>
      <c r="B40" s="1550"/>
      <c r="C40" s="1550"/>
      <c r="D40" s="1550"/>
      <c r="E40" s="1550"/>
      <c r="F40" s="1550"/>
      <c r="G40" s="1550"/>
      <c r="H40" s="1550"/>
      <c r="I40" s="1550"/>
      <c r="J40" s="1550"/>
      <c r="K40" s="2964"/>
      <c r="L40" s="2964"/>
      <c r="M40" s="2964"/>
      <c r="N40" s="2964"/>
      <c r="O40" s="2964"/>
      <c r="P40" s="2964"/>
      <c r="Q40" s="2964"/>
      <c r="R40" s="2964"/>
      <c r="S40" s="2964"/>
      <c r="T40" s="2964"/>
      <c r="U40" s="2964"/>
      <c r="V40" s="2964"/>
      <c r="W40" s="2964"/>
      <c r="X40" s="1550"/>
      <c r="Y40" s="1550"/>
      <c r="Z40" s="1550"/>
      <c r="AA40" s="1550"/>
      <c r="AB40" s="1550"/>
      <c r="AC40" s="1550"/>
      <c r="AD40" s="1550"/>
      <c r="AE40" s="1550"/>
      <c r="AF40" s="1550"/>
    </row>
    <row r="41" spans="1:33" s="2189" customFormat="1">
      <c r="A41" s="1550"/>
      <c r="B41" s="2190" t="s">
        <v>2476</v>
      </c>
      <c r="C41" s="50">
        <f>ROUND(POWER(1+E41,H41-G41)*(POWER(1+E41,G41)-1)/(POWER(1+E41,H41)-1),4)</f>
        <v>0</v>
      </c>
      <c r="D41" s="50" t="s">
        <v>2474</v>
      </c>
      <c r="E41" s="2191">
        <f>G20</f>
        <v>0.05</v>
      </c>
      <c r="F41" s="50" t="s">
        <v>2475</v>
      </c>
      <c r="G41" s="2192"/>
      <c r="H41" s="50">
        <v>50</v>
      </c>
      <c r="I41" s="1550"/>
      <c r="J41" s="1550"/>
      <c r="K41" s="2964"/>
      <c r="L41" s="2964"/>
      <c r="M41" s="2964"/>
      <c r="N41" s="2964"/>
      <c r="O41" s="2964"/>
      <c r="P41" s="2964"/>
      <c r="Q41" s="2964"/>
      <c r="R41" s="2964"/>
      <c r="S41" s="2964"/>
      <c r="T41" s="2964"/>
      <c r="U41" s="2964"/>
      <c r="V41" s="2964"/>
      <c r="W41" s="2964"/>
      <c r="X41" s="1550"/>
      <c r="Y41" s="1550"/>
      <c r="Z41" s="1550"/>
      <c r="AA41" s="1550"/>
      <c r="AB41" s="1550"/>
      <c r="AC41" s="1550"/>
      <c r="AD41" s="1550"/>
      <c r="AE41" s="1550"/>
      <c r="AF41" s="1550"/>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0"/>
      <c r="Y42" s="1550"/>
      <c r="Z42" s="1550"/>
      <c r="AA42" s="1550"/>
      <c r="AB42" s="1550"/>
      <c r="AC42" s="1550"/>
      <c r="AD42" s="1550"/>
      <c r="AE42" s="1550"/>
      <c r="AF42" s="1550"/>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0"/>
      <c r="Y43" s="1550"/>
      <c r="Z43" s="1550"/>
      <c r="AA43" s="1550"/>
      <c r="AB43" s="1550"/>
      <c r="AC43" s="1550"/>
      <c r="AD43" s="1550"/>
      <c r="AE43" s="1550"/>
      <c r="AF43" s="1550"/>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0"/>
      <c r="Y44" s="1550"/>
      <c r="Z44" s="1550"/>
      <c r="AA44" s="1550"/>
      <c r="AB44" s="1550"/>
      <c r="AC44" s="1550"/>
      <c r="AD44" s="1550"/>
      <c r="AE44" s="1550"/>
      <c r="AF44" s="1550"/>
    </row>
    <row r="45" spans="1:33" s="2189" customFormat="1" ht="15.75" thickBot="1">
      <c r="A45" s="2193" t="s">
        <v>2398</v>
      </c>
      <c r="B45" s="2194"/>
      <c r="C45" s="607"/>
      <c r="D45" s="607"/>
      <c r="E45" s="607"/>
      <c r="F45" s="607"/>
      <c r="G45" s="607"/>
      <c r="H45" s="607"/>
      <c r="I45" s="607"/>
      <c r="J45" s="607"/>
      <c r="K45" s="607"/>
      <c r="L45" s="607"/>
      <c r="M45" s="607"/>
      <c r="N45" s="2024"/>
      <c r="O45" s="1550"/>
      <c r="P45" s="1550"/>
      <c r="Q45" s="2964"/>
      <c r="R45" s="2964"/>
      <c r="S45" s="2964"/>
      <c r="T45" s="2964"/>
      <c r="U45" s="2964"/>
      <c r="V45" s="2964"/>
      <c r="W45" s="2964"/>
      <c r="X45" s="1550"/>
      <c r="Y45" s="1550"/>
      <c r="Z45" s="1550"/>
      <c r="AA45" s="1550"/>
      <c r="AB45" s="1550"/>
      <c r="AC45" s="1550"/>
      <c r="AD45" s="1550"/>
      <c r="AE45" s="1550"/>
      <c r="AF45" s="1550"/>
    </row>
    <row r="46" spans="1:33" s="2189" customFormat="1" ht="15">
      <c r="A46" s="2195" t="s">
        <v>2399</v>
      </c>
      <c r="B46" s="2196">
        <f>1+E48</f>
        <v>1</v>
      </c>
      <c r="C46" s="2197"/>
      <c r="D46" s="2198"/>
      <c r="E46" s="2199"/>
      <c r="F46" s="2200"/>
      <c r="G46" s="607"/>
      <c r="H46" s="607"/>
      <c r="I46" s="607"/>
      <c r="J46" s="607"/>
      <c r="K46" s="607"/>
      <c r="L46" s="607"/>
      <c r="M46" s="2024"/>
      <c r="N46" s="2201"/>
      <c r="O46" s="1550"/>
      <c r="P46" s="1550"/>
      <c r="Q46" s="2964"/>
      <c r="R46" s="2964"/>
      <c r="S46" s="2964"/>
      <c r="T46" s="2964"/>
      <c r="U46" s="2964"/>
      <c r="V46" s="2964"/>
      <c r="W46" s="2964"/>
      <c r="X46" s="1550"/>
      <c r="Y46" s="1550"/>
      <c r="Z46" s="1550"/>
      <c r="AA46" s="1550"/>
      <c r="AB46" s="1550"/>
      <c r="AC46" s="1550"/>
      <c r="AD46" s="1550"/>
      <c r="AE46" s="1550"/>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0"/>
      <c r="P47" s="1550"/>
      <c r="Q47" s="2964"/>
      <c r="R47" s="2964"/>
      <c r="S47" s="2964"/>
      <c r="T47" s="2964"/>
      <c r="U47" s="2964"/>
      <c r="V47" s="2964"/>
      <c r="W47" s="2964"/>
      <c r="X47" s="1550"/>
      <c r="Y47" s="1550"/>
      <c r="Z47" s="1550"/>
      <c r="AA47" s="1550"/>
      <c r="AB47" s="1550"/>
      <c r="AC47" s="1550"/>
      <c r="AD47" s="1550"/>
      <c r="AE47" s="1550"/>
      <c r="AF47" s="1550"/>
      <c r="AG47" s="1550"/>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0"/>
      <c r="P48" s="1550"/>
      <c r="Q48" s="2964"/>
      <c r="R48" s="2964"/>
      <c r="S48" s="2964"/>
      <c r="T48" s="2964"/>
      <c r="U48" s="2964"/>
      <c r="V48" s="2964"/>
      <c r="W48" s="2964"/>
      <c r="X48" s="1550"/>
      <c r="Y48" s="1550"/>
      <c r="Z48" s="1550"/>
      <c r="AA48" s="1550"/>
      <c r="AB48" s="1550"/>
      <c r="AC48" s="1550"/>
      <c r="AD48" s="1550"/>
      <c r="AE48" s="1550"/>
      <c r="AF48" s="1550"/>
      <c r="AG48" s="1550"/>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0"/>
      <c r="P49" s="1550"/>
      <c r="Q49" s="2964"/>
      <c r="R49" s="2964"/>
      <c r="S49" s="2964"/>
      <c r="T49" s="2964"/>
      <c r="U49" s="2964"/>
      <c r="V49" s="2964"/>
      <c r="W49" s="2964"/>
      <c r="X49" s="1550"/>
      <c r="Y49" s="1550"/>
      <c r="Z49" s="1550"/>
      <c r="AA49" s="1550"/>
      <c r="AB49" s="1550"/>
      <c r="AC49" s="1550"/>
      <c r="AD49" s="1550"/>
      <c r="AE49" s="1550"/>
      <c r="AF49" s="1550"/>
      <c r="AG49" s="1550"/>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0"/>
      <c r="P50" s="1550"/>
      <c r="Q50" s="2964"/>
      <c r="R50" s="2964"/>
      <c r="S50" s="2964"/>
      <c r="T50" s="2964"/>
      <c r="U50" s="2964"/>
      <c r="V50" s="2964"/>
      <c r="W50" s="2964"/>
      <c r="X50" s="1550"/>
      <c r="Y50" s="1550"/>
      <c r="Z50" s="1550"/>
      <c r="AA50" s="1550"/>
      <c r="AB50" s="1550"/>
      <c r="AC50" s="1550"/>
      <c r="AD50" s="1550"/>
      <c r="AE50" s="1550"/>
      <c r="AF50" s="1550"/>
      <c r="AG50" s="1550"/>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0"/>
      <c r="P51" s="1550"/>
      <c r="Q51" s="2964"/>
      <c r="R51" s="2964"/>
      <c r="S51" s="2964"/>
      <c r="T51" s="2964"/>
      <c r="U51" s="2964"/>
      <c r="V51" s="2964"/>
      <c r="W51" s="2964"/>
      <c r="X51" s="1550"/>
      <c r="Y51" s="1550"/>
      <c r="Z51" s="1550"/>
      <c r="AA51" s="1550"/>
      <c r="AB51" s="1550"/>
      <c r="AC51" s="1550"/>
      <c r="AD51" s="1550"/>
      <c r="AE51" s="1550"/>
      <c r="AF51" s="1550"/>
      <c r="AG51" s="1550"/>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0"/>
      <c r="P52" s="1550"/>
      <c r="Q52" s="2964"/>
      <c r="R52" s="2964"/>
      <c r="S52" s="2964"/>
      <c r="T52" s="2964"/>
      <c r="U52" s="2964"/>
      <c r="V52" s="2964"/>
      <c r="W52" s="2964"/>
      <c r="X52" s="1550"/>
      <c r="Y52" s="1550"/>
      <c r="Z52" s="1550"/>
      <c r="AA52" s="1550"/>
      <c r="AB52" s="1550"/>
      <c r="AC52" s="1550"/>
      <c r="AD52" s="1550"/>
      <c r="AE52" s="1550"/>
      <c r="AF52" s="1550"/>
      <c r="AG52" s="1550"/>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0"/>
      <c r="P53" s="1550"/>
      <c r="Q53" s="2964"/>
      <c r="R53" s="2964"/>
      <c r="S53" s="2964"/>
      <c r="T53" s="2964"/>
      <c r="U53" s="2964"/>
      <c r="V53" s="2964"/>
      <c r="W53" s="2964"/>
      <c r="X53" s="1550"/>
      <c r="Y53" s="1550"/>
      <c r="Z53" s="1550"/>
      <c r="AA53" s="1550"/>
      <c r="AB53" s="1550"/>
      <c r="AC53" s="1550"/>
      <c r="AD53" s="1550"/>
      <c r="AE53" s="1550"/>
      <c r="AF53" s="1550"/>
      <c r="AG53" s="1550"/>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0"/>
      <c r="P54" s="1550"/>
      <c r="Q54" s="2964"/>
      <c r="R54" s="2964"/>
      <c r="S54" s="2964"/>
      <c r="T54" s="2964"/>
      <c r="U54" s="2964"/>
      <c r="V54" s="2964"/>
      <c r="W54" s="2964"/>
      <c r="X54" s="1550"/>
      <c r="Y54" s="1550"/>
      <c r="Z54" s="1550"/>
      <c r="AA54" s="1550"/>
      <c r="AB54" s="1550"/>
      <c r="AC54" s="1550"/>
      <c r="AD54" s="1550"/>
      <c r="AE54" s="1550"/>
      <c r="AF54" s="1550"/>
      <c r="AG54" s="1550"/>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0"/>
      <c r="P55" s="1550"/>
      <c r="Q55" s="2964"/>
      <c r="R55" s="2964"/>
      <c r="S55" s="2964"/>
      <c r="T55" s="2964"/>
      <c r="U55" s="2964"/>
      <c r="V55" s="2964"/>
      <c r="W55" s="2964"/>
      <c r="X55" s="1550"/>
      <c r="Y55" s="1550"/>
      <c r="Z55" s="1550"/>
      <c r="AA55" s="1550"/>
      <c r="AB55" s="1550"/>
      <c r="AC55" s="1550"/>
      <c r="AD55" s="1550"/>
      <c r="AE55" s="1550"/>
      <c r="AF55" s="1550"/>
      <c r="AG55" s="1550"/>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0"/>
      <c r="P56" s="1550"/>
      <c r="Q56" s="2964"/>
      <c r="R56" s="2964"/>
      <c r="S56" s="2964"/>
      <c r="T56" s="2964"/>
      <c r="U56" s="2964"/>
      <c r="V56" s="2964"/>
      <c r="W56" s="2964"/>
      <c r="X56" s="1550"/>
      <c r="Y56" s="1550"/>
      <c r="Z56" s="1550"/>
      <c r="AA56" s="1550"/>
      <c r="AB56" s="1550"/>
      <c r="AC56" s="1550"/>
      <c r="AD56" s="1550"/>
      <c r="AE56" s="1550"/>
      <c r="AF56" s="1550"/>
      <c r="AG56" s="1550"/>
    </row>
    <row r="57" spans="1:33" s="2189" customFormat="1" ht="15">
      <c r="A57" s="2195" t="s">
        <v>2425</v>
      </c>
      <c r="B57" s="2224">
        <f>1+E59</f>
        <v>1</v>
      </c>
      <c r="C57" s="2198"/>
      <c r="D57" s="2198"/>
      <c r="E57" s="2199"/>
      <c r="F57" s="2200"/>
      <c r="G57" s="607"/>
      <c r="H57" s="607"/>
      <c r="I57" s="607"/>
      <c r="J57" s="607"/>
      <c r="K57" s="607"/>
      <c r="L57" s="607"/>
      <c r="M57" s="607"/>
      <c r="N57" s="607"/>
      <c r="O57" s="1550"/>
      <c r="P57" s="1550"/>
      <c r="Q57" s="2964"/>
      <c r="R57" s="2964"/>
      <c r="S57" s="2964"/>
      <c r="T57" s="2964"/>
      <c r="U57" s="2964"/>
      <c r="V57" s="2964"/>
      <c r="W57" s="2964"/>
      <c r="X57" s="1550"/>
      <c r="Y57" s="1550"/>
      <c r="Z57" s="1550"/>
      <c r="AA57" s="1550"/>
      <c r="AB57" s="1550"/>
      <c r="AC57" s="1550"/>
      <c r="AD57" s="1550"/>
      <c r="AE57" s="1550"/>
      <c r="AF57" s="1550"/>
      <c r="AG57" s="1550"/>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0"/>
      <c r="P58" s="1550"/>
      <c r="Q58" s="2964"/>
      <c r="R58" s="2964"/>
      <c r="S58" s="2964"/>
      <c r="T58" s="2964"/>
      <c r="U58" s="2964"/>
      <c r="V58" s="2964"/>
      <c r="W58" s="2964"/>
      <c r="X58" s="1550"/>
      <c r="Y58" s="1550"/>
      <c r="Z58" s="1550"/>
      <c r="AA58" s="1550"/>
      <c r="AB58" s="1550"/>
      <c r="AC58" s="1550"/>
      <c r="AD58" s="1550"/>
      <c r="AE58" s="1550"/>
      <c r="AF58" s="1550"/>
      <c r="AG58" s="1550"/>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0"/>
      <c r="P59" s="1550"/>
      <c r="Q59" s="2964"/>
      <c r="R59" s="2964"/>
      <c r="S59" s="2964"/>
      <c r="T59" s="2964"/>
      <c r="U59" s="2964"/>
      <c r="V59" s="2964"/>
      <c r="W59" s="2964"/>
      <c r="X59" s="1550"/>
      <c r="Y59" s="1550"/>
      <c r="Z59" s="1550"/>
      <c r="AA59" s="1550"/>
      <c r="AB59" s="1550"/>
      <c r="AC59" s="1550"/>
      <c r="AD59" s="1550"/>
      <c r="AE59" s="1550"/>
      <c r="AF59" s="1550"/>
      <c r="AG59" s="1550"/>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0"/>
      <c r="P60" s="1550"/>
      <c r="Q60" s="2964"/>
      <c r="R60" s="2964"/>
      <c r="S60" s="2964"/>
      <c r="T60" s="2964"/>
      <c r="U60" s="2964"/>
      <c r="V60" s="2964"/>
      <c r="W60" s="2964"/>
      <c r="X60" s="1550"/>
      <c r="Y60" s="1550"/>
      <c r="Z60" s="1550"/>
      <c r="AA60" s="1550"/>
      <c r="AB60" s="1550"/>
      <c r="AC60" s="1550"/>
      <c r="AD60" s="1550"/>
      <c r="AE60" s="1550"/>
      <c r="AF60" s="1550"/>
      <c r="AG60" s="1550"/>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0"/>
      <c r="P61" s="1550"/>
      <c r="Q61" s="2964"/>
      <c r="R61" s="2964"/>
      <c r="S61" s="2964"/>
      <c r="T61" s="2964"/>
      <c r="U61" s="2964"/>
      <c r="V61" s="2964"/>
      <c r="W61" s="2964"/>
      <c r="X61" s="1550"/>
      <c r="Y61" s="1550"/>
      <c r="Z61" s="1550"/>
      <c r="AA61" s="1550"/>
      <c r="AB61" s="1550"/>
      <c r="AC61" s="1550"/>
      <c r="AD61" s="1550"/>
      <c r="AE61" s="1550"/>
      <c r="AF61" s="1550"/>
      <c r="AG61" s="1550"/>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0"/>
      <c r="P62" s="1550"/>
      <c r="Q62" s="2964"/>
      <c r="R62" s="2964"/>
      <c r="S62" s="2964"/>
      <c r="T62" s="2964"/>
      <c r="U62" s="2964"/>
      <c r="V62" s="2964"/>
      <c r="W62" s="2964"/>
      <c r="X62" s="1550"/>
      <c r="Y62" s="1550"/>
      <c r="Z62" s="1550"/>
      <c r="AA62" s="1550"/>
      <c r="AB62" s="1550"/>
      <c r="AC62" s="1550"/>
      <c r="AD62" s="1550"/>
      <c r="AE62" s="1550"/>
      <c r="AF62" s="1550"/>
      <c r="AG62" s="1550"/>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0"/>
      <c r="P63" s="1550"/>
      <c r="Q63" s="2964"/>
      <c r="R63" s="2964"/>
      <c r="S63" s="2964"/>
      <c r="T63" s="2964"/>
      <c r="U63" s="2964"/>
      <c r="V63" s="2964"/>
      <c r="W63" s="2964"/>
      <c r="X63" s="1550"/>
      <c r="Y63" s="1550"/>
      <c r="Z63" s="1550"/>
      <c r="AA63" s="1550"/>
      <c r="AB63" s="1550"/>
      <c r="AC63" s="1550"/>
      <c r="AD63" s="1550"/>
      <c r="AE63" s="1550"/>
      <c r="AF63" s="1550"/>
      <c r="AG63" s="1550"/>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0"/>
      <c r="P64" s="1550"/>
      <c r="Q64" s="2964"/>
      <c r="R64" s="2964"/>
      <c r="S64" s="2964"/>
      <c r="T64" s="2964"/>
      <c r="U64" s="2964"/>
      <c r="V64" s="2964"/>
      <c r="W64" s="2964"/>
      <c r="X64" s="1550"/>
      <c r="Y64" s="1550"/>
      <c r="Z64" s="1550"/>
      <c r="AA64" s="1550"/>
      <c r="AB64" s="1550"/>
      <c r="AC64" s="1550"/>
      <c r="AD64" s="1550"/>
      <c r="AE64" s="1550"/>
      <c r="AF64" s="1550"/>
      <c r="AG64" s="1550"/>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0"/>
      <c r="P65" s="1550"/>
      <c r="Q65" s="2964"/>
      <c r="R65" s="2964"/>
      <c r="S65" s="2964"/>
      <c r="T65" s="2964"/>
      <c r="U65" s="2964"/>
      <c r="V65" s="2964"/>
      <c r="W65" s="2964"/>
      <c r="X65" s="1550"/>
      <c r="Y65" s="1550"/>
      <c r="Z65" s="1550"/>
      <c r="AA65" s="1550"/>
      <c r="AB65" s="1550"/>
      <c r="AC65" s="1550"/>
      <c r="AD65" s="1550"/>
      <c r="AE65" s="1550"/>
      <c r="AF65" s="1550"/>
      <c r="AG65" s="1550"/>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0"/>
      <c r="P66" s="1550"/>
      <c r="Q66" s="2964"/>
      <c r="R66" s="2964"/>
      <c r="S66" s="2964"/>
      <c r="T66" s="2964"/>
      <c r="U66" s="2964"/>
      <c r="V66" s="2964"/>
      <c r="W66" s="2964"/>
      <c r="X66" s="1550"/>
      <c r="Y66" s="1550"/>
      <c r="Z66" s="1550"/>
      <c r="AA66" s="1550"/>
      <c r="AB66" s="1550"/>
      <c r="AC66" s="1550"/>
      <c r="AD66" s="1550"/>
      <c r="AE66" s="1550"/>
      <c r="AF66" s="1550"/>
      <c r="AG66" s="1550"/>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0"/>
      <c r="P67" s="1550"/>
      <c r="Q67" s="2964"/>
      <c r="R67" s="2964"/>
      <c r="S67" s="2964"/>
      <c r="T67" s="2964"/>
      <c r="U67" s="2964"/>
      <c r="V67" s="2964"/>
      <c r="W67" s="2964"/>
      <c r="X67" s="1550"/>
      <c r="Y67" s="1550"/>
      <c r="Z67" s="1550"/>
      <c r="AA67" s="1550"/>
      <c r="AB67" s="1550"/>
      <c r="AC67" s="1550"/>
      <c r="AD67" s="1550"/>
      <c r="AE67" s="1550"/>
      <c r="AF67" s="1550"/>
      <c r="AG67" s="1550"/>
    </row>
    <row r="68" spans="1:33" s="2189" customFormat="1" ht="15">
      <c r="A68" s="2195" t="s">
        <v>2430</v>
      </c>
      <c r="B68" s="2224">
        <f>1+E70</f>
        <v>1</v>
      </c>
      <c r="C68" s="2198"/>
      <c r="D68" s="2198"/>
      <c r="E68" s="2199"/>
      <c r="F68" s="2200"/>
      <c r="G68" s="607"/>
      <c r="H68" s="607"/>
      <c r="I68" s="607"/>
      <c r="J68" s="607"/>
      <c r="K68" s="607"/>
      <c r="L68" s="607"/>
      <c r="M68" s="607"/>
      <c r="N68" s="607"/>
      <c r="O68" s="1550"/>
      <c r="P68" s="1550"/>
      <c r="Q68" s="2964"/>
      <c r="R68" s="2964"/>
      <c r="S68" s="2964"/>
      <c r="T68" s="2964"/>
      <c r="U68" s="2964"/>
      <c r="V68" s="2964"/>
      <c r="W68" s="2964"/>
      <c r="X68" s="1550"/>
      <c r="Y68" s="1550"/>
      <c r="Z68" s="1550"/>
      <c r="AA68" s="1550"/>
      <c r="AB68" s="1550"/>
      <c r="AC68" s="1550"/>
      <c r="AD68" s="1550"/>
      <c r="AE68" s="1550"/>
      <c r="AF68" s="1550"/>
      <c r="AG68" s="1550"/>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0"/>
      <c r="P69" s="1550"/>
      <c r="Q69" s="2964"/>
      <c r="R69" s="2964"/>
      <c r="S69" s="2964"/>
      <c r="T69" s="2964"/>
      <c r="U69" s="2964"/>
      <c r="V69" s="2964"/>
      <c r="W69" s="2964"/>
      <c r="X69" s="1550"/>
      <c r="Y69" s="1550"/>
      <c r="Z69" s="1550"/>
      <c r="AA69" s="1550"/>
      <c r="AB69" s="1550"/>
      <c r="AC69" s="1550"/>
      <c r="AD69" s="1550"/>
      <c r="AE69" s="1550"/>
      <c r="AF69" s="1550"/>
      <c r="AG69" s="1550"/>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0"/>
      <c r="P70" s="1550"/>
      <c r="Q70" s="2964"/>
      <c r="R70" s="2964"/>
      <c r="S70" s="2964"/>
      <c r="T70" s="2964"/>
      <c r="U70" s="2964"/>
      <c r="V70" s="2964"/>
      <c r="W70" s="2964"/>
      <c r="X70" s="1550"/>
      <c r="Y70" s="1550"/>
      <c r="Z70" s="1550"/>
      <c r="AA70" s="1550"/>
      <c r="AB70" s="1550"/>
      <c r="AC70" s="1550"/>
      <c r="AD70" s="1550"/>
      <c r="AE70" s="1550"/>
      <c r="AF70" s="1550"/>
      <c r="AG70" s="1550"/>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0"/>
      <c r="P71" s="1550"/>
      <c r="Q71" s="2964"/>
      <c r="R71" s="2964"/>
      <c r="S71" s="2964"/>
      <c r="T71" s="2964"/>
      <c r="U71" s="2964"/>
      <c r="V71" s="2964"/>
      <c r="W71" s="2964"/>
      <c r="X71" s="1550"/>
      <c r="Y71" s="1550"/>
      <c r="Z71" s="1550"/>
      <c r="AA71" s="1550"/>
      <c r="AB71" s="1550"/>
      <c r="AC71" s="1550"/>
      <c r="AD71" s="1550"/>
      <c r="AE71" s="1550"/>
      <c r="AF71" s="1550"/>
      <c r="AG71" s="1550"/>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0"/>
      <c r="P72" s="1550"/>
      <c r="Q72" s="2964"/>
      <c r="R72" s="2964"/>
      <c r="S72" s="2964"/>
      <c r="T72" s="2964"/>
      <c r="U72" s="2964"/>
      <c r="V72" s="2964"/>
      <c r="W72" s="2964"/>
      <c r="X72" s="1550"/>
      <c r="Y72" s="1550"/>
      <c r="Z72" s="1550"/>
      <c r="AA72" s="1550"/>
      <c r="AB72" s="1550"/>
      <c r="AC72" s="1550"/>
      <c r="AD72" s="1550"/>
      <c r="AE72" s="1550"/>
      <c r="AF72" s="1550"/>
      <c r="AG72" s="1550"/>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0"/>
      <c r="P73" s="1550"/>
      <c r="Q73" s="2964"/>
      <c r="R73" s="2964"/>
      <c r="S73" s="2964"/>
      <c r="T73" s="2964"/>
      <c r="U73" s="2964"/>
      <c r="V73" s="2964"/>
      <c r="W73" s="2964"/>
      <c r="X73" s="1550"/>
      <c r="Y73" s="1550"/>
      <c r="Z73" s="1550"/>
      <c r="AA73" s="1550"/>
      <c r="AB73" s="1550"/>
      <c r="AC73" s="1550"/>
      <c r="AD73" s="1550"/>
      <c r="AE73" s="1550"/>
      <c r="AF73" s="1550"/>
      <c r="AG73" s="1550"/>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0"/>
      <c r="P74" s="1550"/>
      <c r="Q74" s="2964"/>
      <c r="R74" s="2964"/>
      <c r="S74" s="2964"/>
      <c r="T74" s="2964"/>
      <c r="U74" s="2964"/>
      <c r="V74" s="2964"/>
      <c r="W74" s="2964"/>
      <c r="X74" s="1550"/>
      <c r="Y74" s="1550"/>
      <c r="Z74" s="1550"/>
      <c r="AA74" s="1550"/>
      <c r="AB74" s="1550"/>
      <c r="AC74" s="1550"/>
      <c r="AD74" s="1550"/>
      <c r="AE74" s="1550"/>
      <c r="AF74" s="1550"/>
      <c r="AG74" s="1550"/>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0"/>
      <c r="P75" s="1550"/>
      <c r="Q75" s="2964"/>
      <c r="R75" s="2964"/>
      <c r="S75" s="2964"/>
      <c r="T75" s="2964"/>
      <c r="U75" s="2964"/>
      <c r="V75" s="2964"/>
      <c r="W75" s="2964"/>
      <c r="X75" s="1550"/>
      <c r="Y75" s="1550"/>
      <c r="Z75" s="1550"/>
      <c r="AA75" s="1550"/>
      <c r="AB75" s="1550"/>
      <c r="AC75" s="1550"/>
      <c r="AD75" s="1550"/>
      <c r="AE75" s="1550"/>
      <c r="AF75" s="1550"/>
      <c r="AG75" s="1550"/>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1"/>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1"/>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1"/>
      <c r="AG78" s="2189"/>
    </row>
    <row r="79" spans="1:33" ht="15">
      <c r="A79" s="2195" t="s">
        <v>2434</v>
      </c>
      <c r="B79" s="2224">
        <f>1+E81</f>
        <v>1</v>
      </c>
      <c r="C79" s="2198"/>
      <c r="D79" s="2198"/>
      <c r="E79" s="2199"/>
      <c r="F79" s="2200"/>
      <c r="G79" s="607"/>
      <c r="H79" s="607"/>
      <c r="I79" s="607"/>
      <c r="J79" s="607"/>
      <c r="K79" s="607"/>
      <c r="L79" s="607"/>
      <c r="M79" s="607"/>
      <c r="N79" s="607"/>
      <c r="Q79" s="2972"/>
      <c r="R79" s="2972"/>
      <c r="S79" s="2972"/>
      <c r="T79" s="2972"/>
      <c r="U79" s="2972"/>
      <c r="V79" s="2972"/>
      <c r="W79" s="2972"/>
      <c r="AA79" s="1551"/>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1"/>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1"/>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1"/>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1"/>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1"/>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1"/>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1"/>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1"/>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1"/>
      <c r="AG88" s="2189"/>
    </row>
    <row r="89" spans="1:33">
      <c r="Q89" s="2972"/>
      <c r="R89" s="2972"/>
      <c r="S89" s="2972"/>
      <c r="T89" s="2972"/>
      <c r="U89" s="2972"/>
      <c r="V89" s="2972"/>
      <c r="W89" s="2972"/>
    </row>
    <row r="90" spans="1:33">
      <c r="A90" s="3687" t="s">
        <v>2437</v>
      </c>
      <c r="B90" s="3687"/>
      <c r="C90" s="3687"/>
      <c r="D90" s="3687"/>
      <c r="E90" s="3687"/>
      <c r="F90" s="3687"/>
      <c r="G90" s="3687"/>
      <c r="H90" s="3687"/>
      <c r="I90" s="3687"/>
      <c r="J90" s="3687"/>
      <c r="K90" s="2230"/>
      <c r="L90" s="2230"/>
      <c r="M90" s="2230"/>
      <c r="N90" s="2230"/>
      <c r="Q90" s="2972"/>
      <c r="R90" s="2972"/>
      <c r="S90" s="2972"/>
      <c r="T90" s="2972"/>
      <c r="U90" s="2972"/>
      <c r="V90" s="2972"/>
      <c r="W90" s="2972"/>
    </row>
    <row r="91" spans="1:33">
      <c r="A91" s="3689" t="s">
        <v>2438</v>
      </c>
      <c r="B91" s="3689"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689"/>
      <c r="B92" s="3689"/>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690"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691"/>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691"/>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691"/>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691"/>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691"/>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691"/>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692"/>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690"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691"/>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691"/>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691"/>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691"/>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691"/>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691"/>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691"/>
      <c r="B108" s="3693"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692"/>
      <c r="B109" s="3694"/>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688" t="s">
        <v>2445</v>
      </c>
      <c r="B110" s="3688"/>
      <c r="C110" s="3688"/>
      <c r="D110" s="3688"/>
      <c r="E110" s="3688"/>
      <c r="F110" s="3688"/>
      <c r="G110" s="3688"/>
      <c r="H110" s="3688"/>
      <c r="I110" s="3688"/>
      <c r="J110" s="3688"/>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v>
      </c>
      <c r="E113" s="1529" t="s">
        <v>2333</v>
      </c>
      <c r="F113" s="2243" t="str">
        <f>E2</f>
        <v>住宅</v>
      </c>
      <c r="G113" s="1529" t="s">
        <v>2267</v>
      </c>
      <c r="H113" s="2243">
        <f>G2</f>
        <v>0</v>
      </c>
      <c r="I113" s="1529"/>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0" t="s">
        <v>597</v>
      </c>
      <c r="B1" s="3710"/>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0" t="s">
        <v>105</v>
      </c>
      <c r="B1" s="3710"/>
      <c r="C1" s="3710"/>
      <c r="D1" s="3710"/>
      <c r="E1" s="3710"/>
      <c r="F1" s="3710"/>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1" t="s">
        <v>118</v>
      </c>
      <c r="B2" s="3711"/>
      <c r="C2" s="3711"/>
      <c r="D2" s="3711"/>
      <c r="E2" s="3711"/>
      <c r="F2" s="3711"/>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12"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13"/>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18" t="s">
        <v>2803</v>
      </c>
      <c r="B20" s="3721" t="s">
        <v>2811</v>
      </c>
      <c r="C20" s="3286" t="s">
        <v>2812</v>
      </c>
      <c r="D20" s="3287"/>
      <c r="E20" s="3288">
        <v>1</v>
      </c>
      <c r="F20" s="3289" t="s">
        <v>2813</v>
      </c>
      <c r="G20" s="3289"/>
    </row>
    <row r="21" spans="1:13" ht="19.5" customHeight="1">
      <c r="A21" s="3719"/>
      <c r="B21" s="3717"/>
      <c r="C21" s="739" t="s">
        <v>2814</v>
      </c>
      <c r="D21" s="740"/>
      <c r="E21" s="3290">
        <v>1</v>
      </c>
      <c r="F21" s="3289" t="s">
        <v>2815</v>
      </c>
      <c r="G21" s="3289"/>
    </row>
    <row r="22" spans="1:13" ht="19.5" customHeight="1">
      <c r="A22" s="3719"/>
      <c r="B22" s="3717"/>
      <c r="C22" s="739" t="s">
        <v>2816</v>
      </c>
      <c r="D22" s="740"/>
      <c r="E22" s="3290">
        <v>0.9</v>
      </c>
      <c r="F22" s="3289" t="s">
        <v>2817</v>
      </c>
      <c r="G22" s="3289"/>
    </row>
    <row r="23" spans="1:13" ht="19.5" customHeight="1">
      <c r="A23" s="3719"/>
      <c r="B23" s="3717"/>
      <c r="C23" s="739" t="s">
        <v>2818</v>
      </c>
      <c r="D23" s="740"/>
      <c r="E23" s="3290">
        <v>0.9</v>
      </c>
      <c r="F23" s="3289" t="s">
        <v>2819</v>
      </c>
      <c r="G23" s="3289"/>
    </row>
    <row r="24" spans="1:13" ht="19.5" customHeight="1">
      <c r="A24" s="3719"/>
      <c r="B24" s="3717"/>
      <c r="C24" s="739" t="s">
        <v>2820</v>
      </c>
      <c r="D24" s="740"/>
      <c r="E24" s="3290">
        <v>0.8</v>
      </c>
      <c r="F24" s="3289" t="s">
        <v>2821</v>
      </c>
      <c r="G24" s="3289"/>
    </row>
    <row r="25" spans="1:13" ht="19.5" customHeight="1" thickBot="1">
      <c r="A25" s="3720"/>
      <c r="B25" s="3722"/>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23" t="s">
        <v>2808</v>
      </c>
      <c r="B27" s="3721" t="s">
        <v>2808</v>
      </c>
      <c r="C27" s="3286" t="s">
        <v>2825</v>
      </c>
      <c r="D27" s="3287"/>
      <c r="E27" s="3288">
        <v>1</v>
      </c>
      <c r="F27" s="3289" t="s">
        <v>2866</v>
      </c>
      <c r="G27" s="3289"/>
    </row>
    <row r="28" spans="1:13" ht="19.5" customHeight="1">
      <c r="A28" s="3724"/>
      <c r="B28" s="3717"/>
      <c r="C28" s="739" t="s">
        <v>2826</v>
      </c>
      <c r="D28" s="740"/>
      <c r="E28" s="3290">
        <v>1</v>
      </c>
      <c r="F28" s="3289" t="s">
        <v>2867</v>
      </c>
      <c r="G28" s="3289"/>
    </row>
    <row r="29" spans="1:13" ht="19.5" customHeight="1">
      <c r="A29" s="3724"/>
      <c r="B29" s="3717"/>
      <c r="C29" s="739" t="s">
        <v>2827</v>
      </c>
      <c r="D29" s="740"/>
      <c r="E29" s="3290">
        <v>0.8</v>
      </c>
      <c r="F29" s="3289" t="s">
        <v>2868</v>
      </c>
      <c r="G29" s="3289"/>
    </row>
    <row r="30" spans="1:13" ht="19.5" customHeight="1">
      <c r="A30" s="3724"/>
      <c r="B30" s="3717"/>
      <c r="C30" s="739" t="s">
        <v>2828</v>
      </c>
      <c r="D30" s="740"/>
      <c r="E30" s="3290">
        <v>0.8</v>
      </c>
      <c r="F30" s="3289" t="s">
        <v>2869</v>
      </c>
      <c r="G30" s="3289"/>
    </row>
    <row r="31" spans="1:13" ht="19.5" customHeight="1">
      <c r="A31" s="3724"/>
      <c r="B31" s="3717"/>
      <c r="C31" s="739" t="s">
        <v>2829</v>
      </c>
      <c r="D31" s="740"/>
      <c r="E31" s="3290">
        <v>0.8</v>
      </c>
      <c r="F31" s="3289" t="s">
        <v>2870</v>
      </c>
      <c r="G31" s="3289"/>
    </row>
    <row r="32" spans="1:13" ht="19.5" customHeight="1">
      <c r="A32" s="3724"/>
      <c r="B32" s="3717"/>
      <c r="C32" s="739" t="s">
        <v>2830</v>
      </c>
      <c r="D32" s="740"/>
      <c r="E32" s="3290">
        <v>0.7</v>
      </c>
      <c r="F32" s="3289" t="s">
        <v>2871</v>
      </c>
      <c r="G32" s="3289"/>
    </row>
    <row r="33" spans="1:7" ht="19.5" customHeight="1">
      <c r="A33" s="3724"/>
      <c r="B33" s="3717"/>
      <c r="C33" s="739" t="s">
        <v>2831</v>
      </c>
      <c r="D33" s="740"/>
      <c r="E33" s="3290">
        <v>0.8</v>
      </c>
      <c r="F33" s="3289" t="s">
        <v>2872</v>
      </c>
      <c r="G33" s="3289"/>
    </row>
    <row r="34" spans="1:7" ht="19.5" customHeight="1">
      <c r="A34" s="3724"/>
      <c r="B34" s="3717"/>
      <c r="C34" s="739" t="s">
        <v>2832</v>
      </c>
      <c r="D34" s="740"/>
      <c r="E34" s="3290">
        <v>0.6</v>
      </c>
      <c r="F34" s="3289" t="s">
        <v>2873</v>
      </c>
      <c r="G34" s="3289"/>
    </row>
    <row r="35" spans="1:7" ht="19.5" customHeight="1">
      <c r="A35" s="3724"/>
      <c r="B35" s="3717"/>
      <c r="C35" s="739" t="s">
        <v>2833</v>
      </c>
      <c r="D35" s="740"/>
      <c r="E35" s="3290">
        <v>0.2</v>
      </c>
      <c r="F35" s="3289" t="s">
        <v>2874</v>
      </c>
      <c r="G35" s="3289"/>
    </row>
    <row r="36" spans="1:7" ht="19.5" customHeight="1">
      <c r="A36" s="3724"/>
      <c r="B36" s="3717"/>
      <c r="C36" s="739" t="s">
        <v>2834</v>
      </c>
      <c r="D36" s="740"/>
      <c r="E36" s="3290">
        <v>0.2</v>
      </c>
      <c r="F36" s="3289" t="s">
        <v>2875</v>
      </c>
      <c r="G36" s="3289"/>
    </row>
    <row r="37" spans="1:7" ht="19.5" customHeight="1">
      <c r="A37" s="3724"/>
      <c r="B37" s="3715" t="s">
        <v>2835</v>
      </c>
      <c r="C37" s="739" t="s">
        <v>2836</v>
      </c>
      <c r="D37" s="740"/>
      <c r="E37" s="3290">
        <v>0.6</v>
      </c>
      <c r="F37" s="3289" t="s">
        <v>2876</v>
      </c>
      <c r="G37" s="3289"/>
    </row>
    <row r="38" spans="1:7" ht="19.5" customHeight="1">
      <c r="A38" s="3724"/>
      <c r="B38" s="3717"/>
      <c r="C38" s="739" t="s">
        <v>2837</v>
      </c>
      <c r="D38" s="740"/>
      <c r="E38" s="3290">
        <v>0.6</v>
      </c>
      <c r="F38" s="3289" t="s">
        <v>2877</v>
      </c>
      <c r="G38" s="3289"/>
    </row>
    <row r="39" spans="1:7" ht="19.5" customHeight="1" thickBot="1">
      <c r="A39" s="3725"/>
      <c r="B39" s="3722"/>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18" t="s">
        <v>2841</v>
      </c>
      <c r="B41" s="3721" t="s">
        <v>2842</v>
      </c>
      <c r="C41" s="3286" t="s">
        <v>2843</v>
      </c>
      <c r="D41" s="3287"/>
      <c r="E41" s="3288">
        <v>1</v>
      </c>
      <c r="F41" s="3289" t="s">
        <v>2844</v>
      </c>
      <c r="G41" s="3289"/>
    </row>
    <row r="42" spans="1:7" ht="19.5" customHeight="1">
      <c r="A42" s="3719"/>
      <c r="B42" s="3717"/>
      <c r="C42" s="739" t="s">
        <v>2845</v>
      </c>
      <c r="D42" s="740"/>
      <c r="E42" s="3290">
        <v>1</v>
      </c>
      <c r="F42" s="3289" t="s">
        <v>2846</v>
      </c>
      <c r="G42" s="3289"/>
    </row>
    <row r="43" spans="1:7" ht="19.5" customHeight="1">
      <c r="A43" s="3719"/>
      <c r="B43" s="3716"/>
      <c r="C43" s="739" t="s">
        <v>2847</v>
      </c>
      <c r="D43" s="740"/>
      <c r="E43" s="3290">
        <v>1.5</v>
      </c>
      <c r="F43" s="3289" t="s">
        <v>2848</v>
      </c>
      <c r="G43" s="3289"/>
    </row>
    <row r="44" spans="1:7" ht="19.5" customHeight="1">
      <c r="A44" s="3719"/>
      <c r="B44" s="3299" t="s">
        <v>2808</v>
      </c>
      <c r="C44" s="739" t="s">
        <v>2807</v>
      </c>
      <c r="D44" s="740"/>
      <c r="E44" s="3290">
        <v>2</v>
      </c>
      <c r="F44" s="3289" t="s">
        <v>2849</v>
      </c>
      <c r="G44" s="3289"/>
    </row>
    <row r="45" spans="1:7" ht="19.5" customHeight="1">
      <c r="A45" s="3719"/>
      <c r="B45" s="3715" t="s">
        <v>2850</v>
      </c>
      <c r="C45" s="739" t="s">
        <v>2851</v>
      </c>
      <c r="D45" s="740"/>
      <c r="E45" s="3290">
        <v>1</v>
      </c>
      <c r="F45" s="3289" t="s">
        <v>2852</v>
      </c>
      <c r="G45" s="3289"/>
    </row>
    <row r="46" spans="1:7" ht="19.5" customHeight="1">
      <c r="A46" s="3719"/>
      <c r="B46" s="3717"/>
      <c r="C46" s="739" t="s">
        <v>2853</v>
      </c>
      <c r="D46" s="740"/>
      <c r="E46" s="3290">
        <v>1</v>
      </c>
      <c r="F46" s="3289" t="s">
        <v>2854</v>
      </c>
      <c r="G46" s="3289"/>
    </row>
    <row r="47" spans="1:7" ht="19.5" customHeight="1">
      <c r="A47" s="3719"/>
      <c r="B47" s="3717"/>
      <c r="C47" s="739" t="s">
        <v>2855</v>
      </c>
      <c r="D47" s="740"/>
      <c r="E47" s="3290">
        <v>1</v>
      </c>
      <c r="F47" s="3289" t="s">
        <v>2856</v>
      </c>
      <c r="G47" s="3289"/>
    </row>
    <row r="48" spans="1:7" ht="19.5" customHeight="1">
      <c r="A48" s="3719"/>
      <c r="B48" s="3717"/>
      <c r="C48" s="739" t="s">
        <v>2857</v>
      </c>
      <c r="D48" s="740"/>
      <c r="E48" s="3290">
        <v>1</v>
      </c>
      <c r="F48" s="3289" t="s">
        <v>2858</v>
      </c>
      <c r="G48" s="3289"/>
    </row>
    <row r="49" spans="1:7" ht="19.5" customHeight="1">
      <c r="A49" s="3719"/>
      <c r="B49" s="3717"/>
      <c r="C49" s="739" t="s">
        <v>2859</v>
      </c>
      <c r="D49" s="740"/>
      <c r="E49" s="3290">
        <v>1</v>
      </c>
      <c r="F49" s="3289" t="s">
        <v>2860</v>
      </c>
      <c r="G49" s="3289"/>
    </row>
    <row r="50" spans="1:7" ht="19.5" customHeight="1">
      <c r="A50" s="3719"/>
      <c r="B50" s="3717"/>
      <c r="C50" s="739" t="s">
        <v>2861</v>
      </c>
      <c r="D50" s="740"/>
      <c r="E50" s="3290">
        <v>1</v>
      </c>
      <c r="F50" s="3289" t="s">
        <v>2862</v>
      </c>
      <c r="G50" s="3289"/>
    </row>
    <row r="51" spans="1:7" ht="19.5" customHeight="1" thickBot="1">
      <c r="A51" s="3720"/>
      <c r="B51" s="3722"/>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15" t="s">
        <v>2881</v>
      </c>
      <c r="C73" s="3280" t="s">
        <v>2882</v>
      </c>
      <c r="D73" s="3280" t="s">
        <v>2883</v>
      </c>
      <c r="E73" s="3305">
        <v>0.2</v>
      </c>
      <c r="F73" s="3299">
        <v>25</v>
      </c>
    </row>
    <row r="74" spans="1:7" ht="24">
      <c r="A74" s="3299">
        <v>2</v>
      </c>
      <c r="B74" s="3717"/>
      <c r="C74" s="3280" t="s">
        <v>2884</v>
      </c>
      <c r="D74" s="3280" t="s">
        <v>2885</v>
      </c>
      <c r="E74" s="3305">
        <v>0.2</v>
      </c>
      <c r="F74" s="3299">
        <v>25</v>
      </c>
    </row>
    <row r="75" spans="1:7" ht="24">
      <c r="A75" s="3299">
        <v>3</v>
      </c>
      <c r="B75" s="3717"/>
      <c r="C75" s="3280" t="s">
        <v>2886</v>
      </c>
      <c r="D75" s="3280" t="s">
        <v>2887</v>
      </c>
      <c r="E75" s="3305">
        <v>0.2</v>
      </c>
      <c r="F75" s="3299">
        <v>25</v>
      </c>
    </row>
    <row r="76" spans="1:7" ht="13.5">
      <c r="A76" s="3299">
        <v>4</v>
      </c>
      <c r="B76" s="3717"/>
      <c r="C76" s="3280" t="s">
        <v>2888</v>
      </c>
      <c r="D76" s="3280" t="s">
        <v>2889</v>
      </c>
      <c r="E76" s="3305">
        <v>0.15</v>
      </c>
      <c r="F76" s="3299">
        <v>20</v>
      </c>
    </row>
    <row r="77" spans="1:7" ht="24">
      <c r="A77" s="3299">
        <v>5</v>
      </c>
      <c r="B77" s="3717"/>
      <c r="C77" s="3280" t="s">
        <v>2890</v>
      </c>
      <c r="D77" s="3280" t="s">
        <v>2891</v>
      </c>
      <c r="E77" s="3305">
        <v>0.15</v>
      </c>
      <c r="F77" s="3299">
        <v>20</v>
      </c>
    </row>
    <row r="78" spans="1:7" ht="24">
      <c r="A78" s="3299">
        <v>6</v>
      </c>
      <c r="B78" s="3717"/>
      <c r="C78" s="3280" t="s">
        <v>2892</v>
      </c>
      <c r="D78" s="3280" t="s">
        <v>2893</v>
      </c>
      <c r="E78" s="3305">
        <v>0.15</v>
      </c>
      <c r="F78" s="3299">
        <v>20</v>
      </c>
    </row>
    <row r="79" spans="1:7" ht="24">
      <c r="A79" s="3299">
        <v>7</v>
      </c>
      <c r="B79" s="3717"/>
      <c r="C79" s="3280" t="s">
        <v>2894</v>
      </c>
      <c r="D79" s="3280" t="s">
        <v>2895</v>
      </c>
      <c r="E79" s="3305">
        <v>0.15</v>
      </c>
      <c r="F79" s="3299">
        <v>20</v>
      </c>
    </row>
    <row r="80" spans="1:7" ht="24">
      <c r="A80" s="3299">
        <v>8</v>
      </c>
      <c r="B80" s="3717"/>
      <c r="C80" s="3280" t="s">
        <v>2896</v>
      </c>
      <c r="D80" s="3280" t="s">
        <v>2897</v>
      </c>
      <c r="E80" s="3305">
        <v>0.1</v>
      </c>
      <c r="F80" s="3299">
        <v>15</v>
      </c>
    </row>
    <row r="81" spans="1:6" ht="24">
      <c r="A81" s="3299">
        <v>9</v>
      </c>
      <c r="B81" s="3717"/>
      <c r="C81" s="3280" t="s">
        <v>2898</v>
      </c>
      <c r="D81" s="3280" t="s">
        <v>2899</v>
      </c>
      <c r="E81" s="3305">
        <v>0.1</v>
      </c>
      <c r="F81" s="3299">
        <v>15</v>
      </c>
    </row>
    <row r="82" spans="1:6" ht="24">
      <c r="A82" s="3299">
        <v>10</v>
      </c>
      <c r="B82" s="3717"/>
      <c r="C82" s="3280" t="s">
        <v>2900</v>
      </c>
      <c r="D82" s="3280" t="s">
        <v>2901</v>
      </c>
      <c r="E82" s="3305">
        <v>0.1</v>
      </c>
      <c r="F82" s="3299">
        <v>15</v>
      </c>
    </row>
    <row r="83" spans="1:6" ht="24">
      <c r="A83" s="3299">
        <v>11</v>
      </c>
      <c r="B83" s="3717"/>
      <c r="C83" s="3280" t="s">
        <v>2902</v>
      </c>
      <c r="D83" s="3280" t="s">
        <v>2903</v>
      </c>
      <c r="E83" s="3305">
        <v>0.1</v>
      </c>
      <c r="F83" s="3299">
        <v>15</v>
      </c>
    </row>
    <row r="84" spans="1:6" ht="24">
      <c r="A84" s="3299">
        <v>12</v>
      </c>
      <c r="B84" s="3717"/>
      <c r="C84" s="3280" t="s">
        <v>2904</v>
      </c>
      <c r="D84" s="3280" t="s">
        <v>2905</v>
      </c>
      <c r="E84" s="3305">
        <v>0.1</v>
      </c>
      <c r="F84" s="3299">
        <v>15</v>
      </c>
    </row>
    <row r="85" spans="1:6" ht="13.5">
      <c r="A85" s="3299">
        <v>13</v>
      </c>
      <c r="B85" s="3717"/>
      <c r="C85" s="3280" t="s">
        <v>2906</v>
      </c>
      <c r="D85" s="3280" t="s">
        <v>2907</v>
      </c>
      <c r="E85" s="3305">
        <v>0.1</v>
      </c>
      <c r="F85" s="3299">
        <v>15</v>
      </c>
    </row>
    <row r="86" spans="1:6" ht="13.5">
      <c r="A86" s="3299">
        <v>14</v>
      </c>
      <c r="B86" s="3717"/>
      <c r="C86" s="3280" t="s">
        <v>2908</v>
      </c>
      <c r="D86" s="3280" t="s">
        <v>2909</v>
      </c>
      <c r="E86" s="3305">
        <v>0.1</v>
      </c>
      <c r="F86" s="3299">
        <v>15</v>
      </c>
    </row>
    <row r="87" spans="1:6" ht="13.5">
      <c r="A87" s="3299">
        <v>15</v>
      </c>
      <c r="B87" s="3717"/>
      <c r="C87" s="3280" t="s">
        <v>2910</v>
      </c>
      <c r="D87" s="3280" t="s">
        <v>2911</v>
      </c>
      <c r="E87" s="3305">
        <v>0.1</v>
      </c>
      <c r="F87" s="3299">
        <v>15</v>
      </c>
    </row>
    <row r="88" spans="1:6" ht="24">
      <c r="A88" s="3299">
        <v>16</v>
      </c>
      <c r="B88" s="3717"/>
      <c r="C88" s="3280" t="s">
        <v>2912</v>
      </c>
      <c r="D88" s="3280" t="s">
        <v>2913</v>
      </c>
      <c r="E88" s="3305">
        <v>0.1</v>
      </c>
      <c r="F88" s="3299">
        <v>15</v>
      </c>
    </row>
    <row r="89" spans="1:6" ht="24">
      <c r="A89" s="3299">
        <v>17</v>
      </c>
      <c r="B89" s="3716"/>
      <c r="C89" s="3280" t="s">
        <v>2914</v>
      </c>
      <c r="D89" s="3280" t="s">
        <v>2915</v>
      </c>
      <c r="E89" s="3305">
        <v>0.1</v>
      </c>
      <c r="F89" s="3299">
        <v>15</v>
      </c>
    </row>
    <row r="90" spans="1:6" ht="13.5">
      <c r="A90" s="3299">
        <v>18</v>
      </c>
      <c r="B90" s="3715" t="s">
        <v>2916</v>
      </c>
      <c r="C90" s="3280" t="s">
        <v>2917</v>
      </c>
      <c r="D90" s="3280" t="s">
        <v>2918</v>
      </c>
      <c r="E90" s="3305">
        <v>0.2</v>
      </c>
      <c r="F90" s="3299">
        <v>25</v>
      </c>
    </row>
    <row r="91" spans="1:6" ht="24">
      <c r="A91" s="3299">
        <v>19</v>
      </c>
      <c r="B91" s="3717"/>
      <c r="C91" s="3280" t="s">
        <v>2919</v>
      </c>
      <c r="D91" s="3280" t="s">
        <v>2920</v>
      </c>
      <c r="E91" s="3305">
        <v>0.2</v>
      </c>
      <c r="F91" s="3299">
        <v>25</v>
      </c>
    </row>
    <row r="92" spans="1:6" ht="13.5">
      <c r="A92" s="3299">
        <v>20</v>
      </c>
      <c r="B92" s="3717"/>
      <c r="C92" s="3280" t="s">
        <v>2921</v>
      </c>
      <c r="D92" s="3280" t="s">
        <v>2922</v>
      </c>
      <c r="E92" s="3305">
        <v>0.15</v>
      </c>
      <c r="F92" s="3299">
        <v>20</v>
      </c>
    </row>
    <row r="93" spans="1:6" ht="24">
      <c r="A93" s="3299">
        <v>21</v>
      </c>
      <c r="B93" s="3717"/>
      <c r="C93" s="3280" t="s">
        <v>2923</v>
      </c>
      <c r="D93" s="3280" t="s">
        <v>2924</v>
      </c>
      <c r="E93" s="3305">
        <v>0.15</v>
      </c>
      <c r="F93" s="3299">
        <v>20</v>
      </c>
    </row>
    <row r="94" spans="1:6" ht="24">
      <c r="A94" s="3299">
        <v>22</v>
      </c>
      <c r="B94" s="3717"/>
      <c r="C94" s="3280" t="s">
        <v>2925</v>
      </c>
      <c r="D94" s="3280" t="s">
        <v>2926</v>
      </c>
      <c r="E94" s="3305">
        <v>0.15</v>
      </c>
      <c r="F94" s="3299">
        <v>20</v>
      </c>
    </row>
    <row r="95" spans="1:6" ht="36">
      <c r="A95" s="3299">
        <v>23</v>
      </c>
      <c r="B95" s="3717"/>
      <c r="C95" s="3280" t="s">
        <v>2927</v>
      </c>
      <c r="D95" s="3280" t="s">
        <v>2928</v>
      </c>
      <c r="E95" s="3305">
        <v>0.15</v>
      </c>
      <c r="F95" s="3299">
        <v>20</v>
      </c>
    </row>
    <row r="96" spans="1:6" ht="13.5">
      <c r="A96" s="3299">
        <v>24</v>
      </c>
      <c r="B96" s="3717"/>
      <c r="C96" s="3280" t="s">
        <v>2929</v>
      </c>
      <c r="D96" s="3280" t="s">
        <v>2930</v>
      </c>
      <c r="E96" s="3305">
        <v>0.1</v>
      </c>
      <c r="F96" s="3299">
        <v>15</v>
      </c>
    </row>
    <row r="97" spans="1:6" ht="24">
      <c r="A97" s="3299">
        <v>25</v>
      </c>
      <c r="B97" s="3717"/>
      <c r="C97" s="3280" t="s">
        <v>2931</v>
      </c>
      <c r="D97" s="3280" t="s">
        <v>2932</v>
      </c>
      <c r="E97" s="3305">
        <v>0.1</v>
      </c>
      <c r="F97" s="3299">
        <v>15</v>
      </c>
    </row>
    <row r="98" spans="1:6" ht="24">
      <c r="A98" s="3299">
        <v>26</v>
      </c>
      <c r="B98" s="3717"/>
      <c r="C98" s="3280" t="s">
        <v>2933</v>
      </c>
      <c r="D98" s="3280" t="s">
        <v>2934</v>
      </c>
      <c r="E98" s="3305">
        <v>0.1</v>
      </c>
      <c r="F98" s="3299">
        <v>15</v>
      </c>
    </row>
    <row r="99" spans="1:6" ht="24">
      <c r="A99" s="3299">
        <v>27</v>
      </c>
      <c r="B99" s="3717"/>
      <c r="C99" s="3280" t="s">
        <v>2935</v>
      </c>
      <c r="D99" s="3280" t="s">
        <v>2936</v>
      </c>
      <c r="E99" s="3305">
        <v>0.1</v>
      </c>
      <c r="F99" s="3299">
        <v>15</v>
      </c>
    </row>
    <row r="100" spans="1:6" ht="24">
      <c r="A100" s="3299">
        <v>28</v>
      </c>
      <c r="B100" s="3717"/>
      <c r="C100" s="3280" t="s">
        <v>2937</v>
      </c>
      <c r="D100" s="3280" t="s">
        <v>2938</v>
      </c>
      <c r="E100" s="3305">
        <v>0.1</v>
      </c>
      <c r="F100" s="3299">
        <v>15</v>
      </c>
    </row>
    <row r="101" spans="1:6" ht="24">
      <c r="A101" s="3299">
        <v>29</v>
      </c>
      <c r="B101" s="3717"/>
      <c r="C101" s="3280" t="s">
        <v>2939</v>
      </c>
      <c r="D101" s="3280" t="s">
        <v>2940</v>
      </c>
      <c r="E101" s="3305">
        <v>0.1</v>
      </c>
      <c r="F101" s="3299">
        <v>15</v>
      </c>
    </row>
    <row r="102" spans="1:6" ht="24">
      <c r="A102" s="3299">
        <v>30</v>
      </c>
      <c r="B102" s="3717"/>
      <c r="C102" s="3280" t="s">
        <v>2941</v>
      </c>
      <c r="D102" s="3280" t="s">
        <v>2942</v>
      </c>
      <c r="E102" s="3305">
        <v>0.1</v>
      </c>
      <c r="F102" s="3299">
        <v>15</v>
      </c>
    </row>
    <row r="103" spans="1:6" ht="24">
      <c r="A103" s="3299">
        <v>31</v>
      </c>
      <c r="B103" s="3717"/>
      <c r="C103" s="3280" t="s">
        <v>2943</v>
      </c>
      <c r="D103" s="3280" t="s">
        <v>2944</v>
      </c>
      <c r="E103" s="3305">
        <v>0.1</v>
      </c>
      <c r="F103" s="3299">
        <v>15</v>
      </c>
    </row>
    <row r="104" spans="1:6" ht="24">
      <c r="A104" s="3299">
        <v>32</v>
      </c>
      <c r="B104" s="3717"/>
      <c r="C104" s="3280" t="s">
        <v>2945</v>
      </c>
      <c r="D104" s="3280" t="s">
        <v>2946</v>
      </c>
      <c r="E104" s="3305">
        <v>0.1</v>
      </c>
      <c r="F104" s="3299">
        <v>15</v>
      </c>
    </row>
    <row r="105" spans="1:6" ht="24">
      <c r="A105" s="3299">
        <v>33</v>
      </c>
      <c r="B105" s="3717"/>
      <c r="C105" s="3280" t="s">
        <v>2947</v>
      </c>
      <c r="D105" s="3280" t="s">
        <v>2948</v>
      </c>
      <c r="E105" s="3305">
        <v>0.1</v>
      </c>
      <c r="F105" s="3299">
        <v>15</v>
      </c>
    </row>
    <row r="106" spans="1:6" ht="24">
      <c r="A106" s="3299">
        <v>34</v>
      </c>
      <c r="B106" s="3716"/>
      <c r="C106" s="3280" t="s">
        <v>2949</v>
      </c>
      <c r="D106" s="3280" t="s">
        <v>2950</v>
      </c>
      <c r="E106" s="3305">
        <v>0.1</v>
      </c>
      <c r="F106" s="3299">
        <v>15</v>
      </c>
    </row>
    <row r="107" spans="1:6" ht="24">
      <c r="A107" s="3299">
        <v>35</v>
      </c>
      <c r="B107" s="3715" t="s">
        <v>2951</v>
      </c>
      <c r="C107" s="3299" t="s">
        <v>2952</v>
      </c>
      <c r="D107" s="3280" t="s">
        <v>2953</v>
      </c>
      <c r="E107" s="3305">
        <v>0.15</v>
      </c>
      <c r="F107" s="3299">
        <v>20</v>
      </c>
    </row>
    <row r="108" spans="1:6" ht="24">
      <c r="A108" s="3299">
        <v>36</v>
      </c>
      <c r="B108" s="3717"/>
      <c r="C108" s="3299" t="s">
        <v>2954</v>
      </c>
      <c r="D108" s="3280" t="s">
        <v>2955</v>
      </c>
      <c r="E108" s="3305">
        <v>0.15</v>
      </c>
      <c r="F108" s="3299">
        <v>20</v>
      </c>
    </row>
    <row r="109" spans="1:6" ht="24">
      <c r="A109" s="3299">
        <v>37</v>
      </c>
      <c r="B109" s="3717"/>
      <c r="C109" s="3299" t="s">
        <v>2956</v>
      </c>
      <c r="D109" s="3280" t="s">
        <v>2957</v>
      </c>
      <c r="E109" s="3305">
        <v>0.15</v>
      </c>
      <c r="F109" s="3299">
        <v>20</v>
      </c>
    </row>
    <row r="110" spans="1:6" ht="13.5">
      <c r="A110" s="3299">
        <v>38</v>
      </c>
      <c r="B110" s="3717"/>
      <c r="C110" s="3299" t="s">
        <v>2958</v>
      </c>
      <c r="D110" s="3280" t="s">
        <v>2959</v>
      </c>
      <c r="E110" s="3305">
        <v>0.1</v>
      </c>
      <c r="F110" s="3299">
        <v>15</v>
      </c>
    </row>
    <row r="111" spans="1:6" ht="24">
      <c r="A111" s="3299">
        <v>39</v>
      </c>
      <c r="B111" s="3717"/>
      <c r="C111" s="3299" t="s">
        <v>2960</v>
      </c>
      <c r="D111" s="3280" t="s">
        <v>2961</v>
      </c>
      <c r="E111" s="3305">
        <v>0.1</v>
      </c>
      <c r="F111" s="3299">
        <v>15</v>
      </c>
    </row>
    <row r="112" spans="1:6" ht="24">
      <c r="A112" s="3299">
        <v>40</v>
      </c>
      <c r="B112" s="3716"/>
      <c r="C112" s="3299" t="s">
        <v>2962</v>
      </c>
      <c r="D112" s="3280" t="s">
        <v>2963</v>
      </c>
      <c r="E112" s="3305">
        <v>0.1</v>
      </c>
      <c r="F112" s="3299">
        <v>15</v>
      </c>
    </row>
    <row r="113" spans="1:6" ht="24">
      <c r="A113" s="3299">
        <v>41</v>
      </c>
      <c r="B113" s="3714" t="s">
        <v>2964</v>
      </c>
      <c r="C113" s="3299" t="s">
        <v>2965</v>
      </c>
      <c r="D113" s="3280" t="s">
        <v>2966</v>
      </c>
      <c r="E113" s="3305">
        <v>0.1</v>
      </c>
      <c r="F113" s="3299">
        <v>15</v>
      </c>
    </row>
    <row r="114" spans="1:6" ht="13.5">
      <c r="A114" s="3299">
        <v>42</v>
      </c>
      <c r="B114" s="3714"/>
      <c r="C114" s="3299" t="s">
        <v>2967</v>
      </c>
      <c r="D114" s="3280" t="s">
        <v>2968</v>
      </c>
      <c r="E114" s="3305">
        <v>0.1</v>
      </c>
      <c r="F114" s="3299">
        <v>15</v>
      </c>
    </row>
    <row r="115" spans="1:6" ht="24">
      <c r="A115" s="3299">
        <v>43</v>
      </c>
      <c r="B115" s="3714"/>
      <c r="C115" s="3299" t="s">
        <v>2969</v>
      </c>
      <c r="D115" s="3280" t="s">
        <v>2970</v>
      </c>
      <c r="E115" s="3305">
        <v>0.1</v>
      </c>
      <c r="F115" s="3299">
        <v>15</v>
      </c>
    </row>
    <row r="116" spans="1:6" ht="24">
      <c r="A116" s="3299">
        <v>44</v>
      </c>
      <c r="B116" s="3715" t="s">
        <v>2971</v>
      </c>
      <c r="C116" s="3299" t="s">
        <v>2972</v>
      </c>
      <c r="D116" s="3280" t="s">
        <v>2973</v>
      </c>
      <c r="E116" s="3305">
        <v>0.1</v>
      </c>
      <c r="F116" s="3299">
        <v>15</v>
      </c>
    </row>
    <row r="117" spans="1:6" ht="24">
      <c r="A117" s="3299">
        <v>45</v>
      </c>
      <c r="B117" s="3716"/>
      <c r="C117" s="3280" t="s">
        <v>2974</v>
      </c>
      <c r="D117" s="3280" t="s">
        <v>2975</v>
      </c>
      <c r="E117" s="3305">
        <v>0.1</v>
      </c>
      <c r="F117" s="3299">
        <v>15</v>
      </c>
    </row>
    <row r="118" spans="1:6" ht="24">
      <c r="A118" s="3299">
        <v>46</v>
      </c>
      <c r="B118" s="3715" t="s">
        <v>2976</v>
      </c>
      <c r="C118" s="3299" t="s">
        <v>2977</v>
      </c>
      <c r="D118" s="3280" t="s">
        <v>2978</v>
      </c>
      <c r="E118" s="3305">
        <v>0.1</v>
      </c>
      <c r="F118" s="3299">
        <v>15</v>
      </c>
    </row>
    <row r="119" spans="1:6" ht="24">
      <c r="A119" s="3299">
        <v>47</v>
      </c>
      <c r="B119" s="3716"/>
      <c r="C119" s="3299" t="s">
        <v>2979</v>
      </c>
      <c r="D119" s="3280" t="s">
        <v>2980</v>
      </c>
      <c r="E119" s="3305">
        <v>0.1</v>
      </c>
      <c r="F119" s="3299">
        <v>15</v>
      </c>
    </row>
    <row r="120" spans="1:6" ht="24">
      <c r="A120" s="3299">
        <v>48</v>
      </c>
      <c r="B120" s="3715" t="s">
        <v>2981</v>
      </c>
      <c r="C120" s="3299" t="s">
        <v>2982</v>
      </c>
      <c r="D120" s="3280" t="s">
        <v>2983</v>
      </c>
      <c r="E120" s="3305">
        <v>0.1</v>
      </c>
      <c r="F120" s="3299">
        <v>15</v>
      </c>
    </row>
    <row r="121" spans="1:6" ht="13.5">
      <c r="A121" s="3299">
        <v>49</v>
      </c>
      <c r="B121" s="3716"/>
      <c r="C121" s="3299" t="s">
        <v>2984</v>
      </c>
      <c r="D121" s="3280" t="s">
        <v>2985</v>
      </c>
      <c r="E121" s="3305">
        <v>0.1</v>
      </c>
      <c r="F121" s="3299">
        <v>15</v>
      </c>
    </row>
    <row r="122" spans="1:6" ht="24">
      <c r="A122" s="3299">
        <v>50</v>
      </c>
      <c r="B122" s="3714" t="s">
        <v>2986</v>
      </c>
      <c r="C122" s="3299" t="s">
        <v>2987</v>
      </c>
      <c r="D122" s="3280" t="s">
        <v>2988</v>
      </c>
      <c r="E122" s="3305">
        <v>0.1</v>
      </c>
      <c r="F122" s="3299">
        <v>15</v>
      </c>
    </row>
    <row r="123" spans="1:6" ht="24">
      <c r="A123" s="3299">
        <v>51</v>
      </c>
      <c r="B123" s="3714"/>
      <c r="C123" s="3299" t="s">
        <v>2989</v>
      </c>
      <c r="D123" s="3280" t="s">
        <v>2990</v>
      </c>
      <c r="E123" s="3305">
        <v>0.1</v>
      </c>
      <c r="F123" s="3299">
        <v>15</v>
      </c>
    </row>
    <row r="124" spans="1:6" ht="24">
      <c r="A124" s="3299">
        <v>52</v>
      </c>
      <c r="B124" s="3714" t="s">
        <v>2991</v>
      </c>
      <c r="C124" s="3299" t="s">
        <v>2992</v>
      </c>
      <c r="D124" s="3280" t="s">
        <v>2993</v>
      </c>
      <c r="E124" s="3305">
        <v>0.1</v>
      </c>
      <c r="F124" s="3299">
        <v>15</v>
      </c>
    </row>
    <row r="125" spans="1:6" ht="24">
      <c r="A125" s="3299">
        <v>53</v>
      </c>
      <c r="B125" s="3714"/>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14" t="s">
        <v>2999</v>
      </c>
      <c r="C127" s="3299" t="s">
        <v>3000</v>
      </c>
      <c r="D127" s="3280" t="s">
        <v>3001</v>
      </c>
      <c r="E127" s="3305">
        <v>0.1</v>
      </c>
      <c r="F127" s="3299">
        <v>15</v>
      </c>
    </row>
    <row r="128" spans="1:6" ht="13.5">
      <c r="A128" s="3299">
        <v>56</v>
      </c>
      <c r="B128" s="3714"/>
      <c r="C128" s="3299" t="s">
        <v>3002</v>
      </c>
      <c r="D128" s="3280" t="s">
        <v>3003</v>
      </c>
      <c r="E128" s="3305">
        <v>0.1</v>
      </c>
      <c r="F128" s="3299">
        <v>15</v>
      </c>
    </row>
    <row r="129" spans="1:6" ht="24">
      <c r="A129" s="3299">
        <v>57</v>
      </c>
      <c r="B129" s="3714"/>
      <c r="C129" s="3299" t="s">
        <v>3004</v>
      </c>
      <c r="D129" s="3280" t="s">
        <v>3005</v>
      </c>
      <c r="E129" s="3305">
        <v>0.1</v>
      </c>
      <c r="F129" s="3299">
        <v>15</v>
      </c>
    </row>
    <row r="130" spans="1:6" ht="24">
      <c r="A130" s="3299">
        <v>58</v>
      </c>
      <c r="B130" s="3714" t="s">
        <v>3006</v>
      </c>
      <c r="C130" s="3299" t="s">
        <v>3007</v>
      </c>
      <c r="D130" s="3280" t="s">
        <v>3008</v>
      </c>
      <c r="E130" s="3305">
        <v>0.1</v>
      </c>
      <c r="F130" s="3299">
        <v>15</v>
      </c>
    </row>
    <row r="131" spans="1:6" ht="24">
      <c r="A131" s="3299">
        <v>59</v>
      </c>
      <c r="B131" s="3714"/>
      <c r="C131" s="3299" t="s">
        <v>3009</v>
      </c>
      <c r="D131" s="3280" t="s">
        <v>3010</v>
      </c>
      <c r="E131" s="3305">
        <v>0.1</v>
      </c>
      <c r="F131" s="3299">
        <v>15</v>
      </c>
    </row>
    <row r="132" spans="1:6" ht="24">
      <c r="A132" s="3299">
        <v>60</v>
      </c>
      <c r="B132" s="3715" t="s">
        <v>3011</v>
      </c>
      <c r="C132" s="3299" t="s">
        <v>3012</v>
      </c>
      <c r="D132" s="3280" t="s">
        <v>3013</v>
      </c>
      <c r="E132" s="3305">
        <v>0.1</v>
      </c>
      <c r="F132" s="3299">
        <v>15</v>
      </c>
    </row>
    <row r="133" spans="1:6" ht="24">
      <c r="A133" s="3299">
        <v>61</v>
      </c>
      <c r="B133" s="3716"/>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14" t="s">
        <v>3019</v>
      </c>
      <c r="C135" s="3299" t="s">
        <v>3020</v>
      </c>
      <c r="D135" s="3280" t="s">
        <v>3021</v>
      </c>
      <c r="E135" s="3305">
        <v>0.1</v>
      </c>
      <c r="F135" s="3299">
        <v>15</v>
      </c>
    </row>
    <row r="136" spans="1:6" ht="13.5">
      <c r="A136" s="3299">
        <v>64</v>
      </c>
      <c r="B136" s="3714"/>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31" t="s">
        <v>782</v>
      </c>
      <c r="C1" s="3731"/>
      <c r="D1" s="3731"/>
      <c r="E1" s="3731"/>
      <c r="F1" s="3731"/>
      <c r="G1" s="3730" t="s">
        <v>783</v>
      </c>
      <c r="H1" s="3730"/>
      <c r="I1" s="3730"/>
      <c r="J1" s="3730"/>
      <c r="K1" s="3730"/>
      <c r="L1" s="3730"/>
      <c r="N1" s="3730" t="s">
        <v>784</v>
      </c>
      <c r="O1" s="3730"/>
      <c r="P1" s="3730"/>
      <c r="Q1" s="3730"/>
      <c r="S1" s="3730" t="s">
        <v>785</v>
      </c>
      <c r="T1" s="3730"/>
      <c r="U1" s="3730"/>
      <c r="V1" s="3730"/>
      <c r="X1" s="3729" t="s">
        <v>786</v>
      </c>
      <c r="Y1" s="3730"/>
      <c r="Z1" s="3730"/>
      <c r="AA1" s="3730"/>
      <c r="AB1" s="3730"/>
      <c r="AD1" s="3729" t="s">
        <v>787</v>
      </c>
      <c r="AE1" s="3730"/>
      <c r="AF1" s="3730"/>
      <c r="AG1" s="3730"/>
      <c r="AH1" s="3730"/>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27">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27"/>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27"/>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36"/>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732">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27"/>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27"/>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36"/>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32">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27"/>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27"/>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28"/>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26">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27"/>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27"/>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28"/>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26">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27"/>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27"/>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28"/>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33">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34"/>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34"/>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35"/>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26">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27"/>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27"/>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28"/>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26">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27">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27">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28">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26">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27">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27">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28">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26">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27">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27">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28">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26">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27">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27">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28">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26">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27">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27">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28">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26">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27">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27">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28">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26">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27">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27">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28">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26">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27">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27">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28">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26">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27">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27">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28">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26">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27">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27">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28">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44858</v>
      </c>
      <c r="D1" s="1221" t="s">
        <v>935</v>
      </c>
      <c r="E1" s="1227">
        <f>'数据-取费表'!B24</f>
        <v>2</v>
      </c>
      <c r="F1" s="1221" t="s">
        <v>936</v>
      </c>
      <c r="G1" s="1228">
        <f ca="1">INDIRECT("d"&amp;$K$1)/100</f>
        <v>3.6499999999999998E-2</v>
      </c>
      <c r="H1" s="1221" t="s">
        <v>966</v>
      </c>
      <c r="I1" s="1228">
        <f ca="1">F4/100</f>
        <v>1.4999999999999999E-2</v>
      </c>
      <c r="J1" s="1222">
        <f>IF(C1&gt;C13,0,MATCH(C1,C$13:C$109,-1))+IF(SUMIF(C13:C109,C1,D13:D109)=0,13,12)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3.65</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3.65</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3.65</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3.65</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4.3</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44795</v>
      </c>
      <c r="D13" s="1210">
        <v>3.65</v>
      </c>
      <c r="E13" s="1210">
        <f t="shared" ref="E13:E21" si="0">D13</f>
        <v>3.65</v>
      </c>
      <c r="F13" s="1210">
        <f t="shared" ref="F13:F21" si="1">D13</f>
        <v>3.65</v>
      </c>
      <c r="G13" s="1210">
        <f t="shared" ref="G13:G21" si="2">D13</f>
        <v>3.65</v>
      </c>
      <c r="H13" s="1210">
        <v>4.3</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44701</v>
      </c>
      <c r="D14" s="1214">
        <v>3.7</v>
      </c>
      <c r="E14" s="1214">
        <v>3.7</v>
      </c>
      <c r="F14" s="1214">
        <v>3.7</v>
      </c>
      <c r="G14" s="1214">
        <v>3.7</v>
      </c>
      <c r="H14" s="1214">
        <v>4.45</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08"/>
      <c r="C15" s="1215">
        <v>44581</v>
      </c>
      <c r="D15" s="1214">
        <v>3.7</v>
      </c>
      <c r="E15" s="1214">
        <f t="shared" ref="E15" si="3">D15</f>
        <v>3.7</v>
      </c>
      <c r="F15" s="1214">
        <f t="shared" ref="F15" si="4">D15</f>
        <v>3.7</v>
      </c>
      <c r="G15" s="1214">
        <f t="shared" ref="G15" si="5">D15</f>
        <v>3.7</v>
      </c>
      <c r="H15" s="1214">
        <v>4.5999999999999996</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ht="14.25">
      <c r="A16" s="1207"/>
      <c r="B16" s="1214"/>
      <c r="C16" s="1215">
        <v>44550</v>
      </c>
      <c r="D16" s="1214">
        <v>3.8</v>
      </c>
      <c r="E16" s="1214">
        <f t="shared" si="0"/>
        <v>3.8</v>
      </c>
      <c r="F16" s="1214">
        <f t="shared" ref="F16" si="6">D16</f>
        <v>3.8</v>
      </c>
      <c r="G16" s="1214">
        <f t="shared" ref="G16" si="7">D16</f>
        <v>3.8</v>
      </c>
      <c r="H16" s="1214">
        <v>4.6500000000000004</v>
      </c>
      <c r="I16" s="1210"/>
      <c r="J16" s="1210"/>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43941</v>
      </c>
      <c r="D17" s="1214">
        <v>3.85</v>
      </c>
      <c r="E17" s="1214">
        <f t="shared" si="0"/>
        <v>3.85</v>
      </c>
      <c r="F17" s="1214">
        <f t="shared" si="1"/>
        <v>3.85</v>
      </c>
      <c r="G17" s="1214">
        <f t="shared" si="2"/>
        <v>3.85</v>
      </c>
      <c r="H17" s="1214">
        <v>4.6500000000000004</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7" customFormat="1" ht="15">
      <c r="A18" s="1165"/>
      <c r="B18" s="1214"/>
      <c r="C18" s="1215">
        <v>43881</v>
      </c>
      <c r="D18" s="1214">
        <v>4.05</v>
      </c>
      <c r="E18" s="1214">
        <f t="shared" si="0"/>
        <v>4.05</v>
      </c>
      <c r="F18" s="1214">
        <f t="shared" si="1"/>
        <v>4.05</v>
      </c>
      <c r="G18" s="1214">
        <f t="shared" si="2"/>
        <v>4.05</v>
      </c>
      <c r="H18" s="1214">
        <v>4.75</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4"/>
      <c r="C19" s="1215">
        <v>43789</v>
      </c>
      <c r="D19" s="1214">
        <v>4.1500000000000004</v>
      </c>
      <c r="E19" s="1214">
        <f t="shared" si="0"/>
        <v>4.1500000000000004</v>
      </c>
      <c r="F19" s="1214">
        <f t="shared" si="1"/>
        <v>4.1500000000000004</v>
      </c>
      <c r="G19" s="1214">
        <f t="shared" si="2"/>
        <v>4.1500000000000004</v>
      </c>
      <c r="H19" s="1214">
        <v>4.8</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c r="B20" s="1214"/>
      <c r="C20" s="1215">
        <v>43728</v>
      </c>
      <c r="D20" s="1214">
        <v>4.2</v>
      </c>
      <c r="E20" s="1214">
        <f t="shared" si="0"/>
        <v>4.2</v>
      </c>
      <c r="F20" s="1214">
        <f t="shared" si="1"/>
        <v>4.2</v>
      </c>
      <c r="G20" s="1214">
        <f t="shared" si="2"/>
        <v>4.2</v>
      </c>
      <c r="H20" s="1214">
        <v>4.8499999999999996</v>
      </c>
      <c r="I20" s="1214"/>
      <c r="J20" s="1214"/>
      <c r="K20" s="3064"/>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ht="14.25">
      <c r="A21" s="3064"/>
      <c r="B21" s="1208" t="s">
        <v>2642</v>
      </c>
      <c r="C21" s="1217">
        <v>43697</v>
      </c>
      <c r="D21" s="3065">
        <v>4.25</v>
      </c>
      <c r="E21" s="3065">
        <f t="shared" si="0"/>
        <v>4.25</v>
      </c>
      <c r="F21" s="3065">
        <f t="shared" si="1"/>
        <v>4.25</v>
      </c>
      <c r="G21" s="3065">
        <f t="shared" si="2"/>
        <v>4.25</v>
      </c>
      <c r="H21" s="3065">
        <v>4.8499999999999996</v>
      </c>
      <c r="I21" s="3065"/>
      <c r="J21" s="3065"/>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42301</v>
      </c>
      <c r="D22" s="1214">
        <v>4.3499999999999996</v>
      </c>
      <c r="E22" s="1214">
        <v>4.3499999999999996</v>
      </c>
      <c r="F22" s="1214">
        <v>4.75</v>
      </c>
      <c r="G22" s="1214">
        <v>4.75</v>
      </c>
      <c r="H22" s="1214">
        <v>4.9000000000000004</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42242</v>
      </c>
      <c r="D23" s="1214">
        <v>4.5999999999999996</v>
      </c>
      <c r="E23" s="1214">
        <v>4.5999999999999996</v>
      </c>
      <c r="F23" s="1214">
        <v>5</v>
      </c>
      <c r="G23" s="1214">
        <v>5</v>
      </c>
      <c r="H23" s="1214">
        <v>5.15</v>
      </c>
      <c r="I23" s="1214">
        <v>2.75</v>
      </c>
      <c r="J23" s="1214">
        <v>3.25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42183</v>
      </c>
      <c r="D24" s="1214">
        <v>4.8499999999999996</v>
      </c>
      <c r="E24" s="1214">
        <v>4.8499999999999996</v>
      </c>
      <c r="F24" s="1214">
        <v>5.25</v>
      </c>
      <c r="G24" s="1214">
        <v>5.25</v>
      </c>
      <c r="H24" s="1214">
        <v>5.4</v>
      </c>
      <c r="I24" s="1214">
        <v>3</v>
      </c>
      <c r="J24" s="1214">
        <v>3.5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42135</v>
      </c>
      <c r="D25" s="1214">
        <v>5.0999999999999996</v>
      </c>
      <c r="E25" s="1214">
        <v>5.0999999999999996</v>
      </c>
      <c r="F25" s="1214">
        <v>5.5</v>
      </c>
      <c r="G25" s="1214">
        <v>5.5</v>
      </c>
      <c r="H25" s="1214">
        <v>5.65</v>
      </c>
      <c r="I25" s="1214">
        <v>3.25</v>
      </c>
      <c r="J25" s="1214">
        <v>3.75</v>
      </c>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42064</v>
      </c>
      <c r="D26" s="1214">
        <v>5.35</v>
      </c>
      <c r="E26" s="1214">
        <v>5.35</v>
      </c>
      <c r="F26" s="1214">
        <v>5.75</v>
      </c>
      <c r="G26" s="1214">
        <v>5.75</v>
      </c>
      <c r="H26" s="1214">
        <v>5.9</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41965</v>
      </c>
      <c r="D27" s="1214">
        <v>5.6</v>
      </c>
      <c r="E27" s="1214">
        <v>5.6</v>
      </c>
      <c r="F27" s="1214">
        <v>6</v>
      </c>
      <c r="G27" s="1214">
        <v>6</v>
      </c>
      <c r="H27" s="1214">
        <v>6.15</v>
      </c>
      <c r="I27" s="1214"/>
      <c r="J27" s="1214"/>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41096</v>
      </c>
      <c r="D28" s="1214">
        <v>5.6</v>
      </c>
      <c r="E28" s="1214">
        <v>6</v>
      </c>
      <c r="F28" s="1214">
        <v>6.15</v>
      </c>
      <c r="G28" s="1214">
        <v>6.4</v>
      </c>
      <c r="H28" s="1214">
        <v>6.55</v>
      </c>
      <c r="I28" s="1214">
        <v>4</v>
      </c>
      <c r="J28" s="1214">
        <v>4.5</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41068</v>
      </c>
      <c r="D29" s="1214">
        <v>5.85</v>
      </c>
      <c r="E29" s="1214">
        <v>6.31</v>
      </c>
      <c r="F29" s="1214">
        <v>6.4</v>
      </c>
      <c r="G29" s="1214">
        <v>6.65</v>
      </c>
      <c r="H29" s="1214">
        <v>6.8</v>
      </c>
      <c r="I29" s="1214">
        <v>4.2</v>
      </c>
      <c r="J29" s="1214">
        <v>4.7</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40731</v>
      </c>
      <c r="D30" s="1214">
        <v>6.1</v>
      </c>
      <c r="E30" s="1214">
        <v>6.56</v>
      </c>
      <c r="F30" s="1214">
        <v>6.65</v>
      </c>
      <c r="G30" s="1214">
        <v>6.9</v>
      </c>
      <c r="H30" s="1214">
        <v>7.05</v>
      </c>
      <c r="I30" s="1214">
        <v>4.45</v>
      </c>
      <c r="J30" s="1214">
        <v>4.9000000000000004</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40639</v>
      </c>
      <c r="D31" s="1214">
        <v>5.85</v>
      </c>
      <c r="E31" s="1214">
        <v>6.31</v>
      </c>
      <c r="F31" s="1214">
        <v>6.4</v>
      </c>
      <c r="G31" s="1214">
        <v>6.65</v>
      </c>
      <c r="H31" s="1214">
        <v>6.8</v>
      </c>
      <c r="I31" s="1214">
        <v>4.2</v>
      </c>
      <c r="J31" s="1214">
        <v>4.7</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40583</v>
      </c>
      <c r="D32" s="1214">
        <v>5.6</v>
      </c>
      <c r="E32" s="1214">
        <v>6.06</v>
      </c>
      <c r="F32" s="1214">
        <v>6.1</v>
      </c>
      <c r="G32" s="1214">
        <v>6.45</v>
      </c>
      <c r="H32" s="1214">
        <v>6.6</v>
      </c>
      <c r="I32" s="1214">
        <v>4</v>
      </c>
      <c r="J32" s="1214">
        <v>4.5</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40538</v>
      </c>
      <c r="D33" s="1214">
        <v>5.35</v>
      </c>
      <c r="E33" s="1214">
        <v>5.81</v>
      </c>
      <c r="F33" s="1214">
        <v>5.85</v>
      </c>
      <c r="G33" s="1214">
        <v>6.22</v>
      </c>
      <c r="H33" s="1214">
        <v>6.4</v>
      </c>
      <c r="I33" s="1214">
        <v>3.75</v>
      </c>
      <c r="J33" s="1214">
        <v>4.3</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40471</v>
      </c>
      <c r="D34" s="1214">
        <v>5.0999999999999996</v>
      </c>
      <c r="E34" s="1214">
        <v>5.56</v>
      </c>
      <c r="F34" s="1214">
        <v>5.6</v>
      </c>
      <c r="G34" s="1214">
        <v>5.96</v>
      </c>
      <c r="H34" s="1214">
        <v>6.14</v>
      </c>
      <c r="I34" s="1214">
        <v>3.5</v>
      </c>
      <c r="J34" s="1214">
        <v>4.05</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39805</v>
      </c>
      <c r="D35" s="1214">
        <v>4.8600000000000003</v>
      </c>
      <c r="E35" s="1214">
        <v>5.31</v>
      </c>
      <c r="F35" s="1214">
        <v>5.4</v>
      </c>
      <c r="G35" s="1214">
        <v>5.76</v>
      </c>
      <c r="H35" s="1214">
        <v>5.94</v>
      </c>
      <c r="I35" s="1214">
        <v>3.33</v>
      </c>
      <c r="J35" s="1214">
        <v>3.87</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39779</v>
      </c>
      <c r="D36" s="1214">
        <v>5.04</v>
      </c>
      <c r="E36" s="1214">
        <v>5.58</v>
      </c>
      <c r="F36" s="1214">
        <v>5.67</v>
      </c>
      <c r="G36" s="1214">
        <v>5.94</v>
      </c>
      <c r="H36" s="1214">
        <v>6.12</v>
      </c>
      <c r="I36" s="1214">
        <v>3.51</v>
      </c>
      <c r="J36" s="1214">
        <v>4.05</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5">
        <v>39751</v>
      </c>
      <c r="D37" s="1214">
        <v>6.03</v>
      </c>
      <c r="E37" s="1214">
        <v>6.66</v>
      </c>
      <c r="F37" s="1214">
        <v>6.75</v>
      </c>
      <c r="G37" s="1214">
        <v>7.02</v>
      </c>
      <c r="H37" s="1214">
        <v>7.2</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7">
        <v>39748</v>
      </c>
      <c r="D38" s="1214">
        <v>6.12</v>
      </c>
      <c r="E38" s="1214">
        <v>6.93</v>
      </c>
      <c r="F38" s="1214">
        <v>7.02</v>
      </c>
      <c r="G38" s="1214">
        <v>7.29</v>
      </c>
      <c r="H38" s="1214">
        <v>7.47</v>
      </c>
      <c r="I38" s="1214">
        <v>4.05</v>
      </c>
      <c r="J38" s="1214">
        <v>4.59</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39730</v>
      </c>
      <c r="D39" s="1214">
        <v>6.12</v>
      </c>
      <c r="E39" s="1214">
        <v>6.93</v>
      </c>
      <c r="F39" s="1214">
        <v>7.02</v>
      </c>
      <c r="G39" s="1214">
        <v>7.29</v>
      </c>
      <c r="H39" s="1214">
        <v>7.47</v>
      </c>
      <c r="I39" s="1214">
        <v>4.32</v>
      </c>
      <c r="J39" s="1214">
        <v>4.8600000000000003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39707</v>
      </c>
      <c r="D40" s="1214">
        <v>6.21</v>
      </c>
      <c r="E40" s="1214">
        <v>7.2</v>
      </c>
      <c r="F40" s="1214">
        <v>7.29</v>
      </c>
      <c r="G40" s="1214">
        <v>7.56</v>
      </c>
      <c r="H40" s="1214">
        <v>7.74</v>
      </c>
      <c r="I40" s="1214">
        <v>4.59</v>
      </c>
      <c r="J40" s="1214">
        <v>5.13</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39437</v>
      </c>
      <c r="D41" s="1214">
        <v>6.57</v>
      </c>
      <c r="E41" s="1214">
        <v>7.47</v>
      </c>
      <c r="F41" s="1214">
        <v>7.56</v>
      </c>
      <c r="G41" s="1214">
        <v>7.74</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39340</v>
      </c>
      <c r="D42" s="1214">
        <v>6.48</v>
      </c>
      <c r="E42" s="1214">
        <v>7.29</v>
      </c>
      <c r="F42" s="1214">
        <v>7.47</v>
      </c>
      <c r="G42" s="1214">
        <v>7.65</v>
      </c>
      <c r="H42" s="1214">
        <v>7.83</v>
      </c>
      <c r="I42" s="1214">
        <v>4.7699999999999996</v>
      </c>
      <c r="J42" s="1214">
        <v>5.22</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39316</v>
      </c>
      <c r="D43" s="1214">
        <v>6.21</v>
      </c>
      <c r="E43" s="1214">
        <v>7.02</v>
      </c>
      <c r="F43" s="1214">
        <v>7.2</v>
      </c>
      <c r="G43" s="1214">
        <v>7.38</v>
      </c>
      <c r="H43" s="1214">
        <v>7.56</v>
      </c>
      <c r="I43" s="1214">
        <v>4.59</v>
      </c>
      <c r="J43" s="1214">
        <v>5.04</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39284</v>
      </c>
      <c r="D44" s="1214">
        <v>6.03</v>
      </c>
      <c r="E44" s="1214">
        <v>6.84</v>
      </c>
      <c r="F44" s="1214">
        <v>7.02</v>
      </c>
      <c r="G44" s="1214">
        <v>7.2</v>
      </c>
      <c r="H44" s="1214">
        <v>7.38</v>
      </c>
      <c r="I44" s="1214">
        <v>4.5</v>
      </c>
      <c r="J44" s="1214">
        <v>4.95</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39221</v>
      </c>
      <c r="D45" s="1214">
        <v>5.85</v>
      </c>
      <c r="E45" s="1214">
        <v>6.57</v>
      </c>
      <c r="F45" s="1214">
        <v>6.75</v>
      </c>
      <c r="G45" s="1214">
        <v>6.93</v>
      </c>
      <c r="H45" s="1214">
        <v>7.2</v>
      </c>
      <c r="I45" s="1214">
        <v>4.41</v>
      </c>
      <c r="J45" s="1214">
        <v>4.8600000000000003</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39159</v>
      </c>
      <c r="D46" s="1214">
        <v>5.67</v>
      </c>
      <c r="E46" s="1214">
        <v>6.39</v>
      </c>
      <c r="F46" s="1214">
        <v>6.57</v>
      </c>
      <c r="G46" s="1214">
        <v>6.75</v>
      </c>
      <c r="H46" s="1214">
        <v>7.11</v>
      </c>
      <c r="I46" s="1214">
        <v>4.32</v>
      </c>
      <c r="J46" s="1214">
        <v>4.7699999999999996</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38948</v>
      </c>
      <c r="D47" s="1214">
        <v>5.58</v>
      </c>
      <c r="E47" s="1214">
        <v>6.12</v>
      </c>
      <c r="F47" s="1214">
        <v>6.3</v>
      </c>
      <c r="G47" s="1214">
        <v>6.48</v>
      </c>
      <c r="H47" s="1214">
        <v>6.84</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38835</v>
      </c>
      <c r="D48" s="1214">
        <v>5.4</v>
      </c>
      <c r="E48" s="1214">
        <v>5.85</v>
      </c>
      <c r="F48" s="1214">
        <v>6.03</v>
      </c>
      <c r="G48" s="1214">
        <v>6.12</v>
      </c>
      <c r="H48" s="1214">
        <v>6.39</v>
      </c>
      <c r="I48" s="1214">
        <v>4.1399999999999997</v>
      </c>
      <c r="J48" s="1214">
        <v>4.59</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38428</v>
      </c>
      <c r="D49" s="1214">
        <v>5.22</v>
      </c>
      <c r="E49" s="1214">
        <v>5.58</v>
      </c>
      <c r="F49" s="1214">
        <v>5.76</v>
      </c>
      <c r="G49" s="1214">
        <v>5.85</v>
      </c>
      <c r="H49" s="1214">
        <v>6.12</v>
      </c>
      <c r="I49" s="1214">
        <v>3.96</v>
      </c>
      <c r="J49" s="1214">
        <v>4.41</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38289</v>
      </c>
      <c r="D50" s="1214">
        <v>5.22</v>
      </c>
      <c r="E50" s="1214">
        <v>5.58</v>
      </c>
      <c r="F50" s="1214">
        <v>5.76</v>
      </c>
      <c r="G50" s="1214">
        <v>5.85</v>
      </c>
      <c r="H50" s="1214">
        <v>6.12</v>
      </c>
      <c r="I50" s="1214">
        <v>3.78</v>
      </c>
      <c r="J50" s="1214">
        <v>4.2300000000000004</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37308</v>
      </c>
      <c r="D51" s="1214">
        <v>5.04</v>
      </c>
      <c r="E51" s="1214">
        <v>5.31</v>
      </c>
      <c r="F51" s="1214">
        <v>5.49</v>
      </c>
      <c r="G51" s="1214">
        <v>5.58</v>
      </c>
      <c r="H51" s="1214">
        <v>5.76</v>
      </c>
      <c r="I51" s="1214">
        <v>3.6</v>
      </c>
      <c r="J51" s="1214">
        <v>4.05</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36321</v>
      </c>
      <c r="D52" s="1214">
        <v>5.58</v>
      </c>
      <c r="E52" s="1214">
        <v>5.85</v>
      </c>
      <c r="F52" s="1214">
        <v>5.94</v>
      </c>
      <c r="G52" s="1214">
        <v>6.03</v>
      </c>
      <c r="H52" s="1214">
        <v>6.21</v>
      </c>
      <c r="I52" s="1214">
        <v>4.1399999999999997</v>
      </c>
      <c r="J52" s="1214">
        <v>4.59</v>
      </c>
      <c r="L52" s="1214"/>
      <c r="M52" s="1215"/>
      <c r="N52" s="1214"/>
      <c r="O52" s="1214"/>
      <c r="P52" s="1214"/>
      <c r="Q52" s="1214"/>
      <c r="R52" s="1214"/>
      <c r="S52" s="1214"/>
      <c r="T52" s="1214"/>
      <c r="U52" s="1214"/>
      <c r="V52" s="1214"/>
      <c r="W52" s="1214"/>
      <c r="X52" s="1214"/>
      <c r="Y52" s="1214"/>
      <c r="Z52" s="1214"/>
    </row>
    <row r="53" spans="2:26">
      <c r="B53" s="1214"/>
      <c r="C53" s="1215">
        <v>36136</v>
      </c>
      <c r="D53" s="1214">
        <v>6.12</v>
      </c>
      <c r="E53" s="1214">
        <v>6.39</v>
      </c>
      <c r="F53" s="1214">
        <v>6.66</v>
      </c>
      <c r="G53" s="1214">
        <v>7.2</v>
      </c>
      <c r="H53" s="1214">
        <v>7.56</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35977</v>
      </c>
      <c r="D54" s="1214">
        <v>6.57</v>
      </c>
      <c r="E54" s="1214">
        <v>6.93</v>
      </c>
      <c r="F54" s="1214">
        <v>7.11</v>
      </c>
      <c r="G54" s="1214">
        <v>7.65</v>
      </c>
      <c r="H54" s="1214">
        <v>8.01</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35879</v>
      </c>
      <c r="D55" s="1214">
        <v>7.02</v>
      </c>
      <c r="E55" s="1214">
        <v>7.92</v>
      </c>
      <c r="F55" s="1214">
        <v>9</v>
      </c>
      <c r="G55" s="1214">
        <v>9.7200000000000006</v>
      </c>
      <c r="H55" s="1214">
        <v>10.35</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35726</v>
      </c>
      <c r="D56" s="1214">
        <v>7.65</v>
      </c>
      <c r="E56" s="1214">
        <v>8.64</v>
      </c>
      <c r="F56" s="1214">
        <v>9.36</v>
      </c>
      <c r="G56" s="1214">
        <v>9.9</v>
      </c>
      <c r="H56" s="1214">
        <v>10.53</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35300</v>
      </c>
      <c r="D57" s="1214">
        <v>9.18</v>
      </c>
      <c r="E57" s="1214">
        <v>10.08</v>
      </c>
      <c r="F57" s="1214">
        <v>10.98</v>
      </c>
      <c r="G57" s="1214">
        <v>11.7</v>
      </c>
      <c r="H57" s="1214">
        <v>12.42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35186</v>
      </c>
      <c r="D58" s="1214">
        <v>9.7200000000000006</v>
      </c>
      <c r="E58" s="1214">
        <v>10.98</v>
      </c>
      <c r="F58" s="1214">
        <v>13.14</v>
      </c>
      <c r="G58" s="1214">
        <v>14.94</v>
      </c>
      <c r="H58" s="1214">
        <v>15.12</v>
      </c>
      <c r="I58" s="1214">
        <v>0</v>
      </c>
      <c r="J58" s="1214">
        <v>0</v>
      </c>
    </row>
    <row r="59" spans="2:26">
      <c r="B59" s="1214"/>
      <c r="C59" s="1215">
        <v>34881</v>
      </c>
      <c r="D59" s="1214">
        <v>10.08</v>
      </c>
      <c r="E59" s="1214">
        <v>12.06</v>
      </c>
      <c r="F59" s="1214">
        <v>13.5</v>
      </c>
      <c r="G59" s="1214">
        <v>15.12</v>
      </c>
      <c r="H59" s="1214">
        <v>15.3</v>
      </c>
      <c r="I59" s="1214">
        <v>0</v>
      </c>
      <c r="J59" s="1214">
        <v>0</v>
      </c>
    </row>
    <row r="60" spans="2:26">
      <c r="B60" s="1214"/>
      <c r="C60" s="1215">
        <v>34700</v>
      </c>
      <c r="D60" s="1214">
        <v>9</v>
      </c>
      <c r="E60" s="1214">
        <v>10.98</v>
      </c>
      <c r="F60" s="1214">
        <v>12.96</v>
      </c>
      <c r="G60" s="1214">
        <v>14.58</v>
      </c>
      <c r="H60" s="1214">
        <v>14.76</v>
      </c>
      <c r="I60" s="1214">
        <v>0</v>
      </c>
      <c r="J60" s="1214">
        <v>0</v>
      </c>
    </row>
    <row r="61" spans="2:26">
      <c r="B61" s="1214"/>
      <c r="C61" s="1215">
        <v>34161</v>
      </c>
      <c r="D61" s="1214">
        <v>9</v>
      </c>
      <c r="E61" s="1214">
        <v>10.98</v>
      </c>
      <c r="F61" s="1214">
        <v>12.24</v>
      </c>
      <c r="G61" s="1214">
        <v>13.86</v>
      </c>
      <c r="H61" s="1214">
        <v>14.04</v>
      </c>
      <c r="I61" s="1214">
        <v>0</v>
      </c>
      <c r="J61" s="1214">
        <v>0</v>
      </c>
    </row>
    <row r="62" spans="2:26">
      <c r="B62" s="1214"/>
      <c r="C62" s="1215">
        <v>34104</v>
      </c>
      <c r="D62" s="1214">
        <v>8.82</v>
      </c>
      <c r="E62" s="1214">
        <v>9.36</v>
      </c>
      <c r="F62" s="1214">
        <v>10.8</v>
      </c>
      <c r="G62" s="1214">
        <v>12.06</v>
      </c>
      <c r="H62" s="1214">
        <v>12.24</v>
      </c>
      <c r="I62" s="1214">
        <v>0</v>
      </c>
      <c r="J62" s="1214">
        <v>0</v>
      </c>
    </row>
    <row r="63" spans="2:26">
      <c r="B63" s="1214"/>
      <c r="C63" s="1215">
        <v>33349</v>
      </c>
      <c r="D63" s="1214">
        <v>8.1</v>
      </c>
      <c r="E63" s="1214">
        <v>8.64</v>
      </c>
      <c r="F63" s="1214">
        <v>9</v>
      </c>
      <c r="G63" s="1214">
        <v>9.5399999999999991</v>
      </c>
      <c r="H63" s="1214">
        <v>9.7200000000000006</v>
      </c>
      <c r="I63" s="1214">
        <v>0</v>
      </c>
      <c r="J63" s="1214">
        <v>0</v>
      </c>
    </row>
    <row r="64" spans="2:26">
      <c r="B64" s="1214"/>
      <c r="C64" s="1215">
        <v>33318</v>
      </c>
      <c r="D64" s="1214">
        <v>9</v>
      </c>
      <c r="E64" s="1214">
        <v>10.08</v>
      </c>
      <c r="F64" s="1214">
        <v>10.8</v>
      </c>
      <c r="G64" s="1214">
        <v>11.52</v>
      </c>
      <c r="H64" s="1214">
        <v>11.88</v>
      </c>
      <c r="I64" s="1214" t="s">
        <v>965</v>
      </c>
      <c r="J64" s="1214" t="s">
        <v>965</v>
      </c>
    </row>
    <row r="65" spans="2:10">
      <c r="B65" s="1214"/>
      <c r="C65" s="1215">
        <v>33106</v>
      </c>
      <c r="D65" s="1214">
        <v>8.64</v>
      </c>
      <c r="E65" s="1214">
        <v>9.36</v>
      </c>
      <c r="F65" s="1214">
        <v>10.08</v>
      </c>
      <c r="G65" s="1214">
        <v>10.8</v>
      </c>
      <c r="H65" s="1214">
        <v>11.16</v>
      </c>
      <c r="I65" s="1214">
        <v>0</v>
      </c>
      <c r="J65" s="1214">
        <v>0</v>
      </c>
    </row>
    <row r="66" spans="2:10">
      <c r="B66" s="1214"/>
      <c r="C66" s="1215">
        <v>32540</v>
      </c>
      <c r="D66" s="1214">
        <v>11.34</v>
      </c>
      <c r="E66" s="1214">
        <v>11.34</v>
      </c>
      <c r="F66" s="1214">
        <v>12.78</v>
      </c>
      <c r="G66" s="1214">
        <v>14.4</v>
      </c>
      <c r="H66" s="1214">
        <v>19.260000000000002</v>
      </c>
      <c r="I66" s="1214">
        <v>0</v>
      </c>
      <c r="J66" s="1214">
        <v>0</v>
      </c>
    </row>
    <row r="67" spans="2:10">
      <c r="B67" s="1214"/>
      <c r="C67" s="1215"/>
      <c r="D67" s="1214"/>
      <c r="E67" s="1214"/>
      <c r="F67" s="1214"/>
      <c r="G67" s="1214"/>
      <c r="H67" s="1214"/>
      <c r="I67" s="1214"/>
      <c r="J67" s="1214"/>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218"/>
      <c r="C70" s="1219"/>
      <c r="D70" s="1218"/>
      <c r="E70" s="1218"/>
      <c r="F70" s="1218"/>
      <c r="G70" s="1218"/>
      <c r="H70" s="1218"/>
      <c r="I70" s="1218"/>
      <c r="J70" s="1218"/>
    </row>
    <row r="71" spans="2:10">
      <c r="B71" s="1165"/>
      <c r="C71" s="1165"/>
      <c r="D71" s="1165"/>
      <c r="E71" s="1165"/>
      <c r="F71" s="1165"/>
      <c r="G71" s="1165"/>
      <c r="H71" s="1165"/>
      <c r="I71" s="1165"/>
      <c r="J71" s="1165"/>
    </row>
    <row r="72" spans="2:10">
      <c r="B72" s="1165"/>
      <c r="C72" s="1165"/>
      <c r="D72" s="1165"/>
      <c r="E72" s="1165"/>
      <c r="F72" s="1165"/>
      <c r="G72" s="1165"/>
      <c r="H72" s="1165"/>
      <c r="I72" s="1165"/>
      <c r="J72"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89"/>
      <c r="B3" s="1289"/>
      <c r="C3" s="1289"/>
      <c r="D3" s="1289"/>
      <c r="E3" s="1289"/>
    </row>
    <row r="4" spans="1:5" ht="19.5"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6"/>
      <c r="B5" s="1290" t="s">
        <v>562</v>
      </c>
      <c r="C5" s="3334" t="s">
        <v>593</v>
      </c>
      <c r="D5" s="3335"/>
      <c r="E5" s="1286"/>
    </row>
    <row r="6" spans="1:5" ht="14.25">
      <c r="A6" s="1286"/>
      <c r="B6" s="1291" t="str">
        <f>项目基本情况!I1</f>
        <v>北京市房地产</v>
      </c>
      <c r="C6" s="3336">
        <f>项目基本情况!C12</f>
        <v>770.88</v>
      </c>
      <c r="D6" s="3336"/>
      <c r="E6" s="1286"/>
    </row>
    <row r="7" spans="1:5" ht="14.25">
      <c r="A7" s="1286"/>
      <c r="B7" s="3330" t="s">
        <v>594</v>
      </c>
      <c r="C7" s="1292" t="str">
        <f>IF('数据-取费表'!B3="万元","总价（万元）","总价（元）")</f>
        <v>总价（万元）</v>
      </c>
      <c r="D7" s="1293">
        <f ca="1">IF('数据-取费表'!E3="否",结果表!I102,'结果表 (1修多)'!I104)</f>
        <v>2940</v>
      </c>
      <c r="E7" s="1286"/>
    </row>
    <row r="8" spans="1:5" ht="14.25">
      <c r="A8" s="1286"/>
      <c r="B8" s="3330"/>
      <c r="C8" s="1294" t="s">
        <v>924</v>
      </c>
      <c r="D8" s="1295" t="str">
        <f ca="1">IF('数据-取费表'!B3="万元",NUMBERSTRING(INT(D7*10000),2)&amp;"元整",NUMBERSTRING(INT(D7),2)&amp;"元整")</f>
        <v>贰仟玖佰肆拾万元整</v>
      </c>
      <c r="E8" s="1286"/>
    </row>
    <row r="9" spans="1:5" ht="14.25">
      <c r="A9" s="1286"/>
      <c r="B9" s="3330"/>
      <c r="C9" s="1296" t="s">
        <v>1020</v>
      </c>
      <c r="D9" s="1293">
        <f ca="1">IF('数据-取费表'!E3="否",结果表!I103,'结果表 (1修多)'!I105)</f>
        <v>38138</v>
      </c>
      <c r="E9" s="1286"/>
    </row>
    <row r="10" spans="1:5" ht="14.25">
      <c r="A10" s="1286"/>
      <c r="B10" s="3337"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7"/>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7" t="str">
        <f>IF('数据-取费表'!E3="否",结果表!F110,'结果表 (1修多)'!F112)</f>
        <v>3.房地产抵押价值</v>
      </c>
      <c r="C15" s="1287" t="str">
        <f>C7</f>
        <v>总价（万元）</v>
      </c>
      <c r="D15" s="1293">
        <f ca="1">IF('数据-取费表'!E3="否",结果表!I110,'结果表 (1修多)'!I112)</f>
        <v>2940</v>
      </c>
      <c r="E15" s="1286"/>
    </row>
    <row r="16" spans="1:5" ht="14.25">
      <c r="A16" s="1286"/>
      <c r="B16" s="3337"/>
      <c r="C16" s="1294" t="s">
        <v>924</v>
      </c>
      <c r="D16" s="1293" t="str">
        <f ca="1">IF('数据-取费表'!B3="万元",NUMBERSTRING(INT(D15*10000),2)&amp;"元整",NUMBERSTRING(INT(D15),2)&amp;"元整")</f>
        <v>贰仟玖佰肆拾万元整</v>
      </c>
      <c r="E16" s="1286"/>
    </row>
    <row r="17" spans="1:5" ht="14.25">
      <c r="A17" s="1286"/>
      <c r="B17" s="3337"/>
      <c r="C17" s="1296" t="s">
        <v>1020</v>
      </c>
      <c r="D17" s="1293">
        <f ca="1">IF('数据-取费表'!E3="否",结果表!I111,'结果表 (1修多)'!I113)</f>
        <v>38138</v>
      </c>
      <c r="E17" s="1286"/>
    </row>
    <row r="18" spans="1:5" ht="14.25">
      <c r="A18" s="1286"/>
      <c r="B18" s="3337" t="str">
        <f>IF('数据-取费表'!E3="否",结果表!F112,'结果表 (1修多)'!F114)</f>
        <v>——</v>
      </c>
      <c r="C18" s="1287" t="str">
        <f>C7</f>
        <v>总价（万元）</v>
      </c>
      <c r="D18" s="1293" t="str">
        <f>IF('数据-取费表'!E3="否",结果表!I112,'结果表 (1修多)'!I114)</f>
        <v>——</v>
      </c>
      <c r="E18" s="1286"/>
    </row>
    <row r="19" spans="1:5" ht="14.25">
      <c r="A19" s="1286"/>
      <c r="B19" s="3337"/>
      <c r="C19" s="1294" t="s">
        <v>924</v>
      </c>
      <c r="D19" s="1293" t="e">
        <f>IF('数据-取费表'!B3="万元",NUMBERSTRING(INT(D18*10000),2)&amp;"元整",NUMBERSTRING(INT(D18),2)&amp;"元整")</f>
        <v>#VALUE!</v>
      </c>
      <c r="E19" s="1286"/>
    </row>
    <row r="20" spans="1:5" ht="14.25">
      <c r="A20" s="1286"/>
      <c r="B20" s="3337"/>
      <c r="C20" s="1296" t="s">
        <v>1020</v>
      </c>
      <c r="D20" s="1293" t="str">
        <f>IF('数据-取费表'!E3="否",结果表!I113,'结果表 (1修多)'!I115)</f>
        <v>——</v>
      </c>
      <c r="E20" s="1286"/>
    </row>
    <row r="21" spans="1:5" ht="14.25">
      <c r="A21" s="1286"/>
      <c r="B21" s="3330" t="str">
        <f>IF('数据-取费表'!E3="否",结果表!F114,'结果表 (1修多)'!F116)</f>
        <v>——</v>
      </c>
      <c r="C21" s="1292" t="str">
        <f>C7</f>
        <v>总价（万元）</v>
      </c>
      <c r="D21" s="1293" t="str">
        <f>IF('数据-取费表'!E3="否",结果表!I114,'结果表 (1修多)'!I116)</f>
        <v>——</v>
      </c>
      <c r="E21" s="1286"/>
    </row>
    <row r="22" spans="1:5" ht="14.25">
      <c r="A22" s="1286"/>
      <c r="B22" s="3330"/>
      <c r="C22" s="1294" t="s">
        <v>924</v>
      </c>
      <c r="D22" s="1295" t="e">
        <f>IF('数据-取费表'!B3="万元",NUMBERSTRING(INT(D21*10000),2)&amp;"元整",NUMBERSTRING(INT(D21),2)&amp;"元整")</f>
        <v>#VALUE!</v>
      </c>
      <c r="E22" s="1286"/>
    </row>
    <row r="23" spans="1:5" ht="15" thickBot="1">
      <c r="A23" s="1286"/>
      <c r="B23" s="3331"/>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5" t="s">
        <v>1021</v>
      </c>
      <c r="C25" s="3345"/>
      <c r="D25" s="3345"/>
      <c r="E25" s="1286"/>
    </row>
    <row r="26" spans="1:5" ht="18.75" customHeight="1" thickTop="1">
      <c r="A26" s="1286"/>
      <c r="B26" s="3348" t="s">
        <v>923</v>
      </c>
      <c r="C26" s="3349"/>
      <c r="D26" s="3346" t="s">
        <v>922</v>
      </c>
      <c r="E26" s="1286"/>
    </row>
    <row r="27" spans="1:5" ht="18.75" customHeight="1">
      <c r="A27" s="1286"/>
      <c r="B27" s="3350"/>
      <c r="C27" s="3351"/>
      <c r="D27" s="3347"/>
      <c r="E27" s="1286"/>
    </row>
    <row r="28" spans="1:5" ht="14.25">
      <c r="A28" s="1286"/>
      <c r="B28" s="3338" t="s">
        <v>594</v>
      </c>
      <c r="C28" s="1303" t="s">
        <v>925</v>
      </c>
      <c r="D28" s="1304">
        <f ca="1">IF('数据-取费表'!E3="否",结果表!I102,'结果表 (1修多)'!I104)</f>
        <v>2940</v>
      </c>
      <c r="E28" s="1286"/>
    </row>
    <row r="29" spans="1:5" ht="14.25">
      <c r="A29" s="1286"/>
      <c r="B29" s="3339"/>
      <c r="C29" s="1305" t="s">
        <v>924</v>
      </c>
      <c r="D29" s="1306" t="str">
        <f ca="1">IF('数据-取费表'!B3="万元",NUMBERSTRING(INT(D28*10000),2)&amp;"元整",NUMBERSTRING(INT(D28),2)&amp;"元整")</f>
        <v>贰仟玖佰肆拾万元整</v>
      </c>
      <c r="E29" s="1286"/>
    </row>
    <row r="30" spans="1:5" ht="14.25">
      <c r="A30" s="1286"/>
      <c r="B30" s="3340"/>
      <c r="C30" s="1296" t="s">
        <v>927</v>
      </c>
      <c r="D30" s="1307">
        <f ca="1">IF('数据-取费表'!E3="否",结果表!I103,'结果表 (1修多)'!I105)</f>
        <v>38138</v>
      </c>
      <c r="E30" s="1286"/>
    </row>
    <row r="31" spans="1:5" ht="14.25">
      <c r="A31" s="1286"/>
      <c r="B31" s="3343" t="str">
        <f>B10</f>
        <v>2.估价师所知悉的法定优先受偿款</v>
      </c>
      <c r="C31" s="1308" t="s">
        <v>926</v>
      </c>
      <c r="D31" s="1309">
        <f>IF('数据-取费表'!E3="否",结果表!I105,'结果表 (1修多)'!I107)</f>
        <v>0</v>
      </c>
      <c r="E31" s="1286"/>
    </row>
    <row r="32" spans="1:5" ht="14.25">
      <c r="A32" s="1286"/>
      <c r="B32" s="3352"/>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1" t="str">
        <f>B15</f>
        <v>3.房地产抵押价值</v>
      </c>
      <c r="C36" s="1308" t="str">
        <f>C28</f>
        <v>总价</v>
      </c>
      <c r="D36" s="1309">
        <f ca="1">IF('数据-取费表'!E3="否",结果表!I110,'结果表 (1修多)'!I112)</f>
        <v>2940</v>
      </c>
      <c r="E36" s="1286"/>
    </row>
    <row r="37" spans="1:5" ht="14.25">
      <c r="A37" s="1286"/>
      <c r="B37" s="3341"/>
      <c r="C37" s="1305" t="s">
        <v>924</v>
      </c>
      <c r="D37" s="1310" t="str">
        <f ca="1">IF('数据-取费表'!B3="万元",NUMBERSTRING(INT(D36*10000),2)&amp;"元整",NUMBERSTRING(INT(D36),2)&amp;"元整")</f>
        <v>贰仟玖佰肆拾万元整</v>
      </c>
      <c r="E37" s="1286"/>
    </row>
    <row r="38" spans="1:5" ht="14.25">
      <c r="A38" s="1286"/>
      <c r="B38" s="3341"/>
      <c r="C38" s="1296" t="s">
        <v>928</v>
      </c>
      <c r="D38" s="1307">
        <f ca="1">IF('数据-取费表'!E3="否",结果表!D113,'结果表 (1修多)'!D117)</f>
        <v>38138</v>
      </c>
      <c r="E38" s="1286"/>
    </row>
    <row r="39" spans="1:5" ht="14.25">
      <c r="A39" s="1286"/>
      <c r="B39" s="3342" t="str">
        <f>B18</f>
        <v>——</v>
      </c>
      <c r="C39" s="1308" t="str">
        <f>C28</f>
        <v>总价</v>
      </c>
      <c r="D39" s="1309" t="str">
        <f>IF('数据-取费表'!E3="否",结果表!I112,'结果表 (1修多)'!I114)</f>
        <v>——</v>
      </c>
      <c r="E39" s="1286"/>
    </row>
    <row r="40" spans="1:5" ht="14.25">
      <c r="A40" s="1286"/>
      <c r="B40" s="3342"/>
      <c r="C40" s="1305" t="s">
        <v>924</v>
      </c>
      <c r="D40" s="1310" t="e">
        <f>IF('数据-取费表'!B3="万元",NUMBERSTRING(INT(D39*10000),2)&amp;"元整",NUMBERSTRING(INT(D39),2)&amp;"元整")</f>
        <v>#VALUE!</v>
      </c>
      <c r="E40" s="1286"/>
    </row>
    <row r="41" spans="1:5" ht="14.25">
      <c r="A41" s="1286"/>
      <c r="B41" s="3342"/>
      <c r="C41" s="1296" t="s">
        <v>928</v>
      </c>
      <c r="D41" s="1307" t="str">
        <f>IF('数据-取费表'!E3="否",结果表!D115,'结果表 (1修多)'!D119)</f>
        <v>——</v>
      </c>
      <c r="E41" s="1286"/>
    </row>
    <row r="42" spans="1:5" ht="14.25">
      <c r="A42" s="1286"/>
      <c r="B42" s="3341" t="str">
        <f>B21</f>
        <v>——</v>
      </c>
      <c r="C42" s="1308" t="str">
        <f>C28</f>
        <v>总价</v>
      </c>
      <c r="D42" s="1309" t="str">
        <f>IF('数据-取费表'!E3="否",结果表!I114,'结果表 (1修多)'!I116)</f>
        <v>——</v>
      </c>
      <c r="E42" s="1286"/>
    </row>
    <row r="43" spans="1:5" ht="14.25">
      <c r="A43" s="1286"/>
      <c r="B43" s="3343"/>
      <c r="C43" s="1305" t="s">
        <v>924</v>
      </c>
      <c r="D43" s="1311" t="e">
        <f>IF('数据-取费表'!B3="万元",NUMBERSTRING(INT(D42*10000),2)&amp;"元整",NUMBERSTRING(INT(D42),2)&amp;"元整")</f>
        <v>#VALUE!</v>
      </c>
      <c r="E43" s="1286"/>
    </row>
    <row r="44" spans="1:5" ht="15" thickBot="1">
      <c r="A44" s="1286"/>
      <c r="B44" s="3344"/>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5"/>
      <c r="B3" s="3355"/>
      <c r="C3" s="3355"/>
      <c r="D3" s="775" t="s">
        <v>1027</v>
      </c>
      <c r="E3" s="775" t="s">
        <v>1028</v>
      </c>
      <c r="F3" s="775" t="s">
        <v>1027</v>
      </c>
      <c r="G3" s="775" t="s">
        <v>1029</v>
      </c>
      <c r="H3" s="775" t="s">
        <v>1027</v>
      </c>
      <c r="I3" s="775" t="s">
        <v>1029</v>
      </c>
    </row>
    <row r="4" spans="1:9" ht="46.5" customHeight="1">
      <c r="A4" s="775" t="str">
        <f>项目基本情况!I1</f>
        <v>北京市房地产</v>
      </c>
      <c r="B4" s="775">
        <f>结果表!B121</f>
        <v>770.88</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2940</v>
      </c>
      <c r="I4" s="775">
        <f ca="1">IF('数据-取费表'!E3="否",结果表!I121,'结果表 (1修多)'!I125)</f>
        <v>38138</v>
      </c>
    </row>
    <row r="5" spans="1:9" ht="15">
      <c r="A5" s="3355" t="s">
        <v>1030</v>
      </c>
      <c r="B5" s="3355"/>
      <c r="C5" s="3355"/>
      <c r="D5" s="3353" t="str">
        <f>IF('数据-取费表'!E3="否",结果表!D122,'结果表 (1修多)'!D126)</f>
        <v>零元整</v>
      </c>
      <c r="E5" s="3353"/>
      <c r="F5" s="3353" t="str">
        <f>IF('数据-取费表'!E3="否",结果表!F122,'结果表 (1修多)'!F126)</f>
        <v>零元整</v>
      </c>
      <c r="G5" s="3353"/>
      <c r="H5" s="3353" t="str">
        <f ca="1">IF('数据-取费表'!E3="否",结果表!H122,'结果表 (1修多)'!H126)</f>
        <v>贰仟玖佰肆拾万元整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75">
      <c r="A8" s="3354" t="str">
        <f>IF('数据-取费表'!E3="否",结果表!A125,'结果表 (1修多)'!A129)</f>
        <v>房地产抵押价值</v>
      </c>
      <c r="B8" s="3354"/>
      <c r="C8" s="3354"/>
      <c r="D8" s="3354">
        <f ca="1">IF('数据-取费表'!E3="否",结果表!D125,'结果表 (1修多)'!D129)</f>
        <v>2940</v>
      </c>
      <c r="E8" s="3354"/>
      <c r="F8" s="3354"/>
      <c r="G8" s="3354"/>
      <c r="H8" s="3354"/>
      <c r="I8" s="3354"/>
    </row>
    <row r="9" spans="1:9" ht="15">
      <c r="A9" s="3355" t="s">
        <v>1030</v>
      </c>
      <c r="B9" s="3355"/>
      <c r="C9" s="3355"/>
      <c r="D9" s="3353">
        <f ca="1">IF('数据-取费表'!E3="否",结果表!D126,'结果表 (1修多)'!D130)</f>
        <v>38138</v>
      </c>
      <c r="E9" s="3353"/>
      <c r="F9" s="3353"/>
      <c r="G9" s="3353"/>
      <c r="H9" s="3353"/>
      <c r="I9" s="3353"/>
    </row>
    <row r="10" spans="1:9" ht="15.75">
      <c r="A10" s="3354" t="str">
        <f>IF('数据-取费表'!E3="否",结果表!A127,'结果表 (1修多)'!A131)</f>
        <v/>
      </c>
      <c r="B10" s="3354"/>
      <c r="C10" s="3354"/>
      <c r="D10" s="3354">
        <f ca="1">IF('数据-取费表'!E3="否",结果表!D127,'结果表 (1修多)'!D130)</f>
        <v>38138</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61" t="s">
        <v>1030</v>
      </c>
      <c r="B13" s="3361"/>
      <c r="C13" s="3361"/>
      <c r="D13" s="3362">
        <f>IF('数据-取费表'!E3="否",结果表!D130,'结果表 (1修多)'!D134)</f>
        <v>0</v>
      </c>
      <c r="E13" s="3362"/>
      <c r="F13" s="3362"/>
      <c r="G13" s="3362"/>
      <c r="H13" s="3362"/>
      <c r="I13" s="3362"/>
    </row>
    <row r="14" spans="1:9" ht="15" thickTop="1">
      <c r="A14" s="3363" t="str">
        <f>IF('数据-取费表'!E3="否",结果表!A131,'结果表 (1修多)'!A135)</f>
        <v>单位：平方米、万元、元/平方米（币种：人民币）</v>
      </c>
      <c r="B14" s="3363"/>
      <c r="C14" s="3363"/>
      <c r="D14" s="3363"/>
      <c r="E14" s="3363"/>
      <c r="F14" s="3363"/>
      <c r="G14" s="3363"/>
      <c r="H14" s="3363"/>
      <c r="I14" s="3363"/>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8" t="s">
        <v>1043</v>
      </c>
      <c r="B1" s="3368"/>
      <c r="C1" s="3368"/>
      <c r="D1" s="3368"/>
    </row>
    <row r="2" spans="1:4" ht="18">
      <c r="A2" s="3367" t="s">
        <v>1032</v>
      </c>
      <c r="B2" s="3367"/>
      <c r="C2" s="3367"/>
      <c r="D2" s="3367"/>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t="str">
        <f>项目基本情况!D3</f>
        <v>吴薇</v>
      </c>
      <c r="B5" s="1317">
        <f ca="1">项目基本情况!E3</f>
        <v>1419970001</v>
      </c>
      <c r="C5" s="1320"/>
      <c r="D5" s="1319" t="s">
        <v>1044</v>
      </c>
    </row>
    <row r="6" spans="1:4" ht="12" customHeight="1">
      <c r="A6" s="1316"/>
      <c r="B6" s="1317"/>
      <c r="C6" s="1321"/>
      <c r="D6" s="1319"/>
    </row>
    <row r="7" spans="1:4" ht="18">
      <c r="A7" s="3367" t="s">
        <v>1037</v>
      </c>
      <c r="B7" s="3367"/>
      <c r="C7" s="3367"/>
      <c r="D7" s="3367"/>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4" t="s">
        <v>2496</v>
      </c>
      <c r="B12" s="3366"/>
      <c r="C12" s="3366"/>
      <c r="D12" s="3366"/>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39" t="s">
        <v>1129</v>
      </c>
      <c r="B19" s="1340"/>
      <c r="C19" s="1341"/>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2" t="s">
        <v>1135</v>
      </c>
    </row>
    <row r="24" spans="1:3" ht="14.25">
      <c r="A24" s="3372"/>
      <c r="B24" s="3373"/>
      <c r="C24" s="1342" t="s">
        <v>1136</v>
      </c>
    </row>
    <row r="25" spans="1:3" ht="14.25">
      <c r="A25" s="3372"/>
      <c r="B25" s="3373"/>
      <c r="C25" s="1342" t="s">
        <v>1137</v>
      </c>
    </row>
    <row r="26" spans="1:3" ht="14.25">
      <c r="A26" s="3372"/>
      <c r="B26" s="3373"/>
      <c r="C26" s="1342" t="s">
        <v>1138</v>
      </c>
    </row>
    <row r="27" spans="1:3" ht="14.25">
      <c r="A27" s="3372"/>
      <c r="B27" s="3373"/>
      <c r="C27" s="1342" t="s">
        <v>1139</v>
      </c>
    </row>
    <row r="28" spans="1:3" ht="14.25">
      <c r="A28" s="3372"/>
      <c r="B28" s="3373"/>
      <c r="C28" s="1342" t="s">
        <v>1140</v>
      </c>
    </row>
    <row r="29" spans="1:3" ht="14.25">
      <c r="A29" s="3372"/>
      <c r="B29" s="3373"/>
      <c r="C29" s="1342" t="s">
        <v>1141</v>
      </c>
    </row>
    <row r="30" spans="1:3" ht="14.25">
      <c r="A30" s="3372"/>
      <c r="B30" s="3373"/>
      <c r="C30" s="1342" t="s">
        <v>1142</v>
      </c>
    </row>
    <row r="31" spans="1:3" ht="14.25">
      <c r="A31" s="3372"/>
      <c r="B31" s="3373"/>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44862</v>
      </c>
      <c r="C2" s="2980" t="s">
        <v>567</v>
      </c>
      <c r="D2" s="2980"/>
      <c r="E2" s="2980"/>
      <c r="F2" s="2977"/>
      <c r="G2" s="2977"/>
      <c r="H2" s="2977"/>
    </row>
    <row r="3" spans="1:8" ht="24" customHeight="1">
      <c r="A3" s="2981" t="s">
        <v>568</v>
      </c>
      <c r="B3" s="2982" t="s">
        <v>569</v>
      </c>
      <c r="C3" s="2982" t="s">
        <v>570</v>
      </c>
      <c r="D3" s="2983" t="s">
        <v>590</v>
      </c>
      <c r="E3" s="2995" t="s">
        <v>571</v>
      </c>
      <c r="F3" s="1229" t="s">
        <v>572</v>
      </c>
      <c r="G3" s="2982" t="s">
        <v>570</v>
      </c>
      <c r="H3" s="2983" t="s">
        <v>591</v>
      </c>
    </row>
    <row r="4" spans="1:8" ht="24" customHeight="1">
      <c r="A4" s="1229" t="s">
        <v>573</v>
      </c>
      <c r="B4" s="1229">
        <f ca="1">IF(C4&lt;B2,"已过期",1119970066)</f>
        <v>1119970066</v>
      </c>
      <c r="C4" s="2984">
        <v>44876</v>
      </c>
      <c r="D4" s="2994" t="str">
        <f ca="1">A4&amp;"（注册号："&amp;B4&amp;"）"</f>
        <v>梁津（注册号：1119970066）</v>
      </c>
      <c r="E4" s="2996" t="s">
        <v>573</v>
      </c>
      <c r="F4" s="1229">
        <f ca="1">IF(G4&lt;B2,"已过期",96010014)</f>
        <v>96010014</v>
      </c>
      <c r="G4" s="2985">
        <v>47118</v>
      </c>
      <c r="H4" s="2986" t="str">
        <f ca="1">E4&amp;"（注册号："&amp;F4&amp;"）"</f>
        <v>梁津（注册号：96010014）</v>
      </c>
    </row>
    <row r="5" spans="1:8" ht="24" customHeight="1">
      <c r="A5" s="1229" t="s">
        <v>574</v>
      </c>
      <c r="B5" s="1229">
        <f ca="1">IF(C5&lt;B2,"已过期",1119970111)</f>
        <v>1119970111</v>
      </c>
      <c r="C5" s="2984">
        <v>44876</v>
      </c>
      <c r="D5" s="2994" t="str">
        <f t="shared" ref="D5:D14" ca="1" si="0">A5&amp;"（注册号："&amp;B5&amp;"）"</f>
        <v>叶凌（注册号：1119970111）</v>
      </c>
      <c r="E5" s="2996" t="s">
        <v>574</v>
      </c>
      <c r="F5" s="1229">
        <f ca="1">IF(G5&lt;B2,"已过期",94010078)</f>
        <v>94010078</v>
      </c>
      <c r="G5" s="2985">
        <v>46387</v>
      </c>
      <c r="H5" s="2986" t="str">
        <f t="shared" ref="H5:H16" ca="1" si="1">E5&amp;"（注册号："&amp;F5&amp;"）"</f>
        <v>叶凌（注册号：94010078）</v>
      </c>
    </row>
    <row r="6" spans="1:8" ht="24" customHeight="1">
      <c r="A6" s="1229" t="s">
        <v>575</v>
      </c>
      <c r="B6" s="1229">
        <f ca="1">IF(C6&lt;B2,"已过期",1120050019)</f>
        <v>1120050019</v>
      </c>
      <c r="C6" s="2984">
        <v>45410</v>
      </c>
      <c r="D6" s="2994" t="str">
        <f t="shared" ca="1" si="0"/>
        <v>王鹏（注册号：1120050019）</v>
      </c>
      <c r="E6" s="2996" t="s">
        <v>575</v>
      </c>
      <c r="F6" s="1229">
        <f ca="1">IF(G6&lt;B2,"已过期",2002110030)</f>
        <v>2002110030</v>
      </c>
      <c r="G6" s="2985">
        <v>46387</v>
      </c>
      <c r="H6" s="2986" t="str">
        <f t="shared" ca="1" si="1"/>
        <v>王鹏（注册号：2002110030）</v>
      </c>
    </row>
    <row r="7" spans="1:8" ht="24" customHeight="1">
      <c r="A7" s="1229" t="s">
        <v>576</v>
      </c>
      <c r="B7" s="1229">
        <f ca="1">IF(C7&lt;B2,"已过期",1120000080)</f>
        <v>1120000080</v>
      </c>
      <c r="C7" s="2984">
        <v>44876</v>
      </c>
      <c r="D7" s="2994" t="str">
        <f t="shared" ca="1" si="0"/>
        <v>欧红伟（注册号：1120000080）</v>
      </c>
      <c r="E7" s="2996" t="s">
        <v>576</v>
      </c>
      <c r="F7" s="1229">
        <f ca="1">IF(G7&lt;B2,"已过期",2000110082)</f>
        <v>2000110082</v>
      </c>
      <c r="G7" s="2985">
        <v>46387</v>
      </c>
      <c r="H7" s="2986" t="str">
        <f t="shared" ca="1" si="1"/>
        <v>欧红伟（注册号：2000110082）</v>
      </c>
    </row>
    <row r="8" spans="1:8" ht="24" customHeight="1">
      <c r="A8" s="1229" t="s">
        <v>577</v>
      </c>
      <c r="B8" s="1229">
        <f ca="1">IF(C8&lt;B2,"已过期",1419970001)</f>
        <v>1419970001</v>
      </c>
      <c r="C8" s="2984">
        <v>44899</v>
      </c>
      <c r="D8" s="2994" t="str">
        <f t="shared" ca="1" si="0"/>
        <v>吴薇（注册号：1419970001）</v>
      </c>
      <c r="E8" s="2996" t="s">
        <v>577</v>
      </c>
      <c r="F8" s="1229">
        <f ca="1">IF(G8&lt;B2,"已过期",2002110125)</f>
        <v>2002110125</v>
      </c>
      <c r="G8" s="2985">
        <v>47118</v>
      </c>
      <c r="H8" s="2986" t="str">
        <f t="shared" ca="1" si="1"/>
        <v>吴薇（注册号：2002110125）</v>
      </c>
    </row>
    <row r="9" spans="1:8" ht="24" customHeight="1">
      <c r="A9" s="1229" t="s">
        <v>578</v>
      </c>
      <c r="B9" s="1229">
        <f ca="1">IF(C9&lt;B2,"已过期",1120060040)</f>
        <v>1120060040</v>
      </c>
      <c r="C9" s="2987">
        <v>45592</v>
      </c>
      <c r="D9" s="2994" t="str">
        <f t="shared" ca="1" si="0"/>
        <v>陈颖（注册号：1120060040）</v>
      </c>
      <c r="E9" s="2996" t="s">
        <v>578</v>
      </c>
      <c r="F9" s="1229">
        <f ca="1">IF(G9&lt;B2,"已过期",2004110096)</f>
        <v>2004110096</v>
      </c>
      <c r="G9" s="2985">
        <v>47118</v>
      </c>
      <c r="H9" s="2986" t="str">
        <f t="shared" ca="1" si="1"/>
        <v>陈颖（注册号：2004110096）</v>
      </c>
    </row>
    <row r="10" spans="1:8" ht="24" customHeight="1">
      <c r="A10" s="1229" t="s">
        <v>579</v>
      </c>
      <c r="B10" s="1229" t="str">
        <f ca="1">IF(C10&lt;B2,"已过期",1120100036)</f>
        <v>已过期</v>
      </c>
      <c r="C10" s="2987">
        <v>44675</v>
      </c>
      <c r="D10" s="2994" t="str">
        <f t="shared" ca="1" si="0"/>
        <v>崔锴（注册号：已过期）</v>
      </c>
      <c r="E10" s="2996" t="s">
        <v>579</v>
      </c>
      <c r="F10" s="1229">
        <f ca="1">IF(G10&lt;B2,"已过期",2010110070)</f>
        <v>2010110070</v>
      </c>
      <c r="G10" s="2985">
        <v>47907</v>
      </c>
      <c r="H10" s="2986" t="str">
        <f t="shared" ca="1" si="1"/>
        <v>崔锴（注册号：2010110070）</v>
      </c>
    </row>
    <row r="11" spans="1:8" ht="24" customHeight="1">
      <c r="A11" s="1229" t="s">
        <v>580</v>
      </c>
      <c r="B11" s="1229" t="str">
        <f ca="1">IF(C11&lt;B2,"已过期",1120070131)</f>
        <v>已过期</v>
      </c>
      <c r="C11" s="2984">
        <v>44849</v>
      </c>
      <c r="D11" s="2994" t="str">
        <f t="shared" ca="1" si="0"/>
        <v>郑燚（注册号：已过期）</v>
      </c>
      <c r="E11" s="2996" t="s">
        <v>580</v>
      </c>
      <c r="F11" s="1229">
        <f ca="1">IF(G11&lt;B2,"已过期",2014110011)</f>
        <v>2014110011</v>
      </c>
      <c r="G11" s="2985">
        <v>49302</v>
      </c>
      <c r="H11" s="2986" t="str">
        <f t="shared" ca="1" si="1"/>
        <v>郑燚（注册号：2014110011）</v>
      </c>
    </row>
    <row r="12" spans="1:8" ht="24" customHeight="1">
      <c r="A12" s="1229" t="s">
        <v>2473</v>
      </c>
      <c r="B12" s="1229">
        <f ca="1">IF(C12&lt;B2,"已过期",1120040230)</f>
        <v>1120040230</v>
      </c>
      <c r="C12" s="2987">
        <v>44864</v>
      </c>
      <c r="D12" s="2994" t="str">
        <f t="shared" ca="1" si="0"/>
        <v>苏海（注册号：1120040230）</v>
      </c>
      <c r="E12" s="2996" t="s">
        <v>2473</v>
      </c>
      <c r="F12" s="1229">
        <f ca="1">IF(G12&lt;B2,"已过期",98030020)</f>
        <v>98030020</v>
      </c>
      <c r="G12" s="2985">
        <v>47118</v>
      </c>
      <c r="H12" s="2986" t="str">
        <f t="shared" ca="1" si="1"/>
        <v>苏海（注册号：98030020）</v>
      </c>
    </row>
    <row r="13" spans="1:8" ht="24" customHeight="1">
      <c r="A13" s="1229" t="s">
        <v>581</v>
      </c>
      <c r="B13" s="1229" t="str">
        <f ca="1">IF(C13&lt;B2,"已过期",1120020033)</f>
        <v>已过期</v>
      </c>
      <c r="C13" s="2984">
        <v>44339</v>
      </c>
      <c r="D13" s="2994" t="str">
        <f t="shared" ca="1" si="0"/>
        <v>刘敬东（注册号：已过期）</v>
      </c>
      <c r="E13" s="2996" t="s">
        <v>581</v>
      </c>
      <c r="F13" s="1229">
        <f ca="1">IF(G13&lt;B2,"已过期",2000110137)</f>
        <v>2000110137</v>
      </c>
      <c r="G13" s="2985">
        <v>46387</v>
      </c>
      <c r="H13" s="2986" t="str">
        <f t="shared" ca="1" si="1"/>
        <v>刘敬东（注册号：2000110137）</v>
      </c>
    </row>
    <row r="14" spans="1:8" ht="24" customHeight="1">
      <c r="A14" s="1229" t="s">
        <v>2489</v>
      </c>
      <c r="B14" s="1229">
        <f ca="1">IF(C14&lt;B2,"已过期",1119980106)</f>
        <v>1119980106</v>
      </c>
      <c r="C14" s="2987">
        <v>44969</v>
      </c>
      <c r="D14" s="2994" t="str">
        <f t="shared" ca="1" si="0"/>
        <v>刘俊财（注册号：1119980106）</v>
      </c>
      <c r="E14" s="2996" t="s">
        <v>2589</v>
      </c>
      <c r="F14" s="1229">
        <f ca="1">IF(G14&lt;B2,"已过期",96010063)</f>
        <v>96010063</v>
      </c>
      <c r="G14" s="2985">
        <v>47483</v>
      </c>
      <c r="H14" s="2986" t="str">
        <f t="shared" ca="1" si="1"/>
        <v>刘俊财（注册号：96010063）</v>
      </c>
    </row>
    <row r="15" spans="1:8" ht="24" customHeight="1">
      <c r="A15" s="1229" t="s">
        <v>2801</v>
      </c>
      <c r="B15" s="1229">
        <v>1120210056</v>
      </c>
      <c r="C15" s="2987">
        <v>45410</v>
      </c>
      <c r="D15" s="2994" t="str">
        <f t="shared" ref="D15" si="2">A15&amp;"（注册号："&amp;B15&amp;"）"</f>
        <v>宁小鳗（注册号：1120210056）</v>
      </c>
      <c r="E15" s="2996" t="s">
        <v>2592</v>
      </c>
      <c r="F15" s="1229">
        <f ca="1">IF(G15&lt;B2,"已过期",2011110090)</f>
        <v>2011110090</v>
      </c>
      <c r="G15" s="2985">
        <v>48302</v>
      </c>
      <c r="H15" s="2986" t="str">
        <f t="shared" ref="H15" ca="1" si="3">E15&amp;"（注册号："&amp;F15&amp;"）"</f>
        <v>赵雯（注册号：2011110090）</v>
      </c>
    </row>
    <row r="16" spans="1:8" s="2975" customFormat="1" ht="24" customHeight="1">
      <c r="A16" s="1229"/>
      <c r="B16" s="1229"/>
      <c r="C16" s="1229"/>
      <c r="D16" s="2994" t="str">
        <f>A16&amp;"（注册号："&amp;B16&amp;"）"</f>
        <v>（注册号：）</v>
      </c>
      <c r="E16" s="2996"/>
      <c r="F16" s="1229"/>
      <c r="G16" s="1229"/>
      <c r="H16" s="2988"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3"/>
      <c r="E18" s="3379" t="s">
        <v>584</v>
      </c>
      <c r="F18" s="3378"/>
      <c r="G18" s="3378"/>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2790</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2022-10-28T02:35:43Z</dcterms:modified>
</cp:coreProperties>
</file>