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FE6CE26-E6AC-4602-A902-1429A4B8A4BE}"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租金比较法-商业" sheetId="81" r:id="rId25"/>
    <sheet name="Sheet1" sheetId="80" r:id="rId26"/>
    <sheet name="Sheet3" sheetId="82"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4" hidden="1">'租金比较法-商业'!$A$1:$L$49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4">'租金比较法-商业'!$A$1:$K$54,'租金比较法-商业'!$A$57:$M$131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'租金比较法-商业'!$B$116:$M$116</definedName>
    <definedName name="商业层高">'比较法-商业'!$B$116:$M$116</definedName>
    <definedName name="商业成新度" localSheetId="24">'租金比较法-商业'!$B$109:$M$109</definedName>
    <definedName name="商业成新度">'比较法-商业'!$B$109:$M$109</definedName>
    <definedName name="商业繁华度">定义!$L$1:$L$6</definedName>
    <definedName name="商业公共部分装修" localSheetId="24">'租金比较法-商业'!$B$107:$M$107</definedName>
    <definedName name="商业公共部分装修">'比较法-商业'!$B$107:$M$107</definedName>
    <definedName name="商业基础设施水平" localSheetId="24">'租金比较法-商业'!$B$112:$M$112</definedName>
    <definedName name="商业基础设施水平">'比较法-商业'!$B$112:$M$112</definedName>
    <definedName name="商业建筑结构" localSheetId="24">'租金比较法-商业'!$B$105:$M$105</definedName>
    <definedName name="商业建筑结构">'比较法-商业'!$B$105:$M$105</definedName>
    <definedName name="商业交易情况" localSheetId="24">'租金比较法-商业'!$A$61:$M$61</definedName>
    <definedName name="商业交易情况">'比较法-商业'!$A$61:$M$61</definedName>
    <definedName name="商业街名称">修正!$C$71:$C$138</definedName>
    <definedName name="商业进深比" localSheetId="24">'租金比较法-商业'!$B$120:$M$120</definedName>
    <definedName name="商业进深比">'比较法-商业'!$B$120:$M$120</definedName>
    <definedName name="商业类型" localSheetId="24">'租金比较法-商业'!$B$100:$M$100</definedName>
    <definedName name="商业类型">'比较法-商业'!$B$100:$M$100</definedName>
    <definedName name="商业临街状况" localSheetId="24">'租金比较法-商业'!$B$86:$M$86</definedName>
    <definedName name="商业临街状况">'比较法-商业'!$B$86:$M$86</definedName>
    <definedName name="商业楼层" localSheetId="24">'租金比较法-商业'!$B$92:$M$92</definedName>
    <definedName name="商业楼层">'比较法-商业'!$B$92:$M$92</definedName>
    <definedName name="商业内部装修" localSheetId="24">'租金比较法-商业'!$B$122:$M$122</definedName>
    <definedName name="商业内部装修">'比较法-商业'!$B$122:$M$122</definedName>
    <definedName name="商业人流量" localSheetId="24">'租金比较法-商业'!$B$90:$M$90</definedName>
    <definedName name="商业人流量">'比较法-商业'!$B$90:$M$90</definedName>
    <definedName name="商业业态" localSheetId="24">'租金比较法-商业'!$B$114:$M$114</definedName>
    <definedName name="商业业态">'比较法-商业'!$B$114:$M$114</definedName>
    <definedName name="商业用途" localSheetId="24">'租金比较法-商业'!$B$63:$M$63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6" i="81"/>
  <c r="G36" i="81"/>
  <c r="H36" i="81" s="1"/>
  <c r="I10" i="81"/>
  <c r="G10" i="81"/>
  <c r="B130" i="81"/>
  <c r="B128" i="81"/>
  <c r="B126" i="81"/>
  <c r="G125" i="81"/>
  <c r="D125" i="81"/>
  <c r="E125" i="81" s="1"/>
  <c r="F125" i="81" s="1"/>
  <c r="E123" i="81"/>
  <c r="F123" i="81" s="1"/>
  <c r="J42" i="81" s="1"/>
  <c r="D123" i="81"/>
  <c r="D121" i="81"/>
  <c r="E121" i="81" s="1"/>
  <c r="F121" i="81" s="1"/>
  <c r="G121" i="81" s="1"/>
  <c r="H121" i="81" s="1"/>
  <c r="I121" i="81" s="1"/>
  <c r="J121" i="81" s="1"/>
  <c r="K121" i="81" s="1"/>
  <c r="L121" i="81" s="1"/>
  <c r="M121" i="81" s="1"/>
  <c r="D117" i="81"/>
  <c r="E117" i="81" s="1"/>
  <c r="F117" i="81" s="1"/>
  <c r="G117" i="81" s="1"/>
  <c r="I115" i="81"/>
  <c r="J115" i="81" s="1"/>
  <c r="K115" i="81" s="1"/>
  <c r="L115" i="81" s="1"/>
  <c r="M115" i="81" s="1"/>
  <c r="E115" i="81"/>
  <c r="F115" i="81" s="1"/>
  <c r="G115" i="81" s="1"/>
  <c r="H115" i="81" s="1"/>
  <c r="D115" i="81"/>
  <c r="G113" i="81"/>
  <c r="H113" i="81" s="1"/>
  <c r="I113" i="81" s="1"/>
  <c r="J113" i="81" s="1"/>
  <c r="K113" i="81" s="1"/>
  <c r="L113" i="81" s="1"/>
  <c r="M113" i="81" s="1"/>
  <c r="D113" i="81"/>
  <c r="E113" i="81" s="1"/>
  <c r="F113" i="81" s="1"/>
  <c r="E111" i="81"/>
  <c r="F111" i="81" s="1"/>
  <c r="G111" i="81" s="1"/>
  <c r="H111" i="81" s="1"/>
  <c r="I111" i="81" s="1"/>
  <c r="J111" i="81" s="1"/>
  <c r="K111" i="81" s="1"/>
  <c r="L111" i="81" s="1"/>
  <c r="M111" i="81" s="1"/>
  <c r="D111" i="81"/>
  <c r="G109" i="81"/>
  <c r="F109" i="81"/>
  <c r="E109" i="81"/>
  <c r="D109" i="81"/>
  <c r="C109" i="81"/>
  <c r="D108" i="81"/>
  <c r="D106" i="81"/>
  <c r="E106" i="81" s="1"/>
  <c r="F106" i="81" s="1"/>
  <c r="G106" i="81" s="1"/>
  <c r="H106" i="81" s="1"/>
  <c r="I106" i="81" s="1"/>
  <c r="J106" i="81" s="1"/>
  <c r="K106" i="81" s="1"/>
  <c r="L106" i="81" s="1"/>
  <c r="M106" i="81" s="1"/>
  <c r="H104" i="81"/>
  <c r="I104" i="81" s="1"/>
  <c r="D104" i="81"/>
  <c r="E104" i="81" s="1"/>
  <c r="F104" i="81" s="1"/>
  <c r="G104" i="81" s="1"/>
  <c r="M102" i="81"/>
  <c r="L102" i="81"/>
  <c r="K102" i="81"/>
  <c r="J102" i="81"/>
  <c r="I102" i="81"/>
  <c r="H102" i="81"/>
  <c r="G102" i="81"/>
  <c r="F102" i="81"/>
  <c r="E102" i="81"/>
  <c r="D102" i="81"/>
  <c r="C102" i="81"/>
  <c r="E101" i="81"/>
  <c r="F32" i="81" s="1"/>
  <c r="D101" i="81"/>
  <c r="B98" i="81"/>
  <c r="B96" i="81"/>
  <c r="B94" i="81"/>
  <c r="B92" i="81"/>
  <c r="E91" i="81"/>
  <c r="F91" i="81" s="1"/>
  <c r="G91" i="81" s="1"/>
  <c r="H91" i="81" s="1"/>
  <c r="I91" i="81" s="1"/>
  <c r="J91" i="81" s="1"/>
  <c r="K91" i="81" s="1"/>
  <c r="L91" i="81" s="1"/>
  <c r="M91" i="81" s="1"/>
  <c r="D91" i="81"/>
  <c r="B90" i="81"/>
  <c r="D89" i="81"/>
  <c r="B88" i="81"/>
  <c r="G87" i="81"/>
  <c r="H87" i="81" s="1"/>
  <c r="I87" i="81" s="1"/>
  <c r="J87" i="81" s="1"/>
  <c r="K87" i="81" s="1"/>
  <c r="L87" i="81" s="1"/>
  <c r="M87" i="81" s="1"/>
  <c r="E87" i="81"/>
  <c r="F87" i="81" s="1"/>
  <c r="D87" i="81"/>
  <c r="E85" i="81"/>
  <c r="F85" i="81" s="1"/>
  <c r="G85" i="81" s="1"/>
  <c r="D85" i="81"/>
  <c r="G83" i="81"/>
  <c r="E83" i="81"/>
  <c r="F83" i="81" s="1"/>
  <c r="D83" i="81"/>
  <c r="E81" i="81"/>
  <c r="F81" i="81" s="1"/>
  <c r="G81" i="81" s="1"/>
  <c r="D81" i="81"/>
  <c r="G79" i="81"/>
  <c r="E79" i="81"/>
  <c r="F79" i="81" s="1"/>
  <c r="D79" i="81"/>
  <c r="E77" i="81"/>
  <c r="F77" i="81" s="1"/>
  <c r="G77" i="81" s="1"/>
  <c r="D77" i="81"/>
  <c r="B74" i="81"/>
  <c r="J14" i="81" s="1"/>
  <c r="B72" i="81"/>
  <c r="B70" i="81"/>
  <c r="H69" i="81"/>
  <c r="I69" i="81" s="1"/>
  <c r="J69" i="81" s="1"/>
  <c r="K69" i="81" s="1"/>
  <c r="L69" i="81" s="1"/>
  <c r="M69" i="81" s="1"/>
  <c r="D69" i="81"/>
  <c r="E69" i="81" s="1"/>
  <c r="F69" i="81" s="1"/>
  <c r="G69" i="81" s="1"/>
  <c r="M67" i="81"/>
  <c r="L67" i="81"/>
  <c r="K67" i="81"/>
  <c r="J67" i="81"/>
  <c r="I67" i="81"/>
  <c r="H67" i="81"/>
  <c r="G67" i="81"/>
  <c r="F67" i="81"/>
  <c r="E67" i="81"/>
  <c r="D67" i="81"/>
  <c r="C67" i="81"/>
  <c r="C63" i="81"/>
  <c r="D58" i="81"/>
  <c r="E58" i="81" s="1"/>
  <c r="F58" i="81" s="1"/>
  <c r="G58" i="81" s="1"/>
  <c r="H58" i="81" s="1"/>
  <c r="I58" i="81" s="1"/>
  <c r="J58" i="81" s="1"/>
  <c r="K58" i="81" s="1"/>
  <c r="L58" i="81" s="1"/>
  <c r="M58" i="81" s="1"/>
  <c r="N58" i="81" s="1"/>
  <c r="O58" i="81" s="1"/>
  <c r="I54" i="81"/>
  <c r="J54" i="81" s="1"/>
  <c r="G54" i="81"/>
  <c r="H54" i="81" s="1"/>
  <c r="E54" i="81"/>
  <c r="F54" i="81" s="1"/>
  <c r="P49" i="81"/>
  <c r="P48" i="81"/>
  <c r="K48" i="81"/>
  <c r="V47" i="81"/>
  <c r="T47" i="81"/>
  <c r="R47" i="81"/>
  <c r="P47" i="81"/>
  <c r="AC46" i="81"/>
  <c r="Q46" i="81"/>
  <c r="Z46" i="81" s="1"/>
  <c r="J46" i="81"/>
  <c r="W46" i="81" s="1"/>
  <c r="H46" i="81"/>
  <c r="AB46" i="81" s="1"/>
  <c r="F46" i="81"/>
  <c r="AA46" i="81" s="1"/>
  <c r="Q45" i="81"/>
  <c r="Z45" i="81" s="1"/>
  <c r="J45" i="81"/>
  <c r="AC45" i="81" s="1"/>
  <c r="H45" i="81"/>
  <c r="AB45" i="81" s="1"/>
  <c r="F45" i="81"/>
  <c r="AA45" i="81" s="1"/>
  <c r="AA44" i="81"/>
  <c r="Q44" i="81"/>
  <c r="Z44" i="81" s="1"/>
  <c r="J44" i="81"/>
  <c r="AC44" i="81" s="1"/>
  <c r="H44" i="81"/>
  <c r="AB44" i="81" s="1"/>
  <c r="F44" i="81"/>
  <c r="S44" i="81" s="1"/>
  <c r="Z43" i="81"/>
  <c r="Q43" i="81"/>
  <c r="J43" i="81"/>
  <c r="AC43" i="81" s="1"/>
  <c r="H43" i="81"/>
  <c r="AB43" i="81" s="1"/>
  <c r="F43" i="81"/>
  <c r="AA43" i="81" s="1"/>
  <c r="Q42" i="81"/>
  <c r="Z42" i="81" s="1"/>
  <c r="U41" i="8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Q37" i="81"/>
  <c r="Z37" i="81" s="1"/>
  <c r="J37" i="81"/>
  <c r="AC37" i="81" s="1"/>
  <c r="H37" i="81"/>
  <c r="AB37" i="81" s="1"/>
  <c r="F37" i="81"/>
  <c r="AA37" i="81" s="1"/>
  <c r="Q36" i="81"/>
  <c r="Z36" i="81" s="1"/>
  <c r="E36" i="81"/>
  <c r="C36" i="81"/>
  <c r="Z35" i="81"/>
  <c r="Q35" i="81"/>
  <c r="AC34" i="81"/>
  <c r="W34" i="81"/>
  <c r="Q34" i="81"/>
  <c r="Z34" i="81" s="1"/>
  <c r="J34" i="81"/>
  <c r="H34" i="81"/>
  <c r="AB34" i="81" s="1"/>
  <c r="F34" i="81"/>
  <c r="AA34" i="81" s="1"/>
  <c r="Q33" i="81"/>
  <c r="Z33" i="81" s="1"/>
  <c r="J33" i="81"/>
  <c r="F33" i="81"/>
  <c r="C33" i="81"/>
  <c r="H33" i="81" s="1"/>
  <c r="U33" i="81" s="1"/>
  <c r="Q32" i="81"/>
  <c r="Z32" i="81" s="1"/>
  <c r="Q31" i="81"/>
  <c r="Z31" i="81" s="1"/>
  <c r="J31" i="81"/>
  <c r="AC31" i="81" s="1"/>
  <c r="H31" i="81"/>
  <c r="AB31" i="81" s="1"/>
  <c r="F31" i="81"/>
  <c r="AA31" i="81" s="1"/>
  <c r="AC30" i="81"/>
  <c r="Q30" i="81"/>
  <c r="Z30" i="81" s="1"/>
  <c r="J30" i="81"/>
  <c r="W30" i="81" s="1"/>
  <c r="H30" i="81"/>
  <c r="AB30" i="81" s="1"/>
  <c r="F30" i="81"/>
  <c r="AA30" i="81" s="1"/>
  <c r="Q29" i="81"/>
  <c r="Z29" i="81" s="1"/>
  <c r="AA28" i="81"/>
  <c r="Q28" i="81"/>
  <c r="Z28" i="81" s="1"/>
  <c r="J28" i="81"/>
  <c r="AC28" i="81" s="1"/>
  <c r="H28" i="81"/>
  <c r="AB28" i="81" s="1"/>
  <c r="F28" i="81"/>
  <c r="S28" i="81" s="1"/>
  <c r="Z27" i="81"/>
  <c r="Q27" i="81"/>
  <c r="Q26" i="81"/>
  <c r="Z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E10" i="81"/>
  <c r="F10" i="81" s="1"/>
  <c r="C10" i="81"/>
  <c r="J10" i="81" s="1"/>
  <c r="Q9" i="81"/>
  <c r="Z9" i="81" s="1"/>
  <c r="J9" i="81"/>
  <c r="AC9" i="81" s="1"/>
  <c r="H9" i="81"/>
  <c r="AB9" i="81" s="1"/>
  <c r="F9" i="81"/>
  <c r="AA9" i="81" s="1"/>
  <c r="J8" i="81"/>
  <c r="W8" i="81" s="1"/>
  <c r="H8" i="81"/>
  <c r="AB8" i="81" s="1"/>
  <c r="F8" i="81"/>
  <c r="S8" i="81" s="1"/>
  <c r="I7" i="81"/>
  <c r="J7" i="81" s="1"/>
  <c r="G7" i="81"/>
  <c r="H7" i="81" s="1"/>
  <c r="E7" i="81"/>
  <c r="F7" i="81" s="1"/>
  <c r="C7" i="81"/>
  <c r="C58" i="81" s="1"/>
  <c r="D3" i="81"/>
  <c r="I36" i="33"/>
  <c r="G36" i="33"/>
  <c r="E36" i="33"/>
  <c r="I10" i="33"/>
  <c r="G10" i="33"/>
  <c r="E10" i="33"/>
  <c r="O19" i="1"/>
  <c r="O21" i="1" s="1"/>
  <c r="N6" i="1" s="1"/>
  <c r="C10" i="33"/>
  <c r="I33" i="33"/>
  <c r="G33" i="33"/>
  <c r="E33" i="33"/>
  <c r="C33" i="33"/>
  <c r="D104" i="33"/>
  <c r="E104" i="33" s="1"/>
  <c r="F104" i="33" s="1"/>
  <c r="G104" i="33" s="1"/>
  <c r="H104" i="33" s="1"/>
  <c r="I104" i="33" s="1"/>
  <c r="D89" i="33"/>
  <c r="E89" i="33" s="1"/>
  <c r="F89" i="33" s="1"/>
  <c r="G89" i="33" s="1"/>
  <c r="I7" i="33"/>
  <c r="G7" i="33"/>
  <c r="E7" i="33"/>
  <c r="K19" i="1"/>
  <c r="F19" i="6"/>
  <c r="D2" i="81"/>
  <c r="U8" i="81" l="1"/>
  <c r="AC8" i="81"/>
  <c r="AB33" i="81"/>
  <c r="AC7" i="81"/>
  <c r="W7" i="81"/>
  <c r="AC14" i="81"/>
  <c r="W14" i="81"/>
  <c r="S7" i="81"/>
  <c r="AA7" i="81"/>
  <c r="W10" i="81"/>
  <c r="AC10" i="81"/>
  <c r="W42" i="81"/>
  <c r="AC42" i="81"/>
  <c r="U7" i="81"/>
  <c r="AB7" i="81"/>
  <c r="S10" i="81"/>
  <c r="AA10" i="81"/>
  <c r="S32" i="81"/>
  <c r="AA32" i="81"/>
  <c r="H10" i="81"/>
  <c r="W12" i="81"/>
  <c r="S14" i="81"/>
  <c r="S19" i="81"/>
  <c r="S23" i="81"/>
  <c r="U25" i="81"/>
  <c r="AB36" i="81"/>
  <c r="U36" i="81"/>
  <c r="S9" i="81"/>
  <c r="W11" i="81"/>
  <c r="S13" i="81"/>
  <c r="H14" i="81"/>
  <c r="U15" i="81"/>
  <c r="U17" i="81"/>
  <c r="U19" i="81"/>
  <c r="U21" i="81"/>
  <c r="U23" i="81"/>
  <c r="AC33" i="81"/>
  <c r="W33" i="81"/>
  <c r="J36" i="81"/>
  <c r="U37" i="81"/>
  <c r="U45" i="81"/>
  <c r="H26" i="81"/>
  <c r="F26" i="81"/>
  <c r="E89" i="81"/>
  <c r="U11" i="81"/>
  <c r="S17" i="81"/>
  <c r="F29" i="81"/>
  <c r="J29" i="81"/>
  <c r="AA8" i="81"/>
  <c r="U9" i="81"/>
  <c r="S12" i="81"/>
  <c r="U13" i="81"/>
  <c r="W19" i="81"/>
  <c r="W23" i="81"/>
  <c r="F36" i="81"/>
  <c r="S40" i="81"/>
  <c r="J27" i="81"/>
  <c r="H27" i="81"/>
  <c r="F27" i="81"/>
  <c r="S15" i="81"/>
  <c r="S21" i="81"/>
  <c r="J32" i="81"/>
  <c r="F101" i="81"/>
  <c r="G101" i="81" s="1"/>
  <c r="H101" i="81" s="1"/>
  <c r="I101" i="81" s="1"/>
  <c r="J101" i="81" s="1"/>
  <c r="K101" i="81" s="1"/>
  <c r="L101" i="81" s="1"/>
  <c r="M101" i="81" s="1"/>
  <c r="H32" i="81"/>
  <c r="H42" i="81"/>
  <c r="G123" i="81"/>
  <c r="H123" i="81" s="1"/>
  <c r="I123" i="81" s="1"/>
  <c r="J123" i="81" s="1"/>
  <c r="K123" i="81" s="1"/>
  <c r="L123" i="81" s="1"/>
  <c r="M123" i="81" s="1"/>
  <c r="F42" i="81"/>
  <c r="W15" i="81"/>
  <c r="W17" i="81"/>
  <c r="W21" i="81"/>
  <c r="W9" i="81"/>
  <c r="S11" i="81"/>
  <c r="U12" i="81"/>
  <c r="W13" i="81"/>
  <c r="S25" i="81"/>
  <c r="H29" i="81"/>
  <c r="AA33" i="81"/>
  <c r="S33" i="81"/>
  <c r="J35" i="81"/>
  <c r="H35" i="81"/>
  <c r="E108" i="81"/>
  <c r="F108" i="81" s="1"/>
  <c r="G108" i="81" s="1"/>
  <c r="H108" i="81" s="1"/>
  <c r="I108" i="81" s="1"/>
  <c r="J108" i="81" s="1"/>
  <c r="K108" i="81" s="1"/>
  <c r="L108" i="81" s="1"/>
  <c r="M108" i="81" s="1"/>
  <c r="F35" i="81"/>
  <c r="W25" i="81"/>
  <c r="U28" i="81"/>
  <c r="S31" i="81"/>
  <c r="W37" i="81"/>
  <c r="S39" i="81"/>
  <c r="U40" i="81"/>
  <c r="W41" i="81"/>
  <c r="S43" i="81"/>
  <c r="U44" i="81"/>
  <c r="W45" i="81"/>
  <c r="W28" i="81"/>
  <c r="S30" i="81"/>
  <c r="U31" i="81"/>
  <c r="S34" i="81"/>
  <c r="S38" i="81"/>
  <c r="U39" i="81"/>
  <c r="W40" i="81"/>
  <c r="U43" i="81"/>
  <c r="W44" i="81"/>
  <c r="S46" i="81"/>
  <c r="U30" i="81"/>
  <c r="W31" i="81"/>
  <c r="U34" i="81"/>
  <c r="S37" i="81"/>
  <c r="U38" i="81"/>
  <c r="W39" i="81"/>
  <c r="S41" i="81"/>
  <c r="W43" i="81"/>
  <c r="S45" i="81"/>
  <c r="U46" i="81"/>
  <c r="C36" i="33"/>
  <c r="Y6" i="1"/>
  <c r="AA35" i="81" l="1"/>
  <c r="S35" i="81"/>
  <c r="AB27" i="81"/>
  <c r="U27" i="81"/>
  <c r="AB42" i="81"/>
  <c r="U42" i="81"/>
  <c r="AC27" i="81"/>
  <c r="W27" i="81"/>
  <c r="AC32" i="81"/>
  <c r="W32" i="81"/>
  <c r="AB26" i="81"/>
  <c r="U26" i="81"/>
  <c r="AB35" i="81"/>
  <c r="U35" i="81"/>
  <c r="AB29" i="81"/>
  <c r="U29" i="81"/>
  <c r="AB32" i="81"/>
  <c r="U32" i="81"/>
  <c r="AC29" i="81"/>
  <c r="W29" i="81"/>
  <c r="F89" i="81"/>
  <c r="G89" i="81" s="1"/>
  <c r="J26" i="81"/>
  <c r="AC35" i="81"/>
  <c r="W35" i="81"/>
  <c r="AA42" i="81"/>
  <c r="S42" i="81"/>
  <c r="AA27" i="81"/>
  <c r="S27" i="81"/>
  <c r="S36" i="81"/>
  <c r="AA36" i="81"/>
  <c r="AA29" i="81"/>
  <c r="S29" i="81"/>
  <c r="AA26" i="81"/>
  <c r="R48" i="81" s="1"/>
  <c r="S26" i="81"/>
  <c r="AC36" i="81"/>
  <c r="W36" i="81"/>
  <c r="AB14" i="81"/>
  <c r="U14" i="81"/>
  <c r="AB10" i="81"/>
  <c r="T48" i="81" s="1"/>
  <c r="G48" i="81" s="1"/>
  <c r="U10" i="81"/>
  <c r="G52" i="81" l="1"/>
  <c r="H52" i="81" s="1"/>
  <c r="E48" i="81"/>
  <c r="AC26" i="81"/>
  <c r="V48" i="81" s="1"/>
  <c r="I48" i="81" s="1"/>
  <c r="G53" i="81" s="1"/>
  <c r="H53" i="81" s="1"/>
  <c r="W26" i="81"/>
  <c r="E53" i="81" l="1"/>
  <c r="F53" i="81" s="1"/>
  <c r="E52" i="81"/>
  <c r="F52" i="81" s="1"/>
  <c r="R49" i="81"/>
  <c r="I53" i="81"/>
  <c r="J53" i="81" s="1"/>
  <c r="I52" i="81"/>
  <c r="J52" i="81" s="1"/>
  <c r="C49" i="81" l="1"/>
  <c r="U6" i="1" s="1"/>
  <c r="C48" i="81"/>
  <c r="B2" i="81" l="1"/>
  <c r="B3" i="81"/>
  <c r="D3" i="4"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W40" i="79"/>
  <c r="AK40" i="79" s="1"/>
  <c r="AH40" i="79"/>
  <c r="AR18" i="79"/>
  <c r="AR19" i="79" s="1"/>
  <c r="AR20" i="79" s="1"/>
  <c r="AR21" i="79" s="1"/>
  <c r="AR22" i="79" s="1"/>
  <c r="AR23" i="79" s="1"/>
  <c r="AR24" i="79" s="1"/>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B40" i="71" s="1"/>
  <c r="S40"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E38" i="71"/>
  <c r="E39" i="71" s="1"/>
  <c r="E40" i="71" s="1"/>
  <c r="U40" i="71" s="1"/>
  <c r="N68" i="71"/>
  <c r="C30" i="71"/>
  <c r="C38" i="71"/>
  <c r="D38" i="71" s="1"/>
  <c r="Y37" i="71"/>
  <c r="Z37" i="71" s="1"/>
  <c r="X38" i="71"/>
  <c r="C28" i="71"/>
  <c r="C39" i="71"/>
  <c r="C43" i="71"/>
  <c r="C51" i="71"/>
  <c r="P28" i="71"/>
  <c r="E28" i="71" s="1"/>
  <c r="E55" i="71"/>
  <c r="E56" i="71" s="1"/>
  <c r="U56" i="71" s="1"/>
  <c r="E63" i="71"/>
  <c r="E64" i="71"/>
  <c r="U64" i="71" s="1"/>
  <c r="E67" i="71"/>
  <c r="P67" i="71" s="1"/>
  <c r="Q28" i="71"/>
  <c r="D58" i="71"/>
  <c r="N67" i="71"/>
  <c r="D68" i="71"/>
  <c r="Q68" i="71"/>
  <c r="C71" i="71"/>
  <c r="C70" i="71" s="1"/>
  <c r="D70" i="71" s="1"/>
  <c r="E71" i="71"/>
  <c r="E70" i="71" s="1"/>
  <c r="D72" i="71"/>
  <c r="C75" i="71"/>
  <c r="E75" i="71"/>
  <c r="E74" i="71" s="1"/>
  <c r="C79" i="71"/>
  <c r="D79" i="71" s="1"/>
  <c r="E79" i="71"/>
  <c r="E78" i="71" s="1"/>
  <c r="D80" i="71"/>
  <c r="C83" i="71"/>
  <c r="D83" i="71" s="1"/>
  <c r="S28" i="71"/>
  <c r="F28" i="71"/>
  <c r="F27" i="71" s="1"/>
  <c r="F26" i="71" s="1"/>
  <c r="AA27" i="71"/>
  <c r="AA28" i="71"/>
  <c r="C82" i="71"/>
  <c r="D82" i="71"/>
  <c r="C78" i="71"/>
  <c r="D78" i="71" s="1"/>
  <c r="D7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G5" i="3" s="1"/>
  <c r="BH493" i="3"/>
  <c r="BI493" i="3"/>
  <c r="BJ493" i="3"/>
  <c r="BK493" i="3"/>
  <c r="BK5" i="3" s="1"/>
  <c r="BM493" i="3"/>
  <c r="BN493" i="3"/>
  <c r="BO493" i="3"/>
  <c r="BP493" i="3"/>
  <c r="BP5" i="3" s="1"/>
  <c r="BR493" i="3"/>
  <c r="BS493" i="3"/>
  <c r="BT493" i="3"/>
  <c r="H494" i="3"/>
  <c r="G494" i="3" s="1"/>
  <c r="AC494" i="3"/>
  <c r="BB494" i="3"/>
  <c r="BC494" i="3"/>
  <c r="BD494" i="3"/>
  <c r="BD5" i="3" s="1"/>
  <c r="BE494" i="3"/>
  <c r="BF494" i="3"/>
  <c r="BG494" i="3"/>
  <c r="BH494" i="3"/>
  <c r="BI494" i="3"/>
  <c r="BJ494" i="3"/>
  <c r="BK494" i="3"/>
  <c r="BM494" i="3"/>
  <c r="BM5" i="3" s="1"/>
  <c r="BN494" i="3"/>
  <c r="BO494" i="3"/>
  <c r="BP494" i="3"/>
  <c r="BQ494" i="3"/>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AC5" i="3" s="1"/>
  <c r="BB496" i="3"/>
  <c r="BC496" i="3"/>
  <c r="BD496" i="3"/>
  <c r="BE496" i="3"/>
  <c r="BA496" i="3" s="1"/>
  <c r="BF496" i="3"/>
  <c r="BG496" i="3"/>
  <c r="BH496" i="3"/>
  <c r="BI496" i="3"/>
  <c r="BJ496" i="3"/>
  <c r="BK496" i="3"/>
  <c r="BM496" i="3"/>
  <c r="BN496" i="3"/>
  <c r="BN5" i="3" s="1"/>
  <c r="G29" i="6" s="1"/>
  <c r="BO496" i="3"/>
  <c r="BP496" i="3"/>
  <c r="BQ496" i="3"/>
  <c r="BR496" i="3"/>
  <c r="BS496" i="3"/>
  <c r="BT496" i="3"/>
  <c r="H497" i="3"/>
  <c r="AC497" i="3"/>
  <c r="G497" i="3" s="1"/>
  <c r="BB497" i="3"/>
  <c r="BC497" i="3"/>
  <c r="BD497" i="3"/>
  <c r="BE497" i="3"/>
  <c r="BA497" i="3" s="1"/>
  <c r="BF497" i="3"/>
  <c r="BG497" i="3"/>
  <c r="BH497" i="3"/>
  <c r="BI497" i="3"/>
  <c r="BJ497" i="3"/>
  <c r="BK497" i="3"/>
  <c r="BM497" i="3"/>
  <c r="BN497" i="3"/>
  <c r="BL497" i="3" s="1"/>
  <c r="BO497" i="3"/>
  <c r="BP497" i="3"/>
  <c r="BR497" i="3"/>
  <c r="BS497" i="3"/>
  <c r="BT497" i="3"/>
  <c r="H498" i="3"/>
  <c r="AC498" i="3"/>
  <c r="BB498" i="3"/>
  <c r="BB5" i="3" s="1"/>
  <c r="BC498" i="3"/>
  <c r="BD498" i="3"/>
  <c r="BE498" i="3"/>
  <c r="BF498" i="3"/>
  <c r="BF5" i="3" s="1"/>
  <c r="BG498" i="3"/>
  <c r="BH498" i="3"/>
  <c r="BI498" i="3"/>
  <c r="BJ498" i="3"/>
  <c r="BJ5" i="3" s="1"/>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BT5" i="3" s="1"/>
  <c r="H500" i="3"/>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AC503" i="3"/>
  <c r="BB503" i="3"/>
  <c r="BC503" i="3"/>
  <c r="BD503" i="3"/>
  <c r="BA503" i="3" s="1"/>
  <c r="AZ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AZ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G522" i="3" s="1"/>
  <c r="AC522" i="3"/>
  <c r="BB522" i="3"/>
  <c r="BC522" i="3"/>
  <c r="BD522" i="3"/>
  <c r="BA522" i="3" s="1"/>
  <c r="AZ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AZ530" i="3" s="1"/>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AZ541" i="3" s="1"/>
  <c r="BO541" i="3"/>
  <c r="BP541" i="3"/>
  <c r="BR541" i="3"/>
  <c r="BS541" i="3"/>
  <c r="BT541" i="3"/>
  <c r="H542" i="3"/>
  <c r="G542" i="3" s="1"/>
  <c r="AC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AZ546" i="3" s="1"/>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L551" i="3" s="1"/>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A575" i="3" s="1"/>
  <c r="AZ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H47" i="34" s="1"/>
  <c r="B129" i="34"/>
  <c r="B127" i="34"/>
  <c r="H45" i="34" s="1"/>
  <c r="U45" i="34" s="1"/>
  <c r="B99" i="34"/>
  <c r="B97" i="34"/>
  <c r="B95" i="34"/>
  <c r="B93" i="34"/>
  <c r="F29" i="34" s="1"/>
  <c r="B75" i="34"/>
  <c r="B73" i="34"/>
  <c r="J13" i="34" s="1"/>
  <c r="B71" i="34"/>
  <c r="J12" i="34" s="1"/>
  <c r="W12" i="34" s="1"/>
  <c r="B130" i="33"/>
  <c r="F46" i="33" s="1"/>
  <c r="AA46" i="33" s="1"/>
  <c r="B128" i="33"/>
  <c r="B126" i="33"/>
  <c r="B98" i="33"/>
  <c r="B96" i="33"/>
  <c r="F30" i="33" s="1"/>
  <c r="AA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J39" i="33"/>
  <c r="AC39" i="33" s="1"/>
  <c r="Q38" i="33"/>
  <c r="Z38" i="33" s="1"/>
  <c r="J38" i="33"/>
  <c r="AC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F30" i="21" s="1"/>
  <c r="S30" i="21" s="1"/>
  <c r="B94" i="21"/>
  <c r="J29" i="21"/>
  <c r="AC29" i="21" s="1"/>
  <c r="B92" i="21"/>
  <c r="B90" i="21"/>
  <c r="J27" i="21"/>
  <c r="W27" i="21" s="1"/>
  <c r="B74" i="21"/>
  <c r="H14" i="21" s="1"/>
  <c r="AB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9" i="34"/>
  <c r="U34" i="34"/>
  <c r="H39" i="33"/>
  <c r="AB39" i="33" s="1"/>
  <c r="S40" i="33"/>
  <c r="F11" i="40"/>
  <c r="AA11" i="40" s="1"/>
  <c r="H11" i="40"/>
  <c r="AB11" i="40" s="1"/>
  <c r="W8" i="40"/>
  <c r="AA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c r="F27" i="39"/>
  <c r="F11" i="21"/>
  <c r="S11" i="21" s="1"/>
  <c r="S40" i="21"/>
  <c r="U34" i="21"/>
  <c r="C25" i="39"/>
  <c r="H11" i="39"/>
  <c r="C15" i="39"/>
  <c r="H32" i="33"/>
  <c r="AB32" i="33" s="1"/>
  <c r="H11" i="21"/>
  <c r="U11" i="21" s="1"/>
  <c r="J11" i="21"/>
  <c r="W11" i="21" s="1"/>
  <c r="H37" i="40"/>
  <c r="U37" i="40"/>
  <c r="H36" i="40"/>
  <c r="AB36" i="40" s="1"/>
  <c r="F35" i="40"/>
  <c r="AA35" i="40" s="1"/>
  <c r="H23" i="40"/>
  <c r="AB23" i="40" s="1"/>
  <c r="H17" i="40"/>
  <c r="U17" i="40"/>
  <c r="J15" i="40"/>
  <c r="W15" i="40" s="1"/>
  <c r="J11" i="40"/>
  <c r="W11" i="40" s="1"/>
  <c r="AB8" i="39"/>
  <c r="AC12" i="34"/>
  <c r="AB12" i="35"/>
  <c r="F37" i="39"/>
  <c r="AA37" i="39"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E113" i="33"/>
  <c r="F113" i="33" s="1"/>
  <c r="G113" i="33" s="1"/>
  <c r="H113" i="33" s="1"/>
  <c r="I113" i="33" s="1"/>
  <c r="J113" i="33" s="1"/>
  <c r="K113" i="33" s="1"/>
  <c r="L113" i="33" s="1"/>
  <c r="M113" i="33" s="1"/>
  <c r="F32" i="33"/>
  <c r="AA32" i="33" s="1"/>
  <c r="J19" i="33"/>
  <c r="AC19" i="33" s="1"/>
  <c r="J15" i="33"/>
  <c r="AC15" i="33" s="1"/>
  <c r="U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F28" i="40"/>
  <c r="AA28" i="40" s="1"/>
  <c r="AC38" i="34"/>
  <c r="J37" i="34"/>
  <c r="AC37" i="34" s="1"/>
  <c r="I123" i="21"/>
  <c r="J123" i="21" s="1"/>
  <c r="K123" i="21" s="1"/>
  <c r="L123" i="21" s="1"/>
  <c r="M123" i="21" s="1"/>
  <c r="J42" i="21"/>
  <c r="AC42" i="21" s="1"/>
  <c r="H42" i="21"/>
  <c r="U42" i="21" s="1"/>
  <c r="J44" i="34"/>
  <c r="F44" i="34"/>
  <c r="S44" i="34" s="1"/>
  <c r="J10" i="35"/>
  <c r="AC10" i="35" s="1"/>
  <c r="U14" i="21"/>
  <c r="H28" i="21"/>
  <c r="AB28" i="21" s="1"/>
  <c r="F28" i="21"/>
  <c r="AA28" i="21" s="1"/>
  <c r="J28" i="21"/>
  <c r="W28" i="21" s="1"/>
  <c r="H30" i="21"/>
  <c r="U30"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c r="F45" i="21"/>
  <c r="AA45" i="21" s="1"/>
  <c r="F27" i="33"/>
  <c r="AA27" i="33" s="1"/>
  <c r="J13" i="33"/>
  <c r="W13" i="33" s="1"/>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c r="H14" i="34"/>
  <c r="H30" i="34"/>
  <c r="U30" i="34" s="1"/>
  <c r="F30" i="34"/>
  <c r="S30" i="34"/>
  <c r="J30" i="34"/>
  <c r="H32" i="34"/>
  <c r="U32" i="34" s="1"/>
  <c r="F32" i="34"/>
  <c r="J32" i="34"/>
  <c r="W32" i="34" s="1"/>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s="1"/>
  <c r="F40" i="37"/>
  <c r="AA40" i="37" s="1"/>
  <c r="W12" i="40"/>
  <c r="H14" i="33"/>
  <c r="U14" i="33" s="1"/>
  <c r="F14" i="33"/>
  <c r="S14" i="33" s="1"/>
  <c r="J14" i="33"/>
  <c r="AC14" i="33" s="1"/>
  <c r="H30" i="33"/>
  <c r="AB30" i="33" s="1"/>
  <c r="J30" i="33"/>
  <c r="H44" i="33"/>
  <c r="J44" i="33"/>
  <c r="AC44" i="33" s="1"/>
  <c r="F44" i="33"/>
  <c r="S44" i="33" s="1"/>
  <c r="J46" i="33"/>
  <c r="AC46" i="33" s="1"/>
  <c r="H46" i="33"/>
  <c r="AB46" i="33" s="1"/>
  <c r="H13" i="34"/>
  <c r="U13" i="34" s="1"/>
  <c r="W13" i="34"/>
  <c r="F13" i="34"/>
  <c r="AA13" i="34" s="1"/>
  <c r="J29" i="34"/>
  <c r="AC29" i="34" s="1"/>
  <c r="S29" i="34"/>
  <c r="H29" i="34"/>
  <c r="AB29" i="34" s="1"/>
  <c r="J31" i="34"/>
  <c r="AC31" i="34" s="1"/>
  <c r="H31" i="34"/>
  <c r="F31" i="34"/>
  <c r="S31" i="34"/>
  <c r="J45" i="34"/>
  <c r="W45" i="34"/>
  <c r="F45" i="34"/>
  <c r="S45" i="34" s="1"/>
  <c r="U47" i="34"/>
  <c r="F47" i="34"/>
  <c r="S47" i="34" s="1"/>
  <c r="J47" i="34"/>
  <c r="AC47" i="34" s="1"/>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AA14" i="37" s="1"/>
  <c r="F27" i="37"/>
  <c r="AA27" i="37" s="1"/>
  <c r="H13" i="39"/>
  <c r="AB13" i="39" s="1"/>
  <c r="H14" i="40"/>
  <c r="AB14" i="40"/>
  <c r="J14" i="40"/>
  <c r="W14" i="40" s="1"/>
  <c r="F14" i="40"/>
  <c r="AA14" i="40" s="1"/>
  <c r="J14" i="37"/>
  <c r="J27" i="37"/>
  <c r="AC27" i="37"/>
  <c r="U46" i="33"/>
  <c r="J36" i="37"/>
  <c r="AC36" i="37" s="1"/>
  <c r="J10" i="36"/>
  <c r="AC10" i="36" s="1"/>
  <c r="AB30" i="21"/>
  <c r="W31" i="34"/>
  <c r="AB46" i="34"/>
  <c r="AA14" i="34"/>
  <c r="S45" i="33"/>
  <c r="AB45" i="33"/>
  <c r="AC28" i="21"/>
  <c r="F17" i="21"/>
  <c r="AA17" i="21" s="1"/>
  <c r="H17" i="21"/>
  <c r="AB17" i="21" s="1"/>
  <c r="F15" i="21"/>
  <c r="S15" i="21" s="1"/>
  <c r="J41" i="39"/>
  <c r="W41" i="39" s="1"/>
  <c r="W44" i="39"/>
  <c r="U36" i="39"/>
  <c r="S35" i="39"/>
  <c r="G544" i="3"/>
  <c r="G540" i="3"/>
  <c r="G536" i="3"/>
  <c r="G535" i="3"/>
  <c r="G531" i="3"/>
  <c r="G528" i="3"/>
  <c r="G527" i="3"/>
  <c r="G518" i="3"/>
  <c r="G514" i="3"/>
  <c r="G508" i="3"/>
  <c r="G504" i="3"/>
  <c r="G500" i="3"/>
  <c r="G584" i="3"/>
  <c r="G580" i="3"/>
  <c r="G576" i="3"/>
  <c r="G568" i="3"/>
  <c r="G564" i="3"/>
  <c r="G560" i="3"/>
  <c r="G554" i="3"/>
  <c r="G550" i="3"/>
  <c r="BL584" i="3"/>
  <c r="BL568" i="3"/>
  <c r="BL564" i="3"/>
  <c r="BL560" i="3"/>
  <c r="BL554" i="3"/>
  <c r="BL546" i="3"/>
  <c r="BL530" i="3"/>
  <c r="BL512" i="3"/>
  <c r="BL494" i="3"/>
  <c r="BL582" i="3"/>
  <c r="BL570" i="3"/>
  <c r="BL562" i="3"/>
  <c r="BL556" i="3"/>
  <c r="BL552" i="3"/>
  <c r="G533" i="3"/>
  <c r="G529" i="3"/>
  <c r="G525" i="3"/>
  <c r="BL510" i="3"/>
  <c r="G493" i="3"/>
  <c r="BA584" i="3"/>
  <c r="AZ584" i="3" s="1"/>
  <c r="BA582" i="3"/>
  <c r="AZ582" i="3" s="1"/>
  <c r="BA578" i="3"/>
  <c r="BA570" i="3"/>
  <c r="AZ570" i="3" s="1"/>
  <c r="BA564" i="3"/>
  <c r="BA562" i="3"/>
  <c r="BA560" i="3"/>
  <c r="BA558" i="3"/>
  <c r="AZ558" i="3" s="1"/>
  <c r="BA556" i="3"/>
  <c r="AZ556" i="3" s="1"/>
  <c r="BA554" i="3"/>
  <c r="AZ554" i="3" s="1"/>
  <c r="BA552" i="3"/>
  <c r="AZ552" i="3" s="1"/>
  <c r="BA544" i="3"/>
  <c r="BA540" i="3"/>
  <c r="BA524" i="3"/>
  <c r="BA516" i="3"/>
  <c r="BA510" i="3"/>
  <c r="AZ510" i="3" s="1"/>
  <c r="BA504" i="3"/>
  <c r="BA498" i="3"/>
  <c r="BA587" i="3"/>
  <c r="BA583" i="3"/>
  <c r="BA579" i="3"/>
  <c r="BA571" i="3"/>
  <c r="BA565" i="3"/>
  <c r="BA563" i="3"/>
  <c r="AZ563" i="3" s="1"/>
  <c r="BA561" i="3"/>
  <c r="BA559" i="3"/>
  <c r="BA555" i="3"/>
  <c r="BA553" i="3"/>
  <c r="BA543" i="3"/>
  <c r="BA535" i="3"/>
  <c r="BA527" i="3"/>
  <c r="AZ527" i="3" s="1"/>
  <c r="BA517" i="3"/>
  <c r="BA507" i="3"/>
  <c r="BA499" i="3"/>
  <c r="AZ499" i="3" s="1"/>
  <c r="AZ560" i="3"/>
  <c r="G583" i="3"/>
  <c r="G579" i="3"/>
  <c r="G577" i="3"/>
  <c r="G571" i="3"/>
  <c r="G569" i="3"/>
  <c r="G567" i="3"/>
  <c r="G565" i="3"/>
  <c r="G563" i="3"/>
  <c r="G561" i="3"/>
  <c r="BL558" i="3"/>
  <c r="BA557" i="3"/>
  <c r="AC557" i="3"/>
  <c r="G557" i="3" s="1"/>
  <c r="BQ557" i="3"/>
  <c r="BL557" i="3" s="1"/>
  <c r="BQ583" i="3"/>
  <c r="BL583" i="3" s="1"/>
  <c r="BQ581" i="3"/>
  <c r="BQ579" i="3"/>
  <c r="BQ577" i="3"/>
  <c r="BQ575" i="3"/>
  <c r="BL575" i="3"/>
  <c r="BQ573" i="3"/>
  <c r="BQ571" i="3"/>
  <c r="BQ569" i="3"/>
  <c r="BL569" i="3" s="1"/>
  <c r="BQ567" i="3"/>
  <c r="BQ565" i="3"/>
  <c r="BL565" i="3" s="1"/>
  <c r="AZ565" i="3"/>
  <c r="BQ563" i="3"/>
  <c r="BL563" i="3"/>
  <c r="BQ561" i="3"/>
  <c r="BL561" i="3"/>
  <c r="AZ561" i="3" s="1"/>
  <c r="BQ559" i="3"/>
  <c r="BL559" i="3" s="1"/>
  <c r="AZ559" i="3"/>
  <c r="G559" i="3"/>
  <c r="G555" i="3"/>
  <c r="G553" i="3"/>
  <c r="G545" i="3"/>
  <c r="G543" i="3"/>
  <c r="G537" i="3"/>
  <c r="BQ555" i="3"/>
  <c r="BL555" i="3"/>
  <c r="BQ553" i="3"/>
  <c r="BL553" i="3" s="1"/>
  <c r="AZ553" i="3"/>
  <c r="BQ551" i="3"/>
  <c r="BQ549" i="3"/>
  <c r="BQ547" i="3"/>
  <c r="BL547" i="3" s="1"/>
  <c r="BQ545" i="3"/>
  <c r="BQ543" i="3"/>
  <c r="BQ541" i="3"/>
  <c r="BQ539" i="3"/>
  <c r="BQ537" i="3"/>
  <c r="BQ535" i="3"/>
  <c r="BQ533" i="3"/>
  <c r="BL533" i="3"/>
  <c r="BQ531" i="3"/>
  <c r="BQ529" i="3"/>
  <c r="BQ527" i="3"/>
  <c r="BL527" i="3" s="1"/>
  <c r="BQ525" i="3"/>
  <c r="BQ523" i="3"/>
  <c r="BL523" i="3" s="1"/>
  <c r="AC521" i="3"/>
  <c r="G521" i="3" s="1"/>
  <c r="BQ521" i="3"/>
  <c r="G519" i="3"/>
  <c r="G515" i="3"/>
  <c r="G513" i="3"/>
  <c r="G511" i="3"/>
  <c r="BQ519" i="3"/>
  <c r="BQ517" i="3"/>
  <c r="BQ515" i="3"/>
  <c r="BL515" i="3" s="1"/>
  <c r="BQ513" i="3"/>
  <c r="BQ511" i="3"/>
  <c r="BA509" i="3"/>
  <c r="AC509" i="3"/>
  <c r="BQ509" i="3"/>
  <c r="BL508" i="3"/>
  <c r="G507" i="3"/>
  <c r="G503" i="3"/>
  <c r="G501" i="3"/>
  <c r="G499"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14" i="40"/>
  <c r="W23" i="35"/>
  <c r="U26" i="37"/>
  <c r="W47" i="34"/>
  <c r="AC31"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6"/>
  <c r="C46" i="36" s="1"/>
  <c r="D46" i="36" s="1"/>
  <c r="E46" i="36" s="1"/>
  <c r="F46" i="36" s="1"/>
  <c r="G46" i="36" s="1"/>
  <c r="H46" i="36" s="1"/>
  <c r="I46" i="36" s="1"/>
  <c r="A4" i="52"/>
  <c r="B41" i="72" s="1"/>
  <c r="J11" i="39"/>
  <c r="W11" i="39"/>
  <c r="F11" i="39"/>
  <c r="S11" i="39" s="1"/>
  <c r="AA11" i="39"/>
  <c r="G4" i="4"/>
  <c r="I4" i="4"/>
  <c r="F61" i="43"/>
  <c r="H64" i="43" s="1"/>
  <c r="BL549"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12" i="3"/>
  <c r="G506"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62" i="3"/>
  <c r="AZ18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69" i="3"/>
  <c r="BA379" i="3"/>
  <c r="AZ379" i="3" s="1"/>
  <c r="BL380" i="3"/>
  <c r="AZ380" i="3" s="1"/>
  <c r="G381" i="3"/>
  <c r="BA383" i="3"/>
  <c r="AZ383" i="3" s="1"/>
  <c r="BL384" i="3"/>
  <c r="AZ384" i="3" s="1"/>
  <c r="G385" i="3"/>
  <c r="BA387" i="3"/>
  <c r="BL388" i="3"/>
  <c r="G389" i="3"/>
  <c r="BA391" i="3"/>
  <c r="AZ391" i="3" s="1"/>
  <c r="BL392" i="3"/>
  <c r="G393" i="3"/>
  <c r="AZ291" i="3"/>
  <c r="BH5" i="3"/>
  <c r="AZ341" i="3"/>
  <c r="G548" i="3"/>
  <c r="G520" i="3"/>
  <c r="BS5" i="3"/>
  <c r="BI5" i="3"/>
  <c r="G17" i="3"/>
  <c r="BA17" i="3"/>
  <c r="AZ356" i="3"/>
  <c r="BA15" i="3"/>
  <c r="BR5" i="3"/>
  <c r="AZ392" i="3"/>
  <c r="G509" i="3"/>
  <c r="U36" i="40"/>
  <c r="F83" i="43"/>
  <c r="H85" i="43" s="1"/>
  <c r="F50" i="43"/>
  <c r="H54" i="43" s="1"/>
  <c r="F72" i="43"/>
  <c r="H75" i="43" s="1"/>
  <c r="U17" i="39"/>
  <c r="S14" i="35"/>
  <c r="U43" i="21"/>
  <c r="U35" i="21"/>
  <c r="AC35" i="21"/>
  <c r="AC11" i="39"/>
  <c r="W37" i="37"/>
  <c r="W44" i="34"/>
  <c r="AC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3" i="36"/>
  <c r="U33" i="36"/>
  <c r="AC12" i="39"/>
  <c r="W12" i="39"/>
  <c r="AC39" i="40"/>
  <c r="W39" i="40"/>
  <c r="AZ412" i="3"/>
  <c r="AA32" i="36"/>
  <c r="S32" i="36"/>
  <c r="BL14" i="3"/>
  <c r="AC13" i="34"/>
  <c r="AA47" i="34"/>
  <c r="S19" i="39"/>
  <c r="F12" i="33"/>
  <c r="S12" i="33" s="1"/>
  <c r="H12" i="39"/>
  <c r="AB12" i="39"/>
  <c r="F39" i="40"/>
  <c r="BA14" i="3"/>
  <c r="AZ14" i="3" s="1"/>
  <c r="AZ224" i="3"/>
  <c r="AZ297" i="3"/>
  <c r="B12" i="1"/>
  <c r="E12" i="1" s="1"/>
  <c r="B10" i="1"/>
  <c r="E10" i="1" s="1"/>
  <c r="K12" i="1"/>
  <c r="M12" i="1" s="1"/>
  <c r="S13" i="1"/>
  <c r="AR13" i="1" s="1"/>
  <c r="R13" i="1"/>
  <c r="J51" i="67"/>
  <c r="B41" i="1"/>
  <c r="F48" i="9" s="1"/>
  <c r="O52" i="9" s="1"/>
  <c r="AB37" i="40"/>
  <c r="U35" i="40"/>
  <c r="AC36" i="40"/>
  <c r="W38" i="40"/>
  <c r="S17" i="40"/>
  <c r="S23" i="40"/>
  <c r="AC15" i="40"/>
  <c r="AB27" i="40"/>
  <c r="S30" i="40"/>
  <c r="AA27" i="40"/>
  <c r="U21" i="40"/>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2" i="39"/>
  <c r="U13" i="36"/>
  <c r="U26" i="36"/>
  <c r="S33" i="36"/>
  <c r="AA26" i="36"/>
  <c r="AA34" i="36"/>
  <c r="AC26" i="36"/>
  <c r="AA22" i="36"/>
  <c r="W14" i="36"/>
  <c r="AB14" i="36"/>
  <c r="U22" i="36"/>
  <c r="S16" i="36"/>
  <c r="AA25" i="36"/>
  <c r="U23" i="36"/>
  <c r="AB20" i="36"/>
  <c r="U16" i="36"/>
  <c r="S14" i="36"/>
  <c r="AA25" i="35"/>
  <c r="S23" i="35"/>
  <c r="W24"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U29" i="37"/>
  <c r="AB31" i="37"/>
  <c r="W30" i="37"/>
  <c r="S36" i="37"/>
  <c r="AA38" i="37"/>
  <c r="U32" i="37"/>
  <c r="W38" i="37"/>
  <c r="AC35" i="37"/>
  <c r="S30" i="37"/>
  <c r="AC15" i="37"/>
  <c r="J17" i="37"/>
  <c r="W17" i="37"/>
  <c r="G73" i="37"/>
  <c r="F17" i="37"/>
  <c r="AA17" i="37" s="1"/>
  <c r="F75" i="37"/>
  <c r="G75" i="37" s="1"/>
  <c r="F19" i="37"/>
  <c r="S19" i="37" s="1"/>
  <c r="F79" i="37"/>
  <c r="F23" i="37"/>
  <c r="S23" i="37" s="1"/>
  <c r="U23" i="37"/>
  <c r="U15" i="37"/>
  <c r="AC13" i="37"/>
  <c r="H10" i="37"/>
  <c r="AB10" i="37" s="1"/>
  <c r="F63" i="37"/>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AA29" i="33"/>
  <c r="H41" i="33"/>
  <c r="F121" i="33"/>
  <c r="G121" i="33" s="1"/>
  <c r="H121" i="33" s="1"/>
  <c r="I121" i="33" s="1"/>
  <c r="J121" i="33" s="1"/>
  <c r="K121" i="33" s="1"/>
  <c r="L121" i="33" s="1"/>
  <c r="M121" i="33" s="1"/>
  <c r="U42" i="33"/>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F81" i="33"/>
  <c r="G81" i="33" s="1"/>
  <c r="F19" i="33"/>
  <c r="S19" i="33" s="1"/>
  <c r="J17" i="33"/>
  <c r="W17" i="33" s="1"/>
  <c r="U9" i="33"/>
  <c r="J10" i="33"/>
  <c r="W10" i="33" s="1"/>
  <c r="H10" i="33"/>
  <c r="U10" i="33" s="1"/>
  <c r="W43" i="21"/>
  <c r="W36" i="21"/>
  <c r="W41" i="21"/>
  <c r="AB39" i="21"/>
  <c r="AA43" i="21"/>
  <c r="S39" i="21"/>
  <c r="AA38" i="21"/>
  <c r="AA36" i="21"/>
  <c r="AC40" i="21"/>
  <c r="J15" i="21"/>
  <c r="W15" i="21"/>
  <c r="F77" i="21"/>
  <c r="G77" i="21"/>
  <c r="F23" i="21"/>
  <c r="S23" i="21"/>
  <c r="E85"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W37" i="40"/>
  <c r="AC14" i="40"/>
  <c r="S13" i="40"/>
  <c r="AA15" i="40"/>
  <c r="U11" i="40"/>
  <c r="S31" i="40"/>
  <c r="U15" i="40"/>
  <c r="AB17" i="40"/>
  <c r="U8" i="40"/>
  <c r="AA39" i="39"/>
  <c r="AC41" i="39"/>
  <c r="U42" i="39"/>
  <c r="U41" i="39"/>
  <c r="W25" i="39"/>
  <c r="AC25" i="39"/>
  <c r="U13" i="39"/>
  <c r="S14" i="39"/>
  <c r="AA14" i="39"/>
  <c r="U43" i="39"/>
  <c r="AB43" i="39"/>
  <c r="AB11" i="39"/>
  <c r="U11" i="39"/>
  <c r="AA27" i="39"/>
  <c r="S27" i="39"/>
  <c r="W17" i="39"/>
  <c r="AC17" i="39"/>
  <c r="S23" i="39"/>
  <c r="AA45" i="39"/>
  <c r="AB39" i="39"/>
  <c r="W34" i="39"/>
  <c r="U38" i="39"/>
  <c r="S8" i="39"/>
  <c r="AC25" i="36"/>
  <c r="U32" i="36"/>
  <c r="W29" i="36"/>
  <c r="AC20" i="36"/>
  <c r="U25" i="36"/>
  <c r="AB28" i="36"/>
  <c r="W9" i="36"/>
  <c r="W22" i="36"/>
  <c r="W23" i="36"/>
  <c r="AC25" i="35"/>
  <c r="S24" i="35"/>
  <c r="S35" i="35"/>
  <c r="W35" i="35"/>
  <c r="AA16" i="35"/>
  <c r="AA35" i="37"/>
  <c r="S28" i="37"/>
  <c r="U36" i="37"/>
  <c r="S40" i="37"/>
  <c r="U38" i="37"/>
  <c r="AB37" i="37"/>
  <c r="AC34" i="37"/>
  <c r="AB35" i="37"/>
  <c r="AA31" i="37"/>
  <c r="AA29" i="37"/>
  <c r="U8" i="37"/>
  <c r="AA40" i="34"/>
  <c r="AB33" i="34"/>
  <c r="AC45" i="34"/>
  <c r="AA31" i="34"/>
  <c r="AA30" i="34"/>
  <c r="AB45" i="34"/>
  <c r="AB47" i="34"/>
  <c r="U25" i="34"/>
  <c r="AB36" i="34"/>
  <c r="W33" i="34"/>
  <c r="AC32" i="34"/>
  <c r="W29" i="34"/>
  <c r="W46" i="34"/>
  <c r="AC46" i="34"/>
  <c r="S32" i="34"/>
  <c r="AA32" i="34"/>
  <c r="U38" i="34"/>
  <c r="AC40" i="34"/>
  <c r="W40" i="34"/>
  <c r="AA19" i="34"/>
  <c r="S19" i="34"/>
  <c r="AA8" i="34"/>
  <c r="S8" i="34"/>
  <c r="AB9" i="34"/>
  <c r="U9" i="34"/>
  <c r="S46" i="34"/>
  <c r="AA46" i="34"/>
  <c r="U14" i="34"/>
  <c r="AB14" i="34"/>
  <c r="AC43" i="34"/>
  <c r="W43" i="34"/>
  <c r="W23" i="34"/>
  <c r="AC23" i="34"/>
  <c r="AC35" i="34"/>
  <c r="W35" i="34"/>
  <c r="U12" i="34"/>
  <c r="AB12" i="34"/>
  <c r="W46" i="33"/>
  <c r="U39" i="33"/>
  <c r="S33" i="33"/>
  <c r="U44" i="33"/>
  <c r="AB44" i="33"/>
  <c r="S30" i="33"/>
  <c r="AC30" i="33"/>
  <c r="W30" i="33"/>
  <c r="S31" i="33"/>
  <c r="AA31" i="33"/>
  <c r="S28" i="33"/>
  <c r="W8" i="33"/>
  <c r="S44" i="21"/>
  <c r="AB42" i="21"/>
  <c r="U28" i="21"/>
  <c r="S45" i="21"/>
  <c r="F33" i="21"/>
  <c r="AA33" i="21" s="1"/>
  <c r="J33" i="21"/>
  <c r="AC33" i="21" s="1"/>
  <c r="H33" i="21"/>
  <c r="AB33" i="21" s="1"/>
  <c r="F37" i="21"/>
  <c r="AA37" i="21" s="1"/>
  <c r="AA26" i="21"/>
  <c r="U40" i="21"/>
  <c r="AC15" i="21"/>
  <c r="U13" i="21"/>
  <c r="AB13" i="21"/>
  <c r="S35" i="21"/>
  <c r="J37" i="21"/>
  <c r="W37" i="21" s="1"/>
  <c r="H15" i="21"/>
  <c r="U15" i="21"/>
  <c r="J17" i="21"/>
  <c r="AC17" i="21"/>
  <c r="AC19" i="21"/>
  <c r="W39" i="21"/>
  <c r="W30" i="21"/>
  <c r="S46" i="21"/>
  <c r="H45" i="21"/>
  <c r="U45" i="21" s="1"/>
  <c r="F29" i="21"/>
  <c r="AA29" i="21" s="1"/>
  <c r="F13" i="21"/>
  <c r="AA13" i="21" s="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17" i="21"/>
  <c r="W25" i="21"/>
  <c r="AA15" i="21"/>
  <c r="AC27" i="21"/>
  <c r="AC26" i="21"/>
  <c r="AB29" i="21"/>
  <c r="S28" i="21"/>
  <c r="AC34" i="21"/>
  <c r="AB36" i="21"/>
  <c r="W30" i="40"/>
  <c r="C19" i="39"/>
  <c r="C15" i="40"/>
  <c r="C17" i="40"/>
  <c r="C21" i="40"/>
  <c r="U30" i="40"/>
  <c r="B56" i="43"/>
  <c r="B67" i="43"/>
  <c r="B51" i="43"/>
  <c r="B58" i="43"/>
  <c r="B62" i="43"/>
  <c r="B65" i="43"/>
  <c r="B69" i="43"/>
  <c r="D23" i="15"/>
  <c r="D22" i="15"/>
  <c r="E4" i="4"/>
  <c r="B5" i="62" s="1"/>
  <c r="B73" i="72" s="1"/>
  <c r="C4" i="4"/>
  <c r="F28" i="67"/>
  <c r="F32" i="67"/>
  <c r="F60" i="67" s="1"/>
  <c r="F28" i="15"/>
  <c r="AA39" i="40"/>
  <c r="S39" i="40"/>
  <c r="AA12" i="33"/>
  <c r="J32" i="39"/>
  <c r="H32" i="39"/>
  <c r="AB32" i="39" s="1"/>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2" i="33"/>
  <c r="J27" i="33"/>
  <c r="W27" i="33" s="1"/>
  <c r="J25" i="33"/>
  <c r="AC25" i="33" s="1"/>
  <c r="H19" i="33"/>
  <c r="U19" i="33" s="1"/>
  <c r="H17" i="33"/>
  <c r="U17" i="33" s="1"/>
  <c r="F17" i="33"/>
  <c r="S17" i="33" s="1"/>
  <c r="S37" i="21"/>
  <c r="AA23" i="21"/>
  <c r="AB15" i="21"/>
  <c r="J23" i="21"/>
  <c r="W23" i="21" s="1"/>
  <c r="F85" i="21"/>
  <c r="G85" i="21" s="1"/>
  <c r="H23" i="21"/>
  <c r="AB23" i="21" s="1"/>
  <c r="D6" i="52"/>
  <c r="AP7" i="1"/>
  <c r="AB9" i="21"/>
  <c r="U9" i="21"/>
  <c r="AC9" i="21"/>
  <c r="U32" i="39"/>
  <c r="AC32" i="39"/>
  <c r="W32" i="39"/>
  <c r="W23" i="37"/>
  <c r="AC23" i="37"/>
  <c r="J11" i="37"/>
  <c r="AC11" i="37" s="1"/>
  <c r="J11" i="34"/>
  <c r="W11" i="34" s="1"/>
  <c r="U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6" i="67"/>
  <c r="M28" i="15"/>
  <c r="D34" i="9"/>
  <c r="F40" i="15"/>
  <c r="F38" i="15"/>
  <c r="B11" i="76"/>
  <c r="E13" i="76"/>
  <c r="D35" i="9"/>
  <c r="M23" i="67"/>
  <c r="D6" i="73"/>
  <c r="F38" i="67"/>
  <c r="E10" i="76"/>
  <c r="M24" i="15"/>
  <c r="E7" i="76"/>
  <c r="F42" i="15"/>
  <c r="F3" i="73"/>
  <c r="B10" i="76"/>
  <c r="F4" i="73"/>
  <c r="F5" i="73"/>
  <c r="L47" i="15"/>
  <c r="F16" i="67"/>
  <c r="B13" i="76"/>
  <c r="F43" i="67"/>
  <c r="F13" i="67"/>
  <c r="F7" i="67"/>
  <c r="E8" i="76"/>
  <c r="F7" i="73"/>
  <c r="M9" i="67"/>
  <c r="F42" i="67"/>
  <c r="M29" i="67"/>
  <c r="E11" i="76"/>
  <c r="L48" i="15"/>
  <c r="F16" i="15"/>
  <c r="F36" i="15"/>
  <c r="M29" i="15"/>
  <c r="E12" i="76"/>
  <c r="M24" i="67"/>
  <c r="C76" i="67"/>
  <c r="M22" i="67"/>
  <c r="F36" i="67"/>
  <c r="F37" i="15"/>
  <c r="F37" i="67"/>
  <c r="C76" i="15"/>
  <c r="F8" i="67"/>
  <c r="M8" i="15"/>
  <c r="F7" i="15"/>
  <c r="J15" i="67"/>
  <c r="B8" i="76"/>
  <c r="M23" i="15"/>
  <c r="M26" i="67"/>
  <c r="B7" i="76"/>
  <c r="F43" i="15"/>
  <c r="M6" i="67"/>
  <c r="F6" i="15"/>
  <c r="M8" i="67"/>
  <c r="AO13" i="1"/>
  <c r="F13" i="15"/>
  <c r="M28" i="67"/>
  <c r="M9" i="15"/>
  <c r="F9" i="15"/>
  <c r="E2" i="68"/>
  <c r="M22" i="15"/>
  <c r="M6" i="15"/>
  <c r="E9" i="76"/>
  <c r="B9" i="76"/>
  <c r="E2" i="69"/>
  <c r="F6" i="73"/>
  <c r="F26" i="15"/>
  <c r="J15" i="15"/>
  <c r="F40" i="67"/>
  <c r="F6" i="67"/>
  <c r="F8" i="15"/>
  <c r="M26" i="15"/>
  <c r="L48" i="67"/>
  <c r="F20" i="31"/>
  <c r="B12" i="76"/>
  <c r="L47" i="67"/>
  <c r="F9" i="67"/>
  <c r="J11" i="33" l="1"/>
  <c r="H11" i="33"/>
  <c r="AB11" i="33" s="1"/>
  <c r="F11" i="33"/>
  <c r="AA11" i="33" s="1"/>
  <c r="S43" i="33"/>
  <c r="J42" i="33"/>
  <c r="AC42" i="33" s="1"/>
  <c r="W38" i="33"/>
  <c r="H38" i="33"/>
  <c r="AB38" i="33" s="1"/>
  <c r="F111" i="33"/>
  <c r="S32" i="33"/>
  <c r="W25" i="33"/>
  <c r="H23" i="33"/>
  <c r="AB23" i="33" s="1"/>
  <c r="J23" i="33"/>
  <c r="AC23" i="33" s="1"/>
  <c r="F85" i="33"/>
  <c r="G85" i="33" s="1"/>
  <c r="F23" i="33"/>
  <c r="W15" i="33"/>
  <c r="U11" i="33"/>
  <c r="AA13" i="33"/>
  <c r="W14" i="33"/>
  <c r="W43" i="33"/>
  <c r="U33" i="33"/>
  <c r="S27" i="33"/>
  <c r="AC21" i="33"/>
  <c r="AC17" i="33"/>
  <c r="U23" i="33"/>
  <c r="AB19" i="33"/>
  <c r="W19" i="33"/>
  <c r="AA19" i="33"/>
  <c r="U15" i="33"/>
  <c r="S15" i="33"/>
  <c r="W9" i="33"/>
  <c r="S42" i="33"/>
  <c r="W41" i="33"/>
  <c r="W39" i="33"/>
  <c r="AC35" i="33"/>
  <c r="AB34" i="33"/>
  <c r="AB28" i="33"/>
  <c r="U30" i="33"/>
  <c r="AC28" i="33"/>
  <c r="U32" i="33"/>
  <c r="AB29" i="33"/>
  <c r="AC27" i="33"/>
  <c r="AB27" i="33"/>
  <c r="AC26" i="33"/>
  <c r="AB25" i="33"/>
  <c r="S25" i="33"/>
  <c r="B88" i="43"/>
  <c r="B79" i="43"/>
  <c r="C40" i="68"/>
  <c r="C21" i="68"/>
  <c r="A2" i="9"/>
  <c r="A118" i="9"/>
  <c r="C7" i="34"/>
  <c r="G23" i="43"/>
  <c r="C23" i="43" s="1"/>
  <c r="M47" i="9"/>
  <c r="C7" i="35"/>
  <c r="C48" i="35" s="1"/>
  <c r="D48" i="35" s="1"/>
  <c r="C7" i="37"/>
  <c r="C52" i="37" s="1"/>
  <c r="D52" i="37" s="1"/>
  <c r="C7" i="33"/>
  <c r="C7" i="40"/>
  <c r="C63" i="40" s="1"/>
  <c r="C7" i="39"/>
  <c r="C67" i="39" s="1"/>
  <c r="C69" i="39" s="1"/>
  <c r="AZ551" i="3"/>
  <c r="AZ497" i="3"/>
  <c r="F29" i="6"/>
  <c r="AZ538" i="3"/>
  <c r="AZ536" i="3"/>
  <c r="AZ534" i="3"/>
  <c r="AZ528" i="3"/>
  <c r="AZ526" i="3"/>
  <c r="AZ513" i="3"/>
  <c r="AZ504" i="3"/>
  <c r="AZ580" i="3"/>
  <c r="AZ576" i="3"/>
  <c r="AZ574" i="3"/>
  <c r="AZ572" i="3"/>
  <c r="AC13" i="40"/>
  <c r="W13" i="40"/>
  <c r="AZ544" i="3"/>
  <c r="AZ498" i="3"/>
  <c r="AA13" i="39"/>
  <c r="S13" i="39"/>
  <c r="AZ566" i="3"/>
  <c r="AZ537" i="3"/>
  <c r="AZ532" i="3"/>
  <c r="AZ529" i="3"/>
  <c r="AZ518" i="3"/>
  <c r="AZ514" i="3"/>
  <c r="AZ506" i="3"/>
  <c r="AZ505" i="3"/>
  <c r="AZ501" i="3"/>
  <c r="AZ500" i="3"/>
  <c r="AC23" i="21"/>
  <c r="AZ549" i="3"/>
  <c r="AZ523" i="3"/>
  <c r="AZ547" i="3"/>
  <c r="AZ516" i="3"/>
  <c r="BL548" i="3"/>
  <c r="AZ548" i="3" s="1"/>
  <c r="AZ515" i="3"/>
  <c r="AZ571" i="3"/>
  <c r="W11" i="35"/>
  <c r="AC11" i="35"/>
  <c r="B97" i="43"/>
  <c r="B75" i="43"/>
  <c r="F28" i="34"/>
  <c r="J28" i="34"/>
  <c r="J36" i="35"/>
  <c r="AC36" i="35" s="1"/>
  <c r="H36" i="35"/>
  <c r="S13" i="21"/>
  <c r="M18" i="15"/>
  <c r="M18" i="67"/>
  <c r="F30" i="11"/>
  <c r="C48" i="11" s="1"/>
  <c r="C23" i="40"/>
  <c r="S17" i="21"/>
  <c r="W29" i="21"/>
  <c r="AC13" i="33"/>
  <c r="S37" i="34"/>
  <c r="W19" i="34"/>
  <c r="S27" i="37"/>
  <c r="U25" i="35"/>
  <c r="AC31" i="39"/>
  <c r="S39" i="33"/>
  <c r="AA35" i="33"/>
  <c r="U27" i="34"/>
  <c r="AC39" i="34"/>
  <c r="W25" i="34"/>
  <c r="AA13" i="37"/>
  <c r="AB17" i="37"/>
  <c r="S32" i="37"/>
  <c r="S20" i="35"/>
  <c r="S43" i="39"/>
  <c r="AA34" i="33"/>
  <c r="AA12" i="40"/>
  <c r="BC5" i="3"/>
  <c r="AZ387" i="3"/>
  <c r="AZ366" i="3"/>
  <c r="AZ362" i="3"/>
  <c r="AZ338" i="3"/>
  <c r="AZ390" i="3"/>
  <c r="AZ371" i="3"/>
  <c r="AZ351" i="3"/>
  <c r="AZ336" i="3"/>
  <c r="AZ305" i="3"/>
  <c r="AZ360" i="3"/>
  <c r="AB33" i="40"/>
  <c r="W40" i="37"/>
  <c r="BL511" i="3"/>
  <c r="AZ511" i="3" s="1"/>
  <c r="BL539" i="3"/>
  <c r="AZ539" i="3" s="1"/>
  <c r="BL543" i="3"/>
  <c r="AZ543" i="3" s="1"/>
  <c r="BA494" i="3"/>
  <c r="AZ494" i="3" s="1"/>
  <c r="AZ564" i="3"/>
  <c r="BL496" i="3"/>
  <c r="AZ496" i="3" s="1"/>
  <c r="BL498" i="3"/>
  <c r="S11" i="36"/>
  <c r="AB26" i="33"/>
  <c r="AA14" i="33"/>
  <c r="J13" i="39"/>
  <c r="S14" i="37"/>
  <c r="F14" i="21"/>
  <c r="AA44" i="34"/>
  <c r="S42" i="34"/>
  <c r="AA41" i="33"/>
  <c r="W31" i="40"/>
  <c r="AC28" i="36"/>
  <c r="W28" i="36"/>
  <c r="J39" i="37"/>
  <c r="H39" i="37"/>
  <c r="AB9" i="40"/>
  <c r="U9" i="40"/>
  <c r="G582" i="3"/>
  <c r="AZ533" i="3"/>
  <c r="AZ569" i="3"/>
  <c r="AZ579" i="3"/>
  <c r="AZ524" i="3"/>
  <c r="AC33" i="33"/>
  <c r="W33" i="33"/>
  <c r="AA44" i="39"/>
  <c r="S44" i="39"/>
  <c r="U32" i="21"/>
  <c r="S32" i="21"/>
  <c r="AB45" i="21"/>
  <c r="S21" i="39"/>
  <c r="F54" i="9"/>
  <c r="F32" i="15"/>
  <c r="F60" i="15" s="1"/>
  <c r="F52" i="9"/>
  <c r="F30" i="68"/>
  <c r="F48" i="68" s="1"/>
  <c r="S27" i="21"/>
  <c r="AB13" i="35"/>
  <c r="S15" i="39"/>
  <c r="U37" i="39"/>
  <c r="S28" i="40"/>
  <c r="S35" i="40"/>
  <c r="AC34" i="33"/>
  <c r="W28" i="37"/>
  <c r="U12" i="40"/>
  <c r="BL493" i="3"/>
  <c r="AZ493" i="3" s="1"/>
  <c r="AZ15" i="3"/>
  <c r="BE5" i="3"/>
  <c r="AZ304" i="3"/>
  <c r="AZ139" i="3"/>
  <c r="AZ306" i="3"/>
  <c r="W35" i="40"/>
  <c r="W8" i="39"/>
  <c r="F32" i="40"/>
  <c r="BL535" i="3"/>
  <c r="AZ535" i="3" s="1"/>
  <c r="BL577" i="3"/>
  <c r="AZ577" i="3" s="1"/>
  <c r="AZ557" i="3"/>
  <c r="G496" i="3"/>
  <c r="AA29" i="35"/>
  <c r="W40" i="33"/>
  <c r="AA27" i="35"/>
  <c r="S27" i="35"/>
  <c r="J12" i="36"/>
  <c r="F12" i="36"/>
  <c r="J24" i="36"/>
  <c r="H24" i="36"/>
  <c r="AB9" i="39"/>
  <c r="U9" i="39"/>
  <c r="AA40" i="39"/>
  <c r="S40" i="39"/>
  <c r="U39" i="40"/>
  <c r="AB39" i="40"/>
  <c r="AB38" i="40"/>
  <c r="U38" i="40"/>
  <c r="BL550" i="3"/>
  <c r="AZ550" i="3" s="1"/>
  <c r="AB46" i="21"/>
  <c r="U37" i="33"/>
  <c r="AC37" i="33"/>
  <c r="AB32" i="34"/>
  <c r="S36" i="34"/>
  <c r="AB30" i="34"/>
  <c r="U19" i="34"/>
  <c r="W36" i="37"/>
  <c r="S20" i="36"/>
  <c r="AB31" i="40"/>
  <c r="AA17" i="33"/>
  <c r="D68" i="9"/>
  <c r="F30" i="69"/>
  <c r="F48" i="69" s="1"/>
  <c r="F31" i="12"/>
  <c r="B54" i="43"/>
  <c r="AC14" i="34"/>
  <c r="AB40" i="34"/>
  <c r="U19" i="37"/>
  <c r="W32" i="37"/>
  <c r="U24" i="35"/>
  <c r="AB20" i="35"/>
  <c r="AA13" i="36"/>
  <c r="S8" i="40"/>
  <c r="AB13" i="40"/>
  <c r="S33" i="40"/>
  <c r="U32" i="40"/>
  <c r="AB14" i="33"/>
  <c r="S37" i="37"/>
  <c r="AC29" i="37"/>
  <c r="S24" i="36"/>
  <c r="U14" i="39"/>
  <c r="AB19" i="40"/>
  <c r="AA19" i="40"/>
  <c r="AC17" i="40"/>
  <c r="AZ357" i="3"/>
  <c r="AZ313" i="3"/>
  <c r="AZ394" i="3"/>
  <c r="S14" i="40"/>
  <c r="AA25" i="21"/>
  <c r="F36" i="35"/>
  <c r="AC36" i="34"/>
  <c r="BL519" i="3"/>
  <c r="AZ519" i="3" s="1"/>
  <c r="BL531" i="3"/>
  <c r="AZ531" i="3" s="1"/>
  <c r="BL573" i="3"/>
  <c r="AZ573" i="3" s="1"/>
  <c r="AZ583" i="3"/>
  <c r="AA44" i="33"/>
  <c r="J14" i="21"/>
  <c r="AA38" i="34"/>
  <c r="W32" i="40"/>
  <c r="F26" i="33"/>
  <c r="AB41" i="21"/>
  <c r="H31" i="21"/>
  <c r="J31" i="21"/>
  <c r="AB35" i="33"/>
  <c r="U35" i="33"/>
  <c r="AA38" i="33"/>
  <c r="S38" i="33"/>
  <c r="J12" i="33"/>
  <c r="H12" i="33"/>
  <c r="U12" i="33" s="1"/>
  <c r="H12" i="36"/>
  <c r="F23" i="36"/>
  <c r="H34" i="36"/>
  <c r="J34" i="36"/>
  <c r="W34" i="36" s="1"/>
  <c r="W31" i="35"/>
  <c r="AC31" i="35"/>
  <c r="G552" i="3"/>
  <c r="AZ407" i="3"/>
  <c r="AZ448" i="3"/>
  <c r="W22" i="35"/>
  <c r="BL585" i="3"/>
  <c r="AZ585" i="3" s="1"/>
  <c r="G558" i="3"/>
  <c r="BL398" i="3"/>
  <c r="G402" i="3"/>
  <c r="AZ406" i="3"/>
  <c r="BL407" i="3"/>
  <c r="BL410" i="3"/>
  <c r="BA418" i="3"/>
  <c r="BA433" i="3"/>
  <c r="AZ433" i="3" s="1"/>
  <c r="BL441" i="3"/>
  <c r="BL442" i="3"/>
  <c r="BL448" i="3"/>
  <c r="G451" i="3"/>
  <c r="BA457" i="3"/>
  <c r="AZ457" i="3" s="1"/>
  <c r="AZ217" i="3"/>
  <c r="BL15" i="3"/>
  <c r="BA398" i="3"/>
  <c r="AZ398" i="3" s="1"/>
  <c r="BA399" i="3"/>
  <c r="AZ399" i="3" s="1"/>
  <c r="BL401" i="3"/>
  <c r="BL404" i="3"/>
  <c r="BL405" i="3"/>
  <c r="G409" i="3"/>
  <c r="BA414" i="3"/>
  <c r="AZ414" i="3" s="1"/>
  <c r="BA415" i="3"/>
  <c r="AZ415" i="3" s="1"/>
  <c r="BA416" i="3"/>
  <c r="AZ416" i="3" s="1"/>
  <c r="BA421" i="3"/>
  <c r="AZ421" i="3" s="1"/>
  <c r="BA423" i="3"/>
  <c r="AZ423" i="3" s="1"/>
  <c r="BL437" i="3"/>
  <c r="AZ437" i="3" s="1"/>
  <c r="G440" i="3"/>
  <c r="AZ444" i="3"/>
  <c r="AZ469" i="3"/>
  <c r="AZ483" i="3"/>
  <c r="BA489" i="3"/>
  <c r="BL381" i="3"/>
  <c r="AZ381" i="3" s="1"/>
  <c r="G215" i="3"/>
  <c r="BL587" i="3"/>
  <c r="AZ587" i="3" s="1"/>
  <c r="BL586" i="3"/>
  <c r="AZ586" i="3" s="1"/>
  <c r="G574" i="3"/>
  <c r="BL16" i="3"/>
  <c r="AZ16" i="3" s="1"/>
  <c r="BA401" i="3"/>
  <c r="BA403" i="3"/>
  <c r="AZ403" i="3" s="1"/>
  <c r="BA404" i="3"/>
  <c r="AZ404" i="3" s="1"/>
  <c r="BA405" i="3"/>
  <c r="AZ405" i="3" s="1"/>
  <c r="BA410" i="3"/>
  <c r="BA411" i="3"/>
  <c r="BA419" i="3"/>
  <c r="AZ419" i="3" s="1"/>
  <c r="G425" i="3"/>
  <c r="BL425" i="3"/>
  <c r="AZ425" i="3" s="1"/>
  <c r="BL426" i="3"/>
  <c r="BA434" i="3"/>
  <c r="BA435" i="3"/>
  <c r="AZ435" i="3" s="1"/>
  <c r="BL443" i="3"/>
  <c r="AZ443" i="3" s="1"/>
  <c r="BL444" i="3"/>
  <c r="G447" i="3"/>
  <c r="BA452" i="3"/>
  <c r="BA454" i="3"/>
  <c r="BA458" i="3"/>
  <c r="AZ458" i="3" s="1"/>
  <c r="BA462" i="3"/>
  <c r="AZ462" i="3" s="1"/>
  <c r="BL465" i="3"/>
  <c r="BA470" i="3"/>
  <c r="BA476" i="3"/>
  <c r="AZ476" i="3" s="1"/>
  <c r="G485" i="3"/>
  <c r="AZ487" i="3"/>
  <c r="BL350" i="3"/>
  <c r="G380" i="3"/>
  <c r="G384" i="3"/>
  <c r="BA134" i="3"/>
  <c r="G419" i="3"/>
  <c r="BA422" i="3"/>
  <c r="AZ422" i="3" s="1"/>
  <c r="G430" i="3"/>
  <c r="BL431" i="3"/>
  <c r="BL434" i="3"/>
  <c r="G437" i="3"/>
  <c r="BL438" i="3"/>
  <c r="BL439" i="3"/>
  <c r="BA441" i="3"/>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BL218" i="3"/>
  <c r="BL220" i="3"/>
  <c r="BL221" i="3"/>
  <c r="BL223" i="3"/>
  <c r="BL228" i="3"/>
  <c r="AZ228" i="3" s="1"/>
  <c r="BA230" i="3"/>
  <c r="AZ230" i="3" s="1"/>
  <c r="BA271" i="3"/>
  <c r="BL271" i="3"/>
  <c r="BL139" i="3"/>
  <c r="BL141" i="3"/>
  <c r="BL143" i="3"/>
  <c r="AZ143" i="3" s="1"/>
  <c r="BL408" i="3"/>
  <c r="AZ408" i="3" s="1"/>
  <c r="BL411" i="3"/>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AZ397" i="3" s="1"/>
  <c r="BL397" i="3"/>
  <c r="BA210" i="3"/>
  <c r="BL210" i="3"/>
  <c r="BL212" i="3"/>
  <c r="G214" i="3"/>
  <c r="BL214" i="3"/>
  <c r="AZ214" i="3" s="1"/>
  <c r="G216" i="3"/>
  <c r="G234" i="3"/>
  <c r="BA235" i="3"/>
  <c r="BA237" i="3"/>
  <c r="AZ237" i="3" s="1"/>
  <c r="BL252" i="3"/>
  <c r="G254" i="3"/>
  <c r="BL259" i="3"/>
  <c r="G261" i="3"/>
  <c r="BL278" i="3"/>
  <c r="BA283" i="3"/>
  <c r="BA174" i="3"/>
  <c r="G190" i="3"/>
  <c r="BL193" i="3"/>
  <c r="G194" i="3"/>
  <c r="BL194" i="3"/>
  <c r="AZ194" i="3" s="1"/>
  <c r="BA198" i="3"/>
  <c r="BL205" i="3"/>
  <c r="G206" i="3"/>
  <c r="BL206" i="3"/>
  <c r="G26" i="3"/>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A226" i="3"/>
  <c r="G232" i="3"/>
  <c r="BL234" i="3"/>
  <c r="G238" i="3"/>
  <c r="G243" i="3"/>
  <c r="BA244" i="3"/>
  <c r="BL244" i="3"/>
  <c r="BL248" i="3"/>
  <c r="AZ248" i="3" s="1"/>
  <c r="G250" i="3"/>
  <c r="BL250" i="3"/>
  <c r="AZ250" i="3" s="1"/>
  <c r="G252" i="3"/>
  <c r="C55" i="71"/>
  <c r="D54" i="71"/>
  <c r="BA227" i="3"/>
  <c r="AZ227" i="3" s="1"/>
  <c r="BA229" i="3"/>
  <c r="AZ229" i="3" s="1"/>
  <c r="BL229" i="3"/>
  <c r="BL231" i="3"/>
  <c r="G233" i="3"/>
  <c r="BL233" i="3"/>
  <c r="AZ233" i="3" s="1"/>
  <c r="G235" i="3"/>
  <c r="BL235" i="3"/>
  <c r="BL236" i="3"/>
  <c r="G237" i="3"/>
  <c r="BL238" i="3"/>
  <c r="AZ238" i="3" s="1"/>
  <c r="G239" i="3"/>
  <c r="BA240" i="3"/>
  <c r="AZ240" i="3" s="1"/>
  <c r="BA241" i="3"/>
  <c r="AZ241" i="3" s="1"/>
  <c r="BL241" i="3"/>
  <c r="BA255" i="3"/>
  <c r="BA256" i="3"/>
  <c r="BL256" i="3"/>
  <c r="BA259" i="3"/>
  <c r="AZ259" i="3" s="1"/>
  <c r="BA262" i="3"/>
  <c r="AZ262" i="3" s="1"/>
  <c r="BA265" i="3"/>
  <c r="AZ265" i="3" s="1"/>
  <c r="BL266" i="3"/>
  <c r="BA268" i="3"/>
  <c r="G276" i="3"/>
  <c r="BA277" i="3"/>
  <c r="BL277" i="3"/>
  <c r="BL280" i="3"/>
  <c r="BA281" i="3"/>
  <c r="BA286" i="3"/>
  <c r="AZ286" i="3" s="1"/>
  <c r="G291" i="3"/>
  <c r="BA296" i="3"/>
  <c r="G299" i="3"/>
  <c r="BL300" i="3"/>
  <c r="BL122" i="3"/>
  <c r="BA126" i="3"/>
  <c r="BA132" i="3"/>
  <c r="AZ132" i="3" s="1"/>
  <c r="BL133" i="3"/>
  <c r="AZ133" i="3" s="1"/>
  <c r="BL135" i="3"/>
  <c r="AZ135" i="3" s="1"/>
  <c r="BA156" i="3"/>
  <c r="AZ156" i="3" s="1"/>
  <c r="BL157" i="3"/>
  <c r="AZ157" i="3" s="1"/>
  <c r="BL159" i="3"/>
  <c r="AZ159" i="3" s="1"/>
  <c r="BL169" i="3"/>
  <c r="BL170" i="3"/>
  <c r="G171" i="3"/>
  <c r="BA177" i="3"/>
  <c r="AZ177" i="3" s="1"/>
  <c r="BA182" i="3"/>
  <c r="AZ182" i="3" s="1"/>
  <c r="BL185" i="3"/>
  <c r="G186" i="3"/>
  <c r="BL198" i="3"/>
  <c r="G204" i="3"/>
  <c r="G40" i="3"/>
  <c r="BL40" i="3"/>
  <c r="BA45" i="3"/>
  <c r="AZ45" i="3" s="1"/>
  <c r="BA46" i="3"/>
  <c r="BA56" i="3"/>
  <c r="BA57" i="3"/>
  <c r="BL58" i="3"/>
  <c r="AZ58" i="3" s="1"/>
  <c r="G60" i="3"/>
  <c r="BA60" i="3"/>
  <c r="BA66" i="3"/>
  <c r="AZ70" i="3"/>
  <c r="BA71" i="3"/>
  <c r="BA79" i="3"/>
  <c r="AZ79" i="3" s="1"/>
  <c r="BA88" i="3"/>
  <c r="AZ88" i="3" s="1"/>
  <c r="AB21" i="37"/>
  <c r="U21" i="37"/>
  <c r="AC18" i="36"/>
  <c r="W18" i="36"/>
  <c r="AB25" i="40"/>
  <c r="U25" i="40"/>
  <c r="B100" i="43"/>
  <c r="B57" i="43"/>
  <c r="B68" i="43"/>
  <c r="C29" i="39"/>
  <c r="C44" i="71"/>
  <c r="D43" i="71"/>
  <c r="C31" i="71"/>
  <c r="D30" i="71"/>
  <c r="Y26" i="71"/>
  <c r="Z26" i="71" s="1"/>
  <c r="Y25" i="71"/>
  <c r="Z25" i="71" s="1"/>
  <c r="BA239" i="3"/>
  <c r="AZ239" i="3" s="1"/>
  <c r="BL239" i="3"/>
  <c r="BA242" i="3"/>
  <c r="AZ242" i="3" s="1"/>
  <c r="BA245" i="3"/>
  <c r="AZ245" i="3" s="1"/>
  <c r="BA246" i="3"/>
  <c r="BA252" i="3"/>
  <c r="BA254" i="3"/>
  <c r="AZ254" i="3" s="1"/>
  <c r="BL257" i="3"/>
  <c r="AZ257" i="3" s="1"/>
  <c r="BL258" i="3"/>
  <c r="G263" i="3"/>
  <c r="BL264" i="3"/>
  <c r="BA267" i="3"/>
  <c r="AZ267" i="3" s="1"/>
  <c r="BL272" i="3"/>
  <c r="BL273" i="3"/>
  <c r="G274" i="3"/>
  <c r="G279" i="3"/>
  <c r="BA284" i="3"/>
  <c r="AZ284" i="3" s="1"/>
  <c r="BL298" i="3"/>
  <c r="G116" i="3"/>
  <c r="BA117" i="3"/>
  <c r="BL127" i="3"/>
  <c r="AZ127" i="3" s="1"/>
  <c r="BA130" i="3"/>
  <c r="BL130" i="3"/>
  <c r="BA145" i="3"/>
  <c r="BL149" i="3"/>
  <c r="AZ149" i="3" s="1"/>
  <c r="BL150" i="3"/>
  <c r="G151" i="3"/>
  <c r="BA152" i="3"/>
  <c r="AZ152" i="3" s="1"/>
  <c r="BA154" i="3"/>
  <c r="AZ154" i="3" s="1"/>
  <c r="BL166" i="3"/>
  <c r="BL173" i="3"/>
  <c r="AZ173" i="3" s="1"/>
  <c r="BL179" i="3"/>
  <c r="AZ179" i="3" s="1"/>
  <c r="G180" i="3"/>
  <c r="BA181" i="3"/>
  <c r="AZ181" i="3" s="1"/>
  <c r="G18" i="3"/>
  <c r="BA19" i="3"/>
  <c r="G22" i="3"/>
  <c r="BL34" i="3"/>
  <c r="G35" i="3"/>
  <c r="G43" i="3"/>
  <c r="G44" i="3"/>
  <c r="BA48" i="3"/>
  <c r="BA49" i="3"/>
  <c r="AZ49" i="3" s="1"/>
  <c r="BL50" i="3"/>
  <c r="AZ50" i="3" s="1"/>
  <c r="BL51" i="3"/>
  <c r="AZ51" i="3" s="1"/>
  <c r="BL53" i="3"/>
  <c r="BA68" i="3"/>
  <c r="BA73" i="3"/>
  <c r="BL77" i="3"/>
  <c r="AZ77" i="3" s="1"/>
  <c r="G80" i="3"/>
  <c r="BA89" i="3"/>
  <c r="BA95" i="3"/>
  <c r="BA98" i="3"/>
  <c r="BL101" i="3"/>
  <c r="BL102" i="3"/>
  <c r="BA104" i="3"/>
  <c r="U21" i="33"/>
  <c r="AB21" i="33"/>
  <c r="AC18" i="35"/>
  <c r="W18" i="35"/>
  <c r="D75" i="71"/>
  <c r="C74" i="71"/>
  <c r="D74" i="71" s="1"/>
  <c r="AB27" i="71"/>
  <c r="C60" i="71"/>
  <c r="D59" i="71"/>
  <c r="F79" i="71"/>
  <c r="F78" i="71" s="1"/>
  <c r="V80" i="71"/>
  <c r="X25" i="71"/>
  <c r="BA27" i="3"/>
  <c r="G30" i="3"/>
  <c r="BL30" i="3"/>
  <c r="BL31" i="3"/>
  <c r="BA47" i="3"/>
  <c r="AZ47" i="3" s="1"/>
  <c r="BA62" i="3"/>
  <c r="G66" i="3"/>
  <c r="BA67" i="3"/>
  <c r="G71" i="3"/>
  <c r="BA72" i="3"/>
  <c r="BA80" i="3"/>
  <c r="G84" i="3"/>
  <c r="BL84" i="3"/>
  <c r="AZ84" i="3" s="1"/>
  <c r="BA94" i="3"/>
  <c r="BL96" i="3"/>
  <c r="BL97" i="3"/>
  <c r="AZ97" i="3" s="1"/>
  <c r="AZ103" i="3"/>
  <c r="BL110" i="3"/>
  <c r="F40" i="69"/>
  <c r="C40" i="69"/>
  <c r="S18" i="35"/>
  <c r="AA18" i="35"/>
  <c r="C34" i="71"/>
  <c r="Y30" i="71"/>
  <c r="Z30" i="71" s="1"/>
  <c r="Y28" i="71"/>
  <c r="Z28" i="71" s="1"/>
  <c r="C47" i="71"/>
  <c r="D47" i="71" s="1"/>
  <c r="D46" i="71"/>
  <c r="N65" i="71"/>
  <c r="N66" i="71"/>
  <c r="E66" i="71"/>
  <c r="X35" i="71"/>
  <c r="B71" i="71"/>
  <c r="B70" i="71" s="1"/>
  <c r="S72" i="71"/>
  <c r="C40" i="71"/>
  <c r="D39" i="71"/>
  <c r="X28" i="71"/>
  <c r="X31" i="71"/>
  <c r="X32" i="71"/>
  <c r="E34" i="71"/>
  <c r="E35" i="71" s="1"/>
  <c r="E36" i="71" s="1"/>
  <c r="U36" i="71" s="1"/>
  <c r="AA30" i="71"/>
  <c r="C67" i="71"/>
  <c r="T68" i="71"/>
  <c r="T76" i="71"/>
  <c r="D76" i="71"/>
  <c r="C23" i="71"/>
  <c r="B22" i="71"/>
  <c r="B21" i="71" s="1"/>
  <c r="B20" i="71" s="1"/>
  <c r="AA3" i="71"/>
  <c r="BA273" i="3"/>
  <c r="AZ273" i="3" s="1"/>
  <c r="BA278" i="3"/>
  <c r="AZ278" i="3" s="1"/>
  <c r="BA280" i="3"/>
  <c r="AZ280" i="3" s="1"/>
  <c r="BL283" i="3"/>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BL167" i="3"/>
  <c r="AZ167" i="3" s="1"/>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BA39" i="3"/>
  <c r="AZ39" i="3" s="1"/>
  <c r="BL47" i="3"/>
  <c r="G49" i="3"/>
  <c r="G50" i="3"/>
  <c r="G52" i="3"/>
  <c r="BA52" i="3"/>
  <c r="AZ52" i="3" s="1"/>
  <c r="BA53" i="3"/>
  <c r="AZ53" i="3" s="1"/>
  <c r="BA54" i="3"/>
  <c r="BL57" i="3"/>
  <c r="G59" i="3"/>
  <c r="G62" i="3"/>
  <c r="BL62" i="3"/>
  <c r="BL63" i="3"/>
  <c r="AZ63" i="3" s="1"/>
  <c r="G65" i="3"/>
  <c r="BL65" i="3"/>
  <c r="AZ65" i="3" s="1"/>
  <c r="BL66" i="3"/>
  <c r="BL67" i="3"/>
  <c r="G69" i="3"/>
  <c r="G70" i="3"/>
  <c r="BL70" i="3"/>
  <c r="BL71" i="3"/>
  <c r="BL72" i="3"/>
  <c r="G74" i="3"/>
  <c r="G75" i="3"/>
  <c r="BL75" i="3"/>
  <c r="G79" i="3"/>
  <c r="BL81" i="3"/>
  <c r="BA82" i="3"/>
  <c r="AZ82" i="3" s="1"/>
  <c r="BL83" i="3"/>
  <c r="G86" i="3"/>
  <c r="G87" i="3"/>
  <c r="G88" i="3"/>
  <c r="BA90" i="3"/>
  <c r="BA92" i="3"/>
  <c r="G101" i="3"/>
  <c r="BA101" i="3"/>
  <c r="AZ101" i="3" s="1"/>
  <c r="G106" i="3"/>
  <c r="BL106" i="3"/>
  <c r="BA108" i="3"/>
  <c r="AZ108" i="3" s="1"/>
  <c r="BA110" i="3"/>
  <c r="AZ110" i="3" s="1"/>
  <c r="B13" i="1"/>
  <c r="E13" i="1" s="1"/>
  <c r="K13" i="1"/>
  <c r="M13" i="1" s="1"/>
  <c r="O13" i="1" s="1"/>
  <c r="P13" i="1" s="1"/>
  <c r="W21" i="37"/>
  <c r="AC21" i="37"/>
  <c r="AB21" i="34"/>
  <c r="U21" i="34"/>
  <c r="C87" i="71"/>
  <c r="O68" i="71"/>
  <c r="C52" i="71"/>
  <c r="D51" i="71"/>
  <c r="X26" i="71"/>
  <c r="AA37" i="71"/>
  <c r="AB34" i="71"/>
  <c r="C63" i="71"/>
  <c r="D62" i="71"/>
  <c r="F66" i="71"/>
  <c r="Q67" i="71"/>
  <c r="P68" i="71"/>
  <c r="U68" i="71"/>
  <c r="B79" i="71"/>
  <c r="B78" i="71" s="1"/>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G85" i="3"/>
  <c r="BL85" i="3"/>
  <c r="BA86" i="3"/>
  <c r="AZ86" i="3" s="1"/>
  <c r="BA87" i="3"/>
  <c r="BA91" i="3"/>
  <c r="AZ91" i="3" s="1"/>
  <c r="BL103" i="3"/>
  <c r="G104" i="3"/>
  <c r="BA106" i="3"/>
  <c r="BL108" i="3"/>
  <c r="G110" i="3"/>
  <c r="BL111" i="3"/>
  <c r="AB25" i="71"/>
  <c r="AB28" i="71"/>
  <c r="T28" i="71"/>
  <c r="D28" i="71"/>
  <c r="U28" i="71" s="1"/>
  <c r="C27" i="71"/>
  <c r="X33" i="71"/>
  <c r="X34" i="71"/>
  <c r="X36" i="71"/>
  <c r="AB37" i="71"/>
  <c r="AB35" i="71"/>
  <c r="V72" i="71"/>
  <c r="F71" i="71"/>
  <c r="F70" i="71" s="1"/>
  <c r="V24" i="71"/>
  <c r="E23" i="71"/>
  <c r="E22" i="71" s="1"/>
  <c r="E21" i="71" s="1"/>
  <c r="E20" i="71" s="1"/>
  <c r="F35" i="71"/>
  <c r="F36" i="71" s="1"/>
  <c r="V36" i="71" s="1"/>
  <c r="AA34" i="71"/>
  <c r="B51" i="71"/>
  <c r="B52" i="71" s="1"/>
  <c r="S52" i="71" s="1"/>
  <c r="BL94" i="3"/>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7" i="73"/>
  <c r="D4" i="73"/>
  <c r="D5" i="73"/>
  <c r="D3" i="73"/>
  <c r="C16" i="67"/>
  <c r="S11" i="33" l="1"/>
  <c r="W11" i="33"/>
  <c r="AC11" i="33"/>
  <c r="W42" i="33"/>
  <c r="U38" i="33"/>
  <c r="J36" i="33"/>
  <c r="F36" i="33"/>
  <c r="G111" i="33"/>
  <c r="C30" i="68"/>
  <c r="N94" i="46"/>
  <c r="N370" i="46"/>
  <c r="F26" i="43"/>
  <c r="D26" i="43" s="1"/>
  <c r="C25" i="43" s="1"/>
  <c r="Q16" i="1"/>
  <c r="F27" i="69" s="1"/>
  <c r="C47" i="69" s="1"/>
  <c r="D45" i="69" s="1"/>
  <c r="H16" i="1"/>
  <c r="E26" i="43"/>
  <c r="P6" i="1"/>
  <c r="C13" i="12" s="1"/>
  <c r="G26" i="43"/>
  <c r="J26" i="43"/>
  <c r="E28" i="6"/>
  <c r="K14" i="1" s="1"/>
  <c r="K16" i="1" s="1"/>
  <c r="C86" i="71"/>
  <c r="D86" i="71" s="1"/>
  <c r="D87" i="71"/>
  <c r="D23" i="71"/>
  <c r="C22" i="71"/>
  <c r="D67" i="71"/>
  <c r="C66" i="71"/>
  <c r="O67" i="71"/>
  <c r="D31" i="71"/>
  <c r="C32" i="71"/>
  <c r="AC14" i="21"/>
  <c r="W14" i="21"/>
  <c r="AB24" i="36"/>
  <c r="U24" i="36"/>
  <c r="AA32" i="40"/>
  <c r="S32" i="40"/>
  <c r="AC39" i="37"/>
  <c r="W39" i="37"/>
  <c r="W28" i="34"/>
  <c r="AC28" i="34"/>
  <c r="C64" i="71"/>
  <c r="D63" i="71"/>
  <c r="AZ25" i="3"/>
  <c r="AZ205" i="3"/>
  <c r="AZ67" i="3"/>
  <c r="D60" i="71"/>
  <c r="T60" i="71"/>
  <c r="AZ19" i="3"/>
  <c r="AZ66" i="3"/>
  <c r="AZ277" i="3"/>
  <c r="AZ256" i="3"/>
  <c r="AZ244" i="3"/>
  <c r="AZ198" i="3"/>
  <c r="AZ210" i="3"/>
  <c r="AZ271" i="3"/>
  <c r="AZ218" i="3"/>
  <c r="AZ418" i="3"/>
  <c r="U34" i="36"/>
  <c r="AB34" i="36"/>
  <c r="W12" i="33"/>
  <c r="AC12" i="33"/>
  <c r="AA26" i="33"/>
  <c r="S26" i="33"/>
  <c r="AC24" i="36"/>
  <c r="W24" i="36"/>
  <c r="W13" i="39"/>
  <c r="AC13" i="39"/>
  <c r="AA28" i="34"/>
  <c r="S28" i="34"/>
  <c r="G5" i="3"/>
  <c r="B3" i="3" s="1"/>
  <c r="E539" i="3" s="1"/>
  <c r="AZ249" i="3"/>
  <c r="T52" i="71"/>
  <c r="D52" i="71"/>
  <c r="D34" i="71"/>
  <c r="C35" i="71"/>
  <c r="D44" i="71"/>
  <c r="T44" i="71"/>
  <c r="AZ57" i="3"/>
  <c r="AZ353" i="3"/>
  <c r="AZ235" i="3"/>
  <c r="AZ441" i="3"/>
  <c r="AZ411" i="3"/>
  <c r="AA23" i="36"/>
  <c r="S23" i="36"/>
  <c r="AC31" i="21"/>
  <c r="W31" i="21"/>
  <c r="AA12" i="36"/>
  <c r="S12" i="36"/>
  <c r="AB36" i="35"/>
  <c r="U36" i="35"/>
  <c r="G16" i="1"/>
  <c r="F10" i="39" s="1"/>
  <c r="S10" i="39" s="1"/>
  <c r="C26" i="71"/>
  <c r="D26" i="71" s="1"/>
  <c r="D27" i="71"/>
  <c r="AZ27" i="3"/>
  <c r="AZ169" i="3"/>
  <c r="AZ118" i="3"/>
  <c r="AZ38" i="3"/>
  <c r="B19" i="71"/>
  <c r="B18" i="71" s="1"/>
  <c r="B17" i="71" s="1"/>
  <c r="B16" i="71" s="1"/>
  <c r="S20" i="71"/>
  <c r="T40" i="71"/>
  <c r="D40" i="71"/>
  <c r="P65" i="71"/>
  <c r="P66" i="71"/>
  <c r="AZ94" i="3"/>
  <c r="AZ72" i="3"/>
  <c r="AZ62" i="3"/>
  <c r="AZ130" i="3"/>
  <c r="AZ252" i="3"/>
  <c r="AZ71" i="3"/>
  <c r="AZ126" i="3"/>
  <c r="C56" i="71"/>
  <c r="D55" i="71"/>
  <c r="AZ283" i="3"/>
  <c r="AZ454" i="3"/>
  <c r="AZ401" i="3"/>
  <c r="U12" i="36"/>
  <c r="AB12" i="36"/>
  <c r="U31" i="21"/>
  <c r="AB31" i="21"/>
  <c r="S36" i="35"/>
  <c r="AA36" i="35"/>
  <c r="W12" i="36"/>
  <c r="AC12" i="36"/>
  <c r="AB39" i="37"/>
  <c r="U39" i="37"/>
  <c r="S14" i="21"/>
  <c r="AA14" i="21"/>
  <c r="J7" i="37"/>
  <c r="K1" i="73"/>
  <c r="E510" i="3"/>
  <c r="E430" i="3"/>
  <c r="E491" i="3"/>
  <c r="E258" i="3"/>
  <c r="E59" i="3"/>
  <c r="E160" i="3"/>
  <c r="E84" i="3"/>
  <c r="E68" i="3"/>
  <c r="E494" i="3"/>
  <c r="AL6" i="3"/>
  <c r="E96" i="3"/>
  <c r="E86" i="3"/>
  <c r="E102" i="3"/>
  <c r="E205" i="3"/>
  <c r="E534" i="3"/>
  <c r="E469" i="3"/>
  <c r="E360" i="3"/>
  <c r="E452" i="3"/>
  <c r="E104" i="3"/>
  <c r="E243" i="3"/>
  <c r="E78" i="3"/>
  <c r="E342" i="3"/>
  <c r="E370" i="3"/>
  <c r="E83" i="3"/>
  <c r="E223" i="3"/>
  <c r="E493" i="3"/>
  <c r="E486" i="3"/>
  <c r="E490" i="3"/>
  <c r="E498"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G1" i="73"/>
  <c r="H111" i="33" l="1"/>
  <c r="I111" i="33" s="1"/>
  <c r="J111" i="33" s="1"/>
  <c r="K111" i="33" s="1"/>
  <c r="L111" i="33" s="1"/>
  <c r="M111" i="33" s="1"/>
  <c r="H36" i="33"/>
  <c r="AA36" i="33"/>
  <c r="S36" i="33"/>
  <c r="W36" i="33"/>
  <c r="AC36" i="33"/>
  <c r="F10" i="40"/>
  <c r="S10" i="40" s="1"/>
  <c r="J10" i="39"/>
  <c r="W10" i="39" s="1"/>
  <c r="AA10" i="39"/>
  <c r="H10" i="39"/>
  <c r="U10" i="39" s="1"/>
  <c r="H10" i="40"/>
  <c r="AB10" i="40" s="1"/>
  <c r="J10" i="40"/>
  <c r="AC10" i="40" s="1"/>
  <c r="F28" i="12"/>
  <c r="C29" i="12" s="1"/>
  <c r="D28" i="12" s="1"/>
  <c r="F27" i="68"/>
  <c r="C47" i="68" s="1"/>
  <c r="D45" i="68" s="1"/>
  <c r="F27" i="11"/>
  <c r="C29" i="11" s="1"/>
  <c r="D27" i="11" s="1"/>
  <c r="F45" i="69"/>
  <c r="C29" i="69"/>
  <c r="D27" i="69" s="1"/>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308" i="3"/>
  <c r="E206" i="3"/>
  <c r="E235" i="3"/>
  <c r="E482" i="3"/>
  <c r="E281" i="3"/>
  <c r="E283" i="3"/>
  <c r="E184" i="3"/>
  <c r="E371" i="3"/>
  <c r="E467" i="3"/>
  <c r="E349" i="3"/>
  <c r="E37" i="3"/>
  <c r="AP6" i="3"/>
  <c r="E502"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113" i="3"/>
  <c r="E34" i="3"/>
  <c r="E174" i="3"/>
  <c r="E42" i="3"/>
  <c r="E198" i="3"/>
  <c r="E63" i="3"/>
  <c r="E67" i="3"/>
  <c r="E267" i="3"/>
  <c r="E409" i="3"/>
  <c r="E241" i="3"/>
  <c r="E417" i="3"/>
  <c r="E449" i="3"/>
  <c r="E575" i="3"/>
  <c r="E463" i="3"/>
  <c r="J6" i="3"/>
  <c r="E440" i="3"/>
  <c r="E427" i="3"/>
  <c r="E393" i="3"/>
  <c r="E188" i="3"/>
  <c r="E326" i="3"/>
  <c r="E232" i="3"/>
  <c r="E324" i="3"/>
  <c r="E412" i="3"/>
  <c r="E225" i="3"/>
  <c r="E26" i="3"/>
  <c r="E13" i="3"/>
  <c r="E451" i="3"/>
  <c r="E456" i="3"/>
  <c r="E525" i="3"/>
  <c r="E22" i="3"/>
  <c r="AF6" i="3"/>
  <c r="AC6" i="3" s="1"/>
  <c r="E383" i="3"/>
  <c r="E18" i="3"/>
  <c r="E391" i="3"/>
  <c r="E309" i="3"/>
  <c r="E233" i="3"/>
  <c r="E310" i="3"/>
  <c r="E64" i="3"/>
  <c r="E389" i="3"/>
  <c r="E95" i="3"/>
  <c r="E554" i="3"/>
  <c r="E442" i="3"/>
  <c r="E140" i="3"/>
  <c r="E287" i="3"/>
  <c r="E251" i="3"/>
  <c r="E522" i="3"/>
  <c r="E129" i="3"/>
  <c r="E75" i="3"/>
  <c r="E332" i="3"/>
  <c r="E21" i="3"/>
  <c r="E264" i="3"/>
  <c r="E381" i="3"/>
  <c r="E144" i="3"/>
  <c r="E23" i="3"/>
  <c r="E300" i="3"/>
  <c r="E103" i="3"/>
  <c r="E425" i="3"/>
  <c r="E76" i="3"/>
  <c r="E363" i="3"/>
  <c r="E192" i="3"/>
  <c r="E56" i="3"/>
  <c r="E435" i="3"/>
  <c r="I3" i="6"/>
  <c r="E541" i="3"/>
  <c r="R6" i="3"/>
  <c r="E212" i="3"/>
  <c r="E513" i="3"/>
  <c r="E81" i="3"/>
  <c r="E355" i="3"/>
  <c r="E33" i="3"/>
  <c r="E492" i="3"/>
  <c r="E249" i="3"/>
  <c r="E46" i="3"/>
  <c r="E484" i="3"/>
  <c r="E544" i="3"/>
  <c r="E292" i="3"/>
  <c r="E152" i="3"/>
  <c r="E479" i="3"/>
  <c r="E517" i="3"/>
  <c r="E255" i="3"/>
  <c r="E466" i="3"/>
  <c r="E499" i="3"/>
  <c r="E536" i="3"/>
  <c r="E199" i="3"/>
  <c r="S7" i="36"/>
  <c r="D64" i="71"/>
  <c r="T64" i="71"/>
  <c r="D22" i="71"/>
  <c r="C21" i="71"/>
  <c r="E3" i="6"/>
  <c r="E286" i="3"/>
  <c r="D56" i="71"/>
  <c r="T56" i="71"/>
  <c r="C36" i="71"/>
  <c r="D35" i="71"/>
  <c r="O65" i="71"/>
  <c r="D66" i="71"/>
  <c r="O66"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F41" i="15"/>
  <c r="M27" i="67"/>
  <c r="U36" i="33" l="1"/>
  <c r="AB36" i="33"/>
  <c r="T48" i="33"/>
  <c r="G48" i="33" s="1"/>
  <c r="G52" i="33" s="1"/>
  <c r="H52" i="33" s="1"/>
  <c r="F45" i="68"/>
  <c r="C29" i="68"/>
  <c r="D27" i="68" s="1"/>
  <c r="C47" i="11"/>
  <c r="D45" i="11" s="1"/>
  <c r="I53" i="34"/>
  <c r="J53" i="34" s="1"/>
  <c r="F22" i="68"/>
  <c r="C44" i="68" s="1"/>
  <c r="D41" i="68" s="1"/>
  <c r="F25" i="12"/>
  <c r="C26" i="12" s="1"/>
  <c r="D25" i="12" s="1"/>
  <c r="D21" i="71"/>
  <c r="C20" i="71"/>
  <c r="D116" i="43"/>
  <c r="D36" i="71"/>
  <c r="T36"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4" i="67"/>
  <c r="C17" i="15"/>
  <c r="G53" i="33" l="1"/>
  <c r="H53" i="33" s="1"/>
  <c r="R49" i="33"/>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8" i="69" l="1"/>
  <c r="C5" i="69" s="1"/>
  <c r="C23" i="69" s="1"/>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C30" i="12" l="1"/>
  <c r="C28" i="12" s="1"/>
  <c r="C32" i="12" s="1"/>
  <c r="B2" i="12" s="1"/>
  <c r="B3" i="12" s="1"/>
  <c r="E48" i="2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7"/>
  <c r="C19" i="9"/>
  <c r="L51" i="15"/>
  <c r="D2" i="35"/>
  <c r="D2" i="34"/>
  <c r="C102" i="9" l="1"/>
  <c r="C21" i="9"/>
  <c r="B3" i="33"/>
  <c r="D22" i="9"/>
  <c r="D102" i="9"/>
  <c r="G19" i="9"/>
  <c r="G21" i="9" s="1"/>
  <c r="D21" i="9"/>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C20" i="9"/>
  <c r="AO9" i="1"/>
  <c r="AO11" i="1"/>
  <c r="AO12" i="1"/>
  <c r="AO8" i="1"/>
  <c r="D20" i="9"/>
  <c r="C103" i="9" l="1"/>
  <c r="D103" i="9"/>
  <c r="G20" i="9"/>
  <c r="I19" i="9" s="1"/>
  <c r="D14" i="74" s="1"/>
  <c r="G14" i="74"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2" i="9" l="1"/>
  <c r="C35" i="9" s="1"/>
  <c r="C34"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54" i="9"/>
  <c r="C68" i="9"/>
  <c r="M67" i="9"/>
  <c r="L67" i="9"/>
  <c r="F119" i="9"/>
  <c r="F5" i="52"/>
  <c r="B53" i="72"/>
  <c r="N69" i="9"/>
  <c r="M69" i="9"/>
  <c r="M63" i="9"/>
  <c r="L63" i="9"/>
  <c r="C81" i="9"/>
  <c r="B31" i="72"/>
  <c r="D15" i="53"/>
  <c r="M64" i="9"/>
  <c r="L64" i="9"/>
  <c r="M66" i="9"/>
  <c r="L66" i="9"/>
  <c r="P57" i="9"/>
  <c r="D55" i="9"/>
  <c r="M53" i="9"/>
  <c r="N57" i="9"/>
  <c r="N58" i="9"/>
  <c r="H108" i="9"/>
  <c r="C6" i="74"/>
  <c r="M55" i="9"/>
  <c r="C64" i="9"/>
  <c r="C63" i="9"/>
  <c r="C67" i="9"/>
  <c r="D59" i="9"/>
  <c r="H5" i="52"/>
  <c r="H119" i="9"/>
  <c r="B32" i="72"/>
  <c r="D14" i="53"/>
  <c r="C86" i="9"/>
  <c r="C93" i="9"/>
  <c r="C73" i="9"/>
  <c r="C78" i="9"/>
  <c r="D9" i="52"/>
  <c r="D123" i="9"/>
  <c r="E97" i="9"/>
  <c r="C96" i="9"/>
  <c r="E96" i="9"/>
  <c r="B47" i="72"/>
  <c r="D4" i="52"/>
  <c r="M68" i="9"/>
  <c r="L68" i="9"/>
  <c r="C72" i="9"/>
  <c r="C79" i="9"/>
  <c r="C80" i="9"/>
  <c r="E80" i="9"/>
  <c r="E81" i="9"/>
  <c r="B51" i="72"/>
  <c r="F4" i="52"/>
  <c r="B22" i="72"/>
  <c r="D6" i="53"/>
  <c r="B48" i="72"/>
  <c r="E4" i="52"/>
  <c r="E118" i="9"/>
  <c r="D118" i="9"/>
  <c r="D119" i="9"/>
  <c r="D5" i="52"/>
  <c r="B49" i="72"/>
  <c r="N61" i="9"/>
  <c r="N59" i="9"/>
  <c r="N60" i="9"/>
  <c r="M48" i="9"/>
  <c r="D13" i="53"/>
  <c r="B30" i="72"/>
  <c r="I4" i="52"/>
  <c r="C105" i="9"/>
  <c r="H4" i="52"/>
  <c r="C104" i="9"/>
  <c r="D5" i="53"/>
  <c r="B20" i="72"/>
  <c r="D122" i="9"/>
  <c r="D8" i="52"/>
  <c r="C5" i="74"/>
  <c r="D53" i="9"/>
  <c r="D52" i="9"/>
  <c r="M65" i="9"/>
  <c r="H107" i="9"/>
  <c r="M49" i="9"/>
  <c r="L65" i="9"/>
  <c r="H101" i="9"/>
  <c r="D45" i="9"/>
  <c r="C85" i="9"/>
  <c r="C95" i="9"/>
  <c r="C97" i="9"/>
  <c r="D58" i="9"/>
  <c r="D56" i="9"/>
  <c r="M54" i="9"/>
  <c r="H118" i="9"/>
  <c r="I118" i="9"/>
  <c r="H102" i="9"/>
  <c r="D7" i="53"/>
  <c r="B21"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81E0B65E-59B1-4313-929B-F815B301B4AA}">
      <text>
        <r>
          <rPr>
            <b/>
            <sz val="9"/>
            <color indexed="81"/>
            <rFont val="宋体"/>
            <family val="3"/>
            <charset val="134"/>
          </rPr>
          <t>权重验证</t>
        </r>
        <r>
          <rPr>
            <sz val="9"/>
            <color indexed="81"/>
            <rFont val="宋体"/>
            <family val="3"/>
            <charset val="134"/>
          </rPr>
          <t xml:space="preserve">
</t>
        </r>
      </text>
    </comment>
    <comment ref="C58" authorId="1" shapeId="0" xr:uid="{E844A81F-9077-4D43-BFEE-AEAF18367717}">
      <text>
        <r>
          <rPr>
            <b/>
            <sz val="12"/>
            <color indexed="81"/>
            <rFont val="宋体"/>
            <family val="3"/>
            <charset val="134"/>
          </rPr>
          <t>价值时点所在月度</t>
        </r>
        <r>
          <rPr>
            <sz val="12"/>
            <color indexed="81"/>
            <rFont val="宋体"/>
            <family val="3"/>
            <charset val="134"/>
          </rPr>
          <t xml:space="preserve">
</t>
        </r>
      </text>
    </comment>
    <comment ref="B102" authorId="1" shapeId="0" xr:uid="{342C2F9E-48DF-4486-BD56-DA0B9D316B4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<sst xmlns="http://schemas.openxmlformats.org/spreadsheetml/2006/main" count="8339" uniqueCount="3500">
  <si>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</si>
  <si>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</si>
  <si>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</si>
  <si>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</si>
  <si>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</si>
  <si>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</si>
  <si>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</si>
  <si>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</si>
  <si>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</si>
  <si>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</si>
  <si>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</si>
  <si>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</si>
  <si>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</si>
  <si>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</si>
  <si>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</si>
  <si>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</si>
  <si>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</si>
  <si>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</si>
  <si>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</si>
  <si>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</si>
  <si>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</si>
  <si>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</si>
  <si>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</si>
  <si>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</si>
  <si>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</si>
  <si>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</si>
  <si>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</si>
  <si>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</si>
  <si>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</si>
  <si>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</si>
  <si>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</si>
  <si>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</si>
  <si>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</si>
  <si>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</si>
  <si>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</si>
  <si>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</si>
  <si>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</si>
  <si>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</si>
  <si>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</si>
  <si>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</si>
  <si>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</si>
  <si>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</si>
  <si>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</si>
  <si>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</si>
  <si>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</si>
  <si>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</si>
  <si>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</si>
  <si>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</si>
  <si>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</si>
  <si>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</si>
  <si>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</si>
  <si>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</si>
  <si>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</si>
  <si>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</si>
  <si>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</si>
  <si>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</si>
  <si>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</si>
  <si>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</si>
  <si>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</si>
  <si>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</si>
  <si>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</si>
  <si>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</si>
  <si>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</si>
  <si>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</si>
  <si>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</si>
  <si>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</si>
  <si>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</si>
  <si>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</si>
  <si>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</si>
  <si>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</si>
  <si>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</si>
  <si>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</si>
  <si>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</si>
  <si>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</si>
  <si>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</si>
  <si>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</si>
  <si>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</si>
  <si>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</si>
  <si>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</si>
  <si>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</si>
  <si>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</si>
  <si>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</si>
  <si>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</si>
  <si>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</si>
  <si>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</si>
  <si>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</si>
  <si>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</si>
  <si>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</si>
  <si>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</si>
  <si>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</si>
  <si>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</si>
  <si>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</si>
  <si>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</si>
  <si>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</si>
  <si>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</si>
  <si>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</si>
  <si>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</si>
  <si>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</si>
  <si>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</si>
  <si>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</si>
  <si>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</si>
  <si>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</si>
  <si>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</si>
  <si>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</si>
  <si>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</si>
  <si>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</si>
  <si>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</si>
  <si>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</si>
  <si>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</si>
  <si>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</si>
  <si>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</si>
  <si>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</si>
  <si>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</si>
  <si>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</si>
  <si>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</si>
  <si>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</si>
  <si>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</si>
  <si>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</si>
  <si>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</si>
  <si>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</si>
  <si>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</si>
  <si>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</si>
  <si>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</si>
  <si>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</si>
  <si>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</si>
  <si>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</si>
  <si>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</si>
  <si>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</si>
  <si>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</si>
  <si>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</si>
  <si>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</si>
  <si>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</si>
  <si>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</si>
  <si>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</si>
  <si>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</si>
  <si>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</si>
  <si>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</si>
  <si>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</si>
  <si>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</si>
  <si>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</si>
  <si>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</si>
  <si>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</si>
  <si>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</si>
  <si>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</si>
  <si>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</si>
  <si>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</si>
  <si>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</si>
  <si>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</si>
  <si>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</si>
  <si>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</si>
  <si>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</si>
  <si>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</si>
  <si>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</si>
  <si>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</si>
  <si>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</si>
  <si>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</si>
  <si>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</si>
  <si>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</si>
  <si>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</si>
  <si>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</si>
  <si>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</si>
  <si>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</si>
  <si>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</si>
  <si>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</si>
  <si>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</si>
  <si>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</si>
  <si>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</si>
  <si>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</si>
  <si>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</si>
  <si>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</si>
  <si>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</si>
  <si>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</si>
  <si>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</si>
  <si>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</si>
  <si>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</si>
  <si>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</si>
  <si>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</si>
  <si>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</si>
  <si>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</si>
  <si>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</si>
  <si>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</si>
  <si>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</si>
  <si>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</si>
  <si>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</si>
  <si>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</si>
  <si>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</si>
  <si>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</si>
  <si>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</si>
  <si>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</si>
  <si>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</si>
  <si>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</si>
  <si>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</si>
  <si>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</si>
  <si>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</si>
  <si>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</si>
  <si>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</si>
  <si>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</si>
  <si>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</si>
  <si>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</si>
  <si>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</si>
  <si>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</si>
  <si>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</si>
  <si>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</si>
  <si>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</si>
  <si>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</si>
  <si>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</si>
  <si>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</si>
  <si>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</si>
  <si>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</si>
  <si>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</si>
  <si>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</si>
  <si>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</si>
  <si>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</si>
  <si>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</si>
  <si>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</si>
  <si>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</si>
  <si>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</si>
  <si>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</si>
  <si>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</si>
  <si>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</si>
  <si>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</si>
  <si>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</si>
  <si>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</si>
  <si>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</si>
  <si>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</si>
  <si>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</si>
  <si>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</si>
  <si>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</si>
  <si>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</si>
  <si>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</si>
  <si>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</si>
  <si>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</si>
  <si>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</si>
  <si>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</si>
  <si>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</si>
  <si>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</si>
  <si>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</si>
  <si>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</si>
  <si>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</si>
  <si>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</si>
  <si>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</si>
  <si>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</si>
  <si>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</si>
  <si>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</si>
  <si>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</si>
  <si>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</si>
  <si>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</si>
  <si>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</si>
  <si>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</si>
  <si>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</si>
  <si>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</si>
  <si>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</si>
  <si>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</si>
  <si>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</si>
  <si>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</si>
  <si>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</si>
  <si>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</si>
  <si>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</si>
  <si>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</si>
  <si>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</si>
  <si>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</si>
  <si>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</si>
  <si>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</si>
  <si>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</si>
  <si>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</si>
  <si>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</si>
  <si>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</si>
  <si>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</si>
  <si>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</si>
  <si>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</si>
  <si>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</si>
  <si>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</si>
  <si>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</si>
  <si>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</si>
  <si>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</si>
  <si>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</si>
  <si>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</si>
  <si>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</si>
  <si>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</si>
  <si>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</si>
  <si>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</si>
  <si>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</si>
  <si>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</si>
  <si>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</si>
  <si>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</si>
  <si>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</si>
  <si>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</si>
  <si>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</si>
  <si>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</si>
  <si>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</si>
  <si>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</si>
  <si>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</si>
  <si>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</si>
  <si>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</si>
  <si>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</si>
  <si>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</si>
  <si>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</si>
  <si>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</si>
  <si>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</si>
  <si>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</si>
  <si>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</si>
  <si>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</si>
  <si>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</si>
  <si>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</si>
  <si>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</si>
  <si>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</si>
  <si>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</si>
  <si>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</si>
  <si>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</si>
  <si>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</si>
  <si>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</si>
  <si>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</si>
  <si>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</si>
  <si>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</si>
  <si>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</si>
  <si>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</si>
  <si>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</si>
  <si>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</si>
  <si>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</si>
  <si>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</si>
  <si>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</si>
  <si>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</si>
  <si>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</si>
  <si>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</si>
  <si>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</si>
  <si>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</si>
  <si>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</si>
  <si>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</si>
  <si>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</si>
  <si>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</si>
  <si>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</si>
  <si>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</si>
  <si>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</si>
  <si>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</si>
  <si>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</si>
  <si>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</si>
  <si>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</si>
  <si>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</si>
  <si>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</si>
  <si>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</si>
  <si>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</si>
  <si>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</si>
  <si>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</si>
  <si>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</si>
  <si>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</si>
  <si>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</si>
  <si>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</si>
  <si>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</si>
  <si>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</si>
  <si>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</si>
  <si>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</si>
  <si>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</si>
  <si>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</si>
  <si>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</si>
  <si>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</si>
  <si>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</si>
  <si>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</si>
  <si>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</si>
  <si>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</si>
  <si>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</si>
  <si>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</si>
  <si>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</si>
  <si>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</si>
  <si>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</si>
  <si>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</si>
  <si>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</si>
  <si>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</si>
  <si>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</si>
  <si>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</si>
  <si>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</si>
  <si>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</si>
  <si>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</si>
  <si>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</si>
  <si>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</si>
  <si>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</si>
  <si>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</si>
  <si>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</si>
  <si>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</si>
  <si>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</si>
  <si>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</si>
  <si>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</si>
  <si>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</si>
  <si>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</si>
  <si>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</si>
  <si>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</si>
  <si>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</si>
  <si>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</si>
  <si>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</si>
  <si>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</si>
  <si>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</si>
  <si>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</si>
  <si>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</si>
  <si>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</si>
  <si>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</si>
  <si>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</si>
  <si>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</si>
  <si>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</si>
  <si>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</si>
  <si>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</si>
  <si>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</si>
  <si>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</si>
  <si>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</si>
  <si>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</si>
  <si>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</si>
  <si>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</si>
  <si>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</si>
  <si>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</si>
  <si>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</si>
  <si>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</si>
  <si>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</si>
  <si>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</si>
  <si>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</si>
  <si>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</si>
  <si>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</si>
  <si>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</si>
  <si>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</si>
  <si>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</si>
  <si>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</si>
  <si>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</si>
  <si>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</si>
  <si>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</si>
  <si>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</si>
  <si>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</si>
  <si>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</si>
  <si>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</si>
  <si>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</si>
  <si>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</si>
  <si>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</si>
  <si>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</si>
  <si>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</si>
  <si>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</si>
  <si>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</si>
  <si>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</si>
  <si>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</si>
  <si>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</si>
  <si>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</si>
  <si>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</si>
  <si>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</si>
  <si>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</si>
  <si>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</si>
  <si>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</si>
  <si>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</si>
  <si>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</si>
  <si>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</si>
  <si>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</si>
  <si>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</si>
  <si>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</si>
  <si>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</si>
  <si>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</si>
  <si>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</si>
  <si>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</si>
  <si>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</si>
  <si>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</si>
  <si>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</si>
  <si>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</si>
  <si>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</si>
  <si>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</si>
  <si>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</si>
  <si>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</si>
  <si>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</si>
  <si>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</si>
  <si>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</si>
  <si>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</si>
  <si>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</si>
  <si>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</si>
  <si>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</si>
  <si>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</si>
  <si>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</si>
  <si>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</si>
  <si>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</si>
  <si>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</si>
  <si>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</si>
  <si>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</si>
  <si>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</si>
  <si>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</si>
  <si>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</si>
  <si>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</si>
  <si>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</si>
  <si>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</si>
  <si>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</si>
  <si>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</si>
  <si>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</si>
  <si>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</si>
  <si>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</si>
  <si>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</si>
  <si>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</si>
  <si>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</si>
  <si>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</si>
  <si>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</si>
  <si>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</si>
  <si>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</si>
  <si>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</si>
  <si>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</si>
  <si>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</si>
  <si>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</si>
  <si>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</si>
  <si>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</si>
  <si>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</si>
  <si>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</si>
  <si>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</si>
  <si>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</si>
  <si>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</si>
  <si>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</si>
  <si>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</si>
  <si>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</si>
  <si>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</si>
  <si>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</si>
  <si>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</si>
  <si>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</si>
  <si>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</si>
  <si>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</si>
  <si>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</si>
  <si>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</si>
  <si>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</si>
  <si>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</si>
  <si>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</si>
  <si>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</si>
  <si>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</si>
  <si>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</si>
  <si>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</si>
  <si>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</si>
  <si>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</si>
  <si>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</si>
  <si>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</si>
  <si>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</si>
  <si>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</si>
  <si>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</si>
  <si>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</si>
  <si>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</si>
  <si>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</si>
  <si>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</si>
  <si>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</si>
  <si>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</si>
  <si>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</si>
  <si>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</si>
  <si>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</si>
  <si>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</si>
  <si>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</si>
  <si>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</si>
  <si>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</si>
  <si>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</si>
  <si>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</si>
  <si>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</si>
  <si>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</si>
  <si>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</si>
  <si>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</si>
  <si>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</si>
  <si>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</si>
  <si>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</si>
  <si>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</si>
  <si>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</si>
  <si>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</si>
  <si>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</si>
  <si>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</si>
  <si>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</si>
  <si>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</si>
  <si>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</si>
  <si>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</si>
  <si>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</si>
  <si>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</si>
  <si>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</si>
  <si>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</si>
  <si>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</si>
  <si>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</si>
  <si>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</si>
  <si>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</si>
  <si>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</si>
  <si>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</si>
  <si>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</si>
  <si>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</si>
  <si>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</si>
  <si>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</si>
  <si>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</si>
  <si>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</si>
  <si>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</si>
  <si>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</si>
  <si>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</si>
  <si>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</si>
  <si>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</si>
  <si>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</si>
  <si>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</si>
  <si>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</si>
  <si>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</si>
  <si>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</si>
  <si>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</si>
  <si>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</si>
  <si>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</si>
  <si>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</si>
  <si>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</si>
  <si>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</si>
  <si>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</si>
  <si>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</si>
  <si>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</si>
  <si>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</si>
  <si>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</si>
  <si>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</si>
  <si>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</si>
  <si>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</si>
  <si>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</si>
  <si>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</si>
  <si>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</si>
  <si>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</si>
  <si>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</si>
  <si>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</si>
  <si>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</si>
  <si>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</si>
  <si>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</si>
  <si>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</si>
  <si>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</si>
  <si>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</si>
  <si>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</si>
  <si>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</si>
  <si>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</si>
  <si>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</si>
  <si>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</si>
  <si>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</si>
  <si>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</si>
  <si>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</si>
  <si>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</si>
  <si>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</si>
  <si>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</si>
  <si>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</si>
  <si>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</si>
  <si>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</si>
  <si>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</si>
  <si>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</si>
  <si>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</si>
  <si>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</si>
  <si>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</si>
  <si>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</si>
  <si>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</si>
  <si>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</si>
  <si>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</si>
  <si>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</si>
  <si>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</si>
  <si>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</si>
  <si>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</si>
  <si>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</si>
  <si>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</si>
  <si>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</si>
  <si>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</si>
  <si>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</si>
  <si>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</si>
  <si>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</si>
  <si>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</si>
  <si>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</si>
  <si>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</si>
  <si>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</si>
  <si>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</si>
  <si>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</si>
  <si>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</si>
  <si>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</si>
  <si>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</si>
  <si>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</si>
  <si>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</si>
  <si>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</si>
  <si>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</si>
  <si>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</si>
  <si>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</si>
  <si>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</si>
  <si>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</si>
  <si>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</si>
  <si>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</si>
  <si>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</si>
  <si>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</si>
  <si>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</si>
  <si>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</si>
  <si>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</si>
  <si>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</si>
  <si>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</si>
  <si>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</si>
  <si>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</si>
  <si>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</si>
  <si>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</si>
  <si>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</si>
  <si>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</si>
  <si>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</si>
  <si>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</si>
  <si>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</si>
  <si>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</si>
  <si>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</si>
  <si>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</si>
  <si>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</si>
  <si>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</si>
  <si>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</si>
  <si>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</si>
  <si>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</si>
  <si>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</si>
  <si>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</si>
  <si>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</si>
  <si>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</si>
  <si>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</si>
  <si>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</si>
  <si>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</si>
  <si>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</si>
  <si>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</si>
  <si>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</si>
  <si>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</si>
  <si>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</si>
  <si>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</si>
  <si>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</si>
  <si>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</si>
  <si>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</si>
  <si>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</si>
  <si>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</si>
  <si>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</si>
  <si>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</si>
  <si>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</si>
  <si>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</si>
  <si>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</si>
  <si>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</si>
  <si>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</si>
  <si>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</si>
  <si>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</si>
  <si>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</si>
  <si>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</si>
  <si>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</si>
  <si>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</si>
  <si>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</si>
  <si>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</si>
  <si>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</si>
  <si>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</si>
  <si>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</si>
  <si>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</si>
  <si>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</si>
  <si>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</si>
  <si>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</si>
  <si>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</si>
  <si>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</si>
  <si>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</si>
  <si>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</si>
  <si>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</si>
  <si>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</si>
  <si>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</si>
  <si>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</si>
  <si>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</si>
  <si>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</si>
  <si>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</si>
  <si>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</si>
  <si>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</si>
  <si>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</si>
  <si>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</si>
  <si>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</si>
  <si>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</si>
  <si>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</si>
  <si>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</si>
  <si>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</si>
  <si>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</si>
  <si>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</si>
  <si>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</si>
  <si>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</si>
  <si>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</si>
  <si>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</si>
  <si>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</si>
  <si>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</si>
  <si>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</si>
  <si>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</si>
  <si>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</si>
  <si>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</si>
  <si>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</si>
  <si>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</si>
  <si>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</si>
  <si>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</si>
  <si>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</si>
  <si>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</si>
  <si>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</si>
  <si>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</si>
  <si>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</si>
  <si>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</si>
  <si>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</si>
  <si>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</si>
  <si>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</si>
  <si>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</si>
  <si>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</si>
  <si>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</si>
  <si>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</si>
  <si>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</si>
  <si>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</si>
  <si>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</si>
  <si>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</si>
  <si>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</si>
  <si>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</si>
  <si>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</si>
  <si>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</si>
  <si>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</si>
  <si>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</si>
  <si>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</si>
  <si>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</si>
  <si>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</si>
  <si>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</si>
  <si>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</si>
  <si>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</si>
  <si>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</si>
  <si>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</si>
  <si>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</si>
  <si>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</si>
  <si>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</si>
  <si>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</si>
  <si>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</si>
  <si>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</si>
  <si>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</si>
  <si>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</si>
  <si>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</si>
  <si>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</si>
  <si>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</si>
  <si>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</si>
  <si>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</si>
  <si>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</si>
  <si>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</si>
  <si>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</si>
  <si>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</si>
  <si>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</si>
  <si>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</si>
  <si>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</si>
  <si>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</si>
  <si>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</si>
  <si>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</si>
  <si>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</si>
  <si>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</si>
  <si>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</si>
  <si>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</si>
  <si>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</si>
  <si>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</si>
  <si>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</si>
  <si>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</si>
  <si>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</si>
  <si>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</si>
  <si>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</si>
  <si>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</si>
  <si>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</si>
  <si>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</si>
  <si>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</si>
  <si>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</si>
  <si>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</si>
  <si>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</si>
  <si>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</si>
  <si>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</si>
  <si>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</si>
  <si>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</si>
  <si>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</si>
  <si>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</si>
  <si>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</si>
  <si>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</si>
  <si>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</si>
  <si>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</si>
  <si>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</si>
  <si>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</si>
  <si>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</si>
  <si>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</si>
  <si>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</si>
  <si>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</si>
  <si>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</si>
  <si>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</si>
  <si>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</si>
  <si>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</si>
  <si>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</si>
  <si>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</si>
  <si>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</si>
  <si>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</si>
  <si>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</si>
  <si>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</si>
  <si>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</si>
  <si>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</si>
  <si>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</si>
  <si>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</si>
  <si>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</si>
  <si>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</si>
  <si>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</si>
  <si>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</si>
  <si>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</si>
  <si>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</si>
  <si>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</si>
  <si>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</si>
  <si>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</si>
  <si>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</si>
  <si>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</si>
  <si>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</si>
  <si>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</si>
  <si>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</si>
  <si>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</si>
  <si>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</si>
  <si>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</si>
  <si>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</si>
  <si>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</si>
  <si>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</si>
  <si>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</si>
  <si>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</si>
  <si>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</si>
  <si>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</si>
  <si>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</si>
  <si>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</si>
  <si>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</si>
  <si>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</si>
  <si>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</si>
  <si>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</si>
  <si>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</si>
  <si>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</si>
  <si>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</si>
  <si>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</si>
  <si>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</si>
  <si>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</si>
  <si>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</si>
  <si>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</si>
  <si>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</si>
  <si>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</si>
  <si>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</si>
  <si>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</si>
  <si>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</si>
  <si>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</si>
  <si>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</si>
  <si>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</si>
  <si>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</si>
  <si>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</si>
  <si>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</si>
  <si>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</si>
  <si>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</si>
  <si>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</si>
  <si>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</si>
  <si>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</si>
  <si>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</si>
  <si>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</si>
  <si>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</si>
  <si>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</si>
  <si>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</si>
  <si>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</si>
  <si>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</si>
  <si>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</si>
  <si>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</si>
  <si>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</si>
  <si>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</si>
  <si>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</si>
  <si>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</si>
  <si>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</si>
  <si>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</si>
  <si>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</si>
  <si>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</si>
  <si>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</si>
  <si>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</si>
  <si>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</si>
  <si>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</si>
  <si>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</si>
  <si>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</si>
  <si>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</si>
  <si>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</si>
  <si>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</si>
  <si>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</si>
  <si>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</si>
  <si>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</si>
  <si>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</si>
  <si>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</si>
  <si>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</si>
  <si>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</si>
  <si>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</si>
  <si>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</si>
  <si>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</si>
  <si>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</si>
  <si>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</si>
  <si>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</si>
  <si>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</si>
  <si>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</si>
  <si>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</si>
  <si>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</si>
  <si>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</si>
  <si>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</si>
  <si>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</si>
  <si>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</si>
  <si>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</si>
  <si>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</si>
  <si>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</si>
  <si>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</si>
  <si>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</si>
  <si>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</si>
  <si>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</si>
  <si>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</si>
  <si>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</si>
  <si>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</si>
  <si>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</si>
  <si>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</si>
  <si>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</si>
  <si>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</si>
  <si>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</si>
  <si>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</si>
  <si>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</si>
  <si>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</si>
  <si>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</si>
  <si>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</si>
  <si>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</si>
  <si>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</si>
  <si>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</si>
  <si>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</si>
  <si>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</si>
  <si>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</si>
  <si>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</si>
  <si>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</si>
  <si>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</si>
  <si>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</si>
  <si>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</si>
  <si>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</si>
  <si>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</si>
  <si>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</si>
  <si>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</si>
  <si>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</si>
  <si>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</si>
  <si>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</si>
  <si>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</si>
  <si>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</si>
  <si>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</si>
  <si>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</si>
  <si>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</si>
  <si>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</si>
  <si>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</si>
  <si>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</si>
  <si>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</si>
  <si>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</si>
  <si>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</si>
  <si>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</si>
  <si>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</si>
  <si>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</si>
  <si>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</si>
  <si>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</si>
  <si>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</si>
  <si>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</si>
  <si>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</si>
  <si>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</si>
  <si>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</si>
  <si>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</si>
  <si>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</si>
  <si>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</si>
  <si>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</si>
  <si>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</si>
  <si>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</si>
  <si>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</si>
  <si>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</si>
  <si>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</si>
  <si>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</si>
  <si>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</si>
  <si>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</si>
  <si>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</si>
  <si>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</si>
  <si>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</si>
  <si>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</si>
  <si>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</si>
  <si>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</si>
  <si>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</si>
  <si>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</si>
  <si>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</si>
  <si>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</si>
  <si>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</si>
  <si>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</si>
  <si>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</si>
  <si>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</si>
  <si>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</si>
  <si>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</si>
  <si>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</si>
  <si>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</si>
  <si>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</si>
  <si>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</si>
  <si>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</si>
  <si>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</si>
  <si>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</si>
  <si>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</si>
  <si>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</si>
  <si>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</si>
  <si>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</si>
  <si>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</si>
  <si>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</si>
  <si>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</si>
  <si>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</si>
  <si>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</si>
  <si>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</si>
  <si>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</si>
  <si>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</si>
  <si>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</si>
  <si>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</si>
  <si>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</si>
  <si>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</si>
  <si>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</si>
  <si>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</si>
  <si>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</si>
  <si>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</si>
  <si>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</si>
  <si>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</si>
  <si>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</si>
  <si>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</si>
  <si>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</si>
  <si>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</si>
  <si>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</si>
  <si>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</si>
  <si>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</si>
  <si>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</si>
  <si>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</si>
  <si>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</si>
  <si>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</si>
  <si>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</si>
  <si>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</si>
  <si>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</si>
  <si>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</si>
  <si>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</si>
  <si>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</si>
  <si>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</si>
  <si>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</si>
  <si>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</si>
  <si>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</si>
  <si>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</si>
  <si>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</si>
  <si>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</si>
  <si>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</si>
  <si>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</si>
  <si>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</si>
  <si>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</si>
  <si>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</si>
  <si>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</si>
  <si>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</si>
  <si>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</si>
  <si>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</si>
  <si>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</si>
  <si>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</si>
  <si>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</si>
  <si>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</si>
  <si>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</si>
  <si>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</si>
  <si>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</si>
  <si>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</si>
  <si>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</si>
  <si>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</si>
  <si>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</si>
  <si>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</si>
  <si>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</si>
  <si>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</si>
  <si>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</si>
  <si>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</si>
  <si>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</si>
  <si>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</si>
  <si>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</si>
  <si>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</si>
  <si>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</si>
  <si>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</si>
  <si>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</si>
  <si>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</si>
  <si>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</si>
  <si>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</si>
  <si>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</si>
  <si>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</si>
  <si>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</si>
  <si>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</si>
  <si>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</si>
  <si>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</si>
  <si>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</si>
  <si>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</si>
  <si>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</si>
  <si>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</si>
  <si>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</si>
  <si>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</si>
  <si>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</si>
  <si>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</si>
  <si>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</si>
  <si>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</si>
  <si>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</si>
  <si>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</si>
  <si>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</si>
  <si>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</si>
  <si>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</si>
  <si>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</si>
  <si>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</si>
  <si>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</si>
  <si>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</si>
  <si>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</si>
  <si>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</si>
  <si>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</si>
  <si>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</si>
  <si>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</si>
  <si>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</si>
  <si>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</si>
  <si>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</si>
  <si>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</si>
  <si>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</si>
  <si>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</si>
  <si>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</si>
  <si>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</si>
  <si>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</si>
  <si>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</si>
  <si>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</si>
  <si>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</si>
  <si>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</si>
  <si>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</si>
  <si>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</si>
  <si>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</si>
  <si>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</si>
  <si>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</si>
  <si>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</si>
  <si>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</si>
  <si>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</si>
  <si>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</si>
  <si>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</si>
  <si>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</si>
  <si>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</si>
  <si>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</si>
  <si>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</si>
  <si>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</si>
  <si>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</si>
  <si>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</si>
  <si>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</si>
  <si>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</si>
  <si>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</si>
  <si>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</si>
  <si>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</si>
  <si>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</si>
  <si>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</si>
  <si>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</si>
  <si>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</si>
  <si>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</si>
  <si>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</si>
  <si>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</si>
  <si>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</si>
  <si>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</si>
  <si>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</si>
  <si>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</si>
  <si>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</si>
  <si>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</si>
  <si>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</si>
  <si>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</si>
  <si>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</si>
  <si>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</si>
  <si>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</si>
  <si>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</si>
  <si>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</si>
  <si>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</si>
  <si>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</si>
  <si>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</si>
  <si>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</si>
  <si>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</si>
  <si>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</si>
  <si>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</si>
  <si>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</si>
  <si>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</si>
  <si>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</si>
  <si>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</si>
  <si>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</si>
  <si>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</si>
  <si>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</si>
  <si>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</si>
  <si>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</si>
  <si>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</si>
  <si>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</si>
  <si>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</si>
  <si>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</si>
  <si>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</si>
  <si>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</si>
  <si>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</si>
  <si>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</si>
  <si>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</si>
  <si>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</si>
  <si>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</si>
  <si>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</si>
  <si>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</si>
  <si>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</si>
  <si>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</si>
  <si>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</si>
  <si>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</si>
  <si>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</si>
  <si>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</si>
  <si>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</si>
  <si>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</si>
  <si>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</si>
  <si>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</si>
  <si>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</si>
  <si>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</si>
  <si>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</si>
  <si>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</si>
  <si>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</si>
  <si>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</si>
  <si>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</si>
  <si>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</si>
  <si>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</si>
  <si>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</si>
  <si>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</si>
  <si>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</si>
  <si>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</si>
  <si>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</si>
  <si>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</si>
  <si>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</si>
  <si>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</si>
  <si>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</si>
  <si>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</si>
  <si>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</si>
  <si>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</si>
  <si>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</si>
  <si>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</si>
  <si>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</si>
  <si>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</si>
  <si>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</si>
  <si>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</si>
  <si>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</si>
  <si>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</si>
  <si>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</si>
  <si>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</si>
  <si>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</si>
  <si>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</si>
  <si>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</si>
  <si>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</si>
  <si>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</si>
  <si>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</si>
  <si>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</si>
  <si>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</si>
  <si>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</si>
  <si>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</si>
  <si>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</si>
  <si>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</si>
  <si>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</si>
  <si>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</si>
  <si>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</si>
  <si>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</si>
  <si>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</si>
  <si>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</si>
  <si>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</si>
  <si>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</si>
  <si>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</si>
  <si>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</si>
  <si>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</si>
  <si>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</si>
  <si>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</si>
  <si>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</si>
  <si>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</si>
  <si>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</si>
  <si>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</si>
  <si>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</si>
  <si>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</si>
  <si>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</si>
  <si>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</si>
  <si>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</si>
  <si>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</si>
  <si>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</si>
  <si>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</si>
  <si>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</si>
  <si>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</si>
  <si>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</si>
  <si>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</si>
  <si>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</si>
  <si>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</si>
  <si>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</si>
  <si>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</si>
  <si>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</si>
  <si>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</si>
  <si>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</si>
  <si>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</si>
  <si>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</si>
  <si>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</si>
  <si>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</si>
  <si>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</si>
  <si>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</si>
  <si>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</si>
  <si>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</si>
  <si>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</si>
  <si>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</si>
  <si>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</si>
  <si>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</si>
  <si>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</si>
  <si>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</si>
  <si>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</si>
  <si>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</si>
  <si>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</si>
  <si>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</si>
  <si>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</si>
  <si>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</si>
  <si>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</si>
  <si>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</si>
  <si>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</si>
  <si>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</si>
  <si>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</si>
  <si>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</si>
  <si>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</si>
  <si>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</si>
  <si>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</si>
  <si>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</si>
  <si>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</si>
  <si>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</si>
  <si>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</si>
  <si>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</si>
  <si>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</si>
  <si>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</si>
  <si>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</si>
  <si>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</si>
  <si>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</si>
  <si>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</si>
  <si>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</si>
  <si>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</si>
  <si>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</si>
  <si>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</si>
  <si>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</si>
  <si>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</si>
  <si>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</si>
  <si>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</si>
  <si>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</si>
  <si>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</si>
  <si>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</si>
  <si>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</si>
  <si>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</si>
  <si>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</si>
  <si>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</si>
  <si>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</si>
  <si>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</si>
  <si>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</si>
  <si>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</si>
  <si>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</si>
  <si>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</si>
  <si>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</si>
  <si>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</si>
  <si>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</si>
  <si>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</si>
  <si>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</si>
  <si>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</si>
  <si>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</si>
  <si>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</si>
  <si>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</si>
  <si>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</si>
  <si>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</si>
  <si>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</si>
  <si>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</si>
  <si>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</si>
  <si>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</si>
  <si>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</si>
  <si>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</si>
  <si>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</si>
  <si>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</si>
  <si>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</si>
  <si>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</si>
  <si>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</si>
  <si>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</si>
  <si>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</si>
  <si>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</si>
  <si>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</si>
  <si>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</si>
  <si>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</si>
  <si>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</si>
  <si>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</si>
  <si>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</si>
  <si>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</si>
  <si>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</si>
  <si>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</si>
  <si>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</si>
  <si>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</si>
  <si>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</si>
  <si>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</si>
  <si>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</si>
  <si>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</si>
  <si>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</si>
  <si>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</si>
  <si>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</si>
  <si>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</si>
  <si>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</si>
  <si>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</si>
  <si>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</si>
  <si>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</si>
  <si>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</si>
  <si>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</si>
  <si>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</si>
  <si>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</si>
  <si>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</si>
  <si>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</si>
  <si>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</si>
  <si>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</si>
  <si>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</si>
  <si>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</si>
  <si>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</si>
  <si>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</si>
  <si>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</si>
  <si>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</si>
  <si>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</si>
  <si>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</si>
  <si>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</si>
  <si>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</si>
  <si>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</si>
  <si>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</si>
  <si>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</si>
  <si>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</si>
  <si>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</si>
  <si>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</si>
  <si>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</si>
  <si>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</si>
  <si>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</si>
  <si>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</si>
  <si>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</si>
  <si>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</si>
  <si>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</si>
  <si>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</si>
  <si>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</si>
  <si>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</si>
  <si>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</si>
  <si>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</si>
  <si>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</si>
  <si>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</si>
  <si>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</si>
  <si>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</si>
  <si>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</si>
  <si>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</si>
  <si>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</si>
  <si>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</si>
  <si>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</si>
  <si>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</si>
  <si>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</si>
  <si>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</si>
  <si>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</si>
  <si>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</si>
  <si>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</si>
  <si>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</si>
  <si>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</si>
  <si>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</si>
  <si>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</si>
  <si>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</si>
  <si>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</si>
  <si>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</si>
  <si>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</si>
  <si>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</si>
  <si>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</si>
  <si>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</si>
  <si>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</si>
  <si>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</si>
  <si>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</si>
  <si>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</si>
  <si>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</si>
  <si>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</si>
  <si>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</si>
  <si>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</si>
  <si>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</si>
  <si>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</si>
  <si>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</si>
  <si>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</si>
  <si>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</si>
  <si>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</si>
  <si>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</si>
  <si>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</si>
  <si>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</si>
  <si>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</si>
  <si>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</si>
  <si>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</si>
  <si>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</si>
  <si>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</si>
  <si>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</si>
  <si>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</si>
  <si>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</si>
  <si>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</si>
  <si>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</si>
  <si>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</si>
  <si>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</si>
  <si>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</si>
  <si>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</si>
  <si>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</si>
  <si>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</si>
  <si>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</si>
  <si>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</si>
  <si>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</si>
  <si>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</si>
  <si>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</si>
  <si>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</si>
  <si>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</si>
  <si>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</si>
  <si>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</si>
  <si>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</si>
  <si>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</si>
  <si>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</si>
  <si>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</si>
  <si>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</si>
  <si>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</si>
  <si>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</si>
  <si>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</si>
  <si>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</si>
  <si>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</si>
  <si>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</si>
  <si>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</si>
  <si>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</si>
  <si>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</si>
  <si>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</si>
  <si>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</si>
  <si>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</si>
  <si>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</si>
  <si>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</si>
  <si>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</si>
  <si>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</si>
  <si>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</si>
  <si>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</si>
  <si>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</si>
  <si>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</si>
  <si>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</si>
  <si>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</si>
  <si>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</si>
  <si>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</si>
  <si>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</si>
  <si>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</si>
  <si>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</si>
  <si>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</si>
  <si>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</si>
  <si>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</si>
  <si>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</si>
  <si>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</si>
  <si>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</si>
  <si>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</si>
  <si>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</si>
  <si>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</si>
  <si>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</si>
  <si>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</si>
  <si>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</si>
  <si>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</si>
  <si>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</si>
  <si>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</si>
  <si>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</si>
  <si>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</si>
  <si>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</si>
  <si>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</si>
  <si>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</si>
  <si>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</si>
  <si>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</si>
  <si>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</si>
  <si>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</si>
  <si>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</si>
  <si>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</si>
  <si>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</si>
  <si>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</si>
  <si>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</si>
  <si>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</si>
  <si>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</si>
  <si>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</si>
  <si>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</si>
  <si>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</si>
  <si>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</si>
  <si>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</si>
  <si>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</si>
  <si>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</si>
  <si>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</si>
  <si>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</si>
  <si>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</si>
  <si>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</si>
  <si>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</si>
  <si>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</si>
  <si>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</si>
  <si>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</si>
  <si>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</si>
  <si>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</si>
  <si>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</si>
  <si>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</si>
  <si>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</si>
  <si>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</si>
  <si>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</si>
  <si>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</si>
  <si>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</si>
  <si>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</si>
  <si>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</si>
  <si>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</si>
  <si>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</si>
  <si>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</si>
  <si>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</si>
  <si>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</si>
  <si>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</si>
  <si>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</si>
  <si>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</si>
  <si>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</si>
  <si>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</si>
  <si>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</si>
  <si>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</si>
  <si>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</si>
  <si>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</si>
  <si>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</si>
  <si>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</si>
  <si>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</si>
  <si>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</si>
  <si>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</si>
  <si>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</si>
  <si>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</si>
  <si>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</si>
  <si>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</si>
  <si>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</si>
  <si>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</si>
  <si>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</si>
  <si>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</si>
  <si>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</si>
  <si>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</si>
  <si>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</si>
  <si>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</si>
  <si>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</si>
  <si>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</si>
  <si>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</si>
  <si>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</si>
  <si>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</si>
  <si>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</si>
  <si>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</si>
  <si>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</si>
  <si>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</si>
  <si>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</si>
  <si>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</si>
  <si>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</si>
  <si>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</si>
  <si>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</si>
  <si>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</si>
  <si>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</si>
  <si>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</si>
  <si>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</si>
  <si>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</si>
  <si>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</si>
  <si>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</si>
  <si>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</si>
  <si>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</si>
  <si>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</si>
  <si>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</si>
  <si>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</si>
  <si>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</si>
  <si>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</si>
  <si>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</si>
  <si>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</si>
  <si>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</si>
  <si>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</si>
  <si>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</si>
  <si>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</si>
  <si>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</si>
  <si>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</si>
  <si>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</si>
  <si>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</si>
  <si>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</si>
  <si>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</si>
  <si>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</si>
  <si>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</si>
  <si>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</si>
  <si>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</si>
  <si>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</si>
  <si>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</si>
  <si>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</si>
  <si>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</si>
  <si>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</si>
  <si>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</si>
  <si>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</si>
  <si>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</si>
  <si>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</si>
  <si>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</si>
  <si>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</si>
  <si>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</si>
  <si>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</si>
  <si>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</si>
  <si>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</si>
  <si>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</si>
  <si>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</si>
  <si>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</si>
  <si>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</si>
  <si>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</si>
  <si>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</si>
  <si>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</si>
  <si>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</si>
  <si>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</si>
  <si>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</si>
  <si>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</si>
  <si>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</si>
  <si>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</si>
  <si>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</si>
  <si>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</si>
  <si>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</si>
  <si>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</si>
  <si>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</si>
  <si>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</si>
  <si>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</si>
  <si>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</si>
  <si>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</si>
  <si>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</si>
  <si>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</si>
  <si>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</si>
  <si>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</si>
  <si>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</si>
  <si>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</si>
  <si>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</si>
  <si>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</si>
  <si>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</si>
  <si>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</si>
  <si>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</si>
  <si>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</si>
  <si>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</si>
  <si>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</si>
  <si>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</si>
  <si>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</si>
  <si>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</si>
  <si>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</si>
  <si>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</si>
  <si>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</si>
  <si>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</si>
  <si>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</si>
  <si>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</si>
  <si>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</si>
  <si>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</si>
  <si>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</si>
  <si>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</si>
  <si>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</si>
  <si>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</si>
  <si>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</si>
  <si>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</si>
  <si>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</si>
  <si>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</si>
  <si>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</si>
  <si>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</si>
  <si>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</si>
  <si>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</si>
  <si>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</si>
  <si>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</si>
  <si>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</si>
  <si>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</si>
  <si>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</si>
  <si>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</si>
  <si>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</si>
  <si>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</si>
  <si>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</si>
  <si>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</si>
  <si>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</si>
  <si>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</si>
  <si>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</si>
  <si>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</si>
  <si>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</si>
  <si>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</si>
  <si>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</si>
  <si>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</si>
  <si>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</si>
  <si>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</si>
  <si>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</si>
  <si>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</si>
  <si>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</si>
  <si>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</si>
  <si>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</si>
  <si>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</si>
  <si>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</si>
  <si>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</si>
  <si>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</si>
  <si>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</si>
  <si>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</si>
  <si>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</si>
  <si>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</si>
  <si>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</si>
  <si>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</si>
  <si>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</si>
  <si>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</si>
  <si>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</si>
  <si>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</si>
  <si>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</si>
  <si>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</si>
  <si>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</si>
  <si>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</si>
  <si>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</si>
  <si>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</si>
  <si>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</si>
  <si>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</si>
  <si>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</si>
  <si>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</si>
  <si>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</si>
  <si>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</si>
  <si>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</si>
  <si>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</si>
  <si>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</si>
  <si>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</si>
  <si>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</si>
  <si>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</si>
  <si>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</si>
  <si>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</si>
  <si>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</si>
  <si>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</si>
  <si>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</si>
  <si>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</si>
  <si>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</si>
  <si>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</si>
  <si>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</si>
  <si>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</si>
  <si>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</si>
  <si>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</si>
  <si>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</si>
  <si>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</si>
  <si>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</si>
  <si>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</si>
  <si>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</si>
  <si>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</si>
  <si>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</si>
  <si>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</si>
  <si>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</si>
  <si>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</si>
  <si>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</si>
  <si>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</si>
  <si>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</si>
  <si>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</si>
  <si>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</si>
  <si>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</si>
  <si>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</si>
  <si>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</si>
  <si>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</si>
  <si>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</si>
  <si>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</si>
  <si>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</si>
  <si>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</si>
  <si>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</si>
  <si>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</si>
  <si>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</si>
  <si>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</si>
  <si>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</si>
  <si>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</si>
  <si>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</si>
  <si>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</si>
  <si>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</si>
  <si>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</si>
  <si>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</si>
  <si>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</si>
  <si>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</si>
  <si>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</si>
  <si>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</si>
  <si>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</si>
  <si>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</si>
  <si>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</si>
  <si>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</si>
  <si>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</si>
  <si>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</si>
  <si>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</si>
  <si>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</si>
  <si>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</si>
  <si>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</si>
  <si>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</si>
  <si>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</si>
  <si>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</si>
  <si>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</si>
  <si>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</si>
  <si>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</si>
  <si>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</si>
  <si>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</si>
  <si>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</si>
  <si>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</si>
  <si>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</si>
  <si>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</si>
  <si>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</si>
  <si>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</si>
  <si>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</si>
  <si>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</si>
  <si>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</si>
  <si>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</si>
  <si>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</si>
  <si>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</si>
  <si>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</si>
  <si>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</si>
  <si>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</si>
  <si>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</si>
  <si>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</si>
  <si>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</si>
  <si>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</si>
  <si>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</si>
  <si>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</si>
  <si>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</si>
  <si>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</si>
  <si>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</si>
  <si>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</si>
  <si>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</si>
  <si>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</si>
  <si>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</si>
  <si>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</si>
  <si>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</si>
  <si>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</si>
  <si>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</si>
  <si>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</si>
  <si>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</si>
  <si>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</si>
  <si>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</si>
  <si>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</si>
  <si>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</si>
  <si>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</si>
  <si>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</si>
  <si>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</si>
  <si>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</si>
  <si>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</si>
  <si>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</si>
  <si>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</si>
  <si>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</si>
  <si>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</si>
  <si>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</si>
  <si>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</si>
  <si>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</si>
  <si>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</si>
  <si>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</si>
  <si>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</si>
  <si>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</si>
  <si>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</si>
  <si>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</si>
  <si>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</si>
  <si>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</si>
  <si>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</si>
  <si>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</si>
  <si>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</si>
  <si>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</si>
  <si>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</si>
  <si>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</si>
  <si>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</si>
  <si>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</si>
  <si>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</si>
  <si>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</si>
  <si>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</si>
  <si>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</si>
  <si>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</si>
  <si>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</si>
  <si>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</si>
  <si>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</si>
  <si>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</si>
  <si>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</si>
  <si>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</si>
  <si>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</si>
  <si>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</si>
  <si>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</si>
  <si>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</si>
  <si>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</si>
  <si>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</si>
  <si>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</si>
  <si>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</si>
  <si>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</si>
  <si>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</si>
  <si>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</si>
  <si>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</si>
  <si>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</si>
  <si>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</si>
  <si>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</si>
  <si>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</si>
  <si>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</si>
  <si>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</si>
  <si>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</si>
  <si>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</si>
  <si>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</si>
  <si>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</si>
  <si>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</si>
  <si>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</si>
  <si>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</si>
  <si>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</si>
  <si>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</si>
  <si>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</si>
  <si>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</si>
  <si>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</si>
  <si>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</si>
  <si>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</si>
  <si>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</si>
  <si>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</si>
  <si>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</si>
  <si>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</si>
  <si>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</si>
  <si>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</si>
  <si>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</si>
  <si>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</si>
  <si>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</si>
  <si>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</si>
  <si>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</si>
  <si>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</si>
  <si>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</si>
  <si>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</si>
  <si>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</si>
  <si>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</si>
  <si>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</si>
  <si>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</si>
  <si>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</si>
  <si>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</si>
  <si>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</si>
  <si>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</si>
  <si>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</si>
  <si>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</si>
  <si>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</si>
  <si>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</si>
  <si>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</si>
  <si>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</si>
  <si>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</si>
  <si>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</si>
  <si>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</si>
  <si>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</si>
  <si>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</si>
  <si>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</si>
  <si>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</si>
  <si>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</si>
  <si>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</si>
  <si>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</si>
  <si>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</si>
  <si>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</si>
  <si>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</si>
  <si>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</si>
  <si>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</si>
  <si>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</si>
  <si>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</si>
  <si>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</si>
  <si>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</si>
  <si>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</si>
  <si>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</si>
  <si>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</si>
  <si>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</si>
  <si>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</si>
  <si>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</si>
  <si>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</si>
  <si>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</si>
  <si>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</si>
  <si>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</si>
  <si>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</si>
  <si>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</si>
  <si>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</si>
  <si>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</si>
  <si>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</si>
  <si>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</si>
  <si>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</si>
  <si>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</si>
  <si>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</si>
  <si>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</si>
  <si>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</si>
  <si>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</si>
  <si>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</si>
  <si>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</si>
  <si>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</si>
  <si>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</si>
  <si>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</si>
  <si>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</si>
  <si>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</si>
  <si>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</si>
  <si>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</si>
  <si>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</si>
  <si>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</si>
  <si>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</si>
  <si>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</si>
  <si>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</si>
  <si>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</si>
  <si>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</si>
  <si>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</si>
  <si>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</si>
  <si>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</si>
  <si>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</si>
  <si>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</si>
  <si>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</si>
  <si>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</si>
  <si>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</si>
  <si>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</si>
  <si>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</si>
  <si>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</si>
  <si>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</si>
  <si>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</si>
  <si>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</si>
  <si>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</si>
  <si>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</si>
  <si>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</si>
  <si>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</si>
  <si>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</si>
  <si>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</si>
  <si>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</si>
  <si>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</si>
  <si>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</si>
  <si>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</si>
  <si>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</si>
  <si>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</si>
  <si>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</si>
  <si>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</si>
  <si>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</si>
  <si>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</si>
  <si>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</si>
  <si>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</si>
  <si>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</si>
  <si>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</si>
  <si>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</si>
  <si>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</si>
  <si>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</si>
  <si>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</si>
  <si>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</si>
  <si>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</si>
  <si>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</si>
  <si>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</si>
  <si>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</si>
  <si>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</si>
  <si>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</si>
  <si>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</si>
  <si>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</si>
  <si>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</si>
  <si>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</si>
  <si>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</si>
  <si>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</si>
  <si>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</si>
  <si>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</si>
  <si>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</si>
  <si>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</si>
  <si>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</si>
  <si>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</si>
  <si>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</si>
  <si>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</si>
  <si>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</si>
  <si>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</si>
  <si>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</si>
  <si>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</si>
  <si>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</si>
  <si>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</si>
  <si>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</si>
  <si>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</si>
  <si>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</si>
  <si>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</si>
  <si>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</si>
  <si>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</si>
  <si>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</si>
  <si>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</si>
  <si>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</si>
  <si>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</si>
  <si>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</si>
  <si>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</si>
  <si>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</si>
  <si>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</si>
  <si>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</si>
  <si>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</si>
  <si>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</si>
  <si>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</si>
  <si>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</si>
  <si>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</si>
  <si>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</si>
  <si>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</si>
  <si>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</si>
  <si>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</si>
  <si>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</si>
  <si>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</si>
  <si>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</si>
  <si>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</si>
  <si>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</si>
  <si>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</si>
  <si>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</si>
  <si>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</si>
  <si>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</si>
  <si>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</si>
  <si>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</si>
  <si>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</si>
  <si>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</si>
  <si>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</si>
  <si>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</si>
  <si>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</si>
  <si>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</si>
  <si>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</si>
  <si>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</si>
  <si>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</si>
  <si>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</si>
  <si>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</si>
  <si>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</si>
  <si>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</si>
  <si>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</si>
  <si>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</si>
  <si>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</si>
  <si>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</si>
  <si>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</si>
  <si>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</si>
  <si>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</si>
  <si>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</si>
  <si>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</si>
  <si>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</si>
  <si>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</si>
  <si>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</si>
  <si>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</si>
  <si>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</si>
  <si>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</si>
  <si>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</si>
  <si>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</si>
  <si>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</si>
  <si>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</si>
  <si>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</si>
  <si>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</si>
  <si>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</si>
  <si>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</si>
  <si>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</si>
  <si>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</si>
  <si>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</si>
  <si>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</si>
  <si>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</si>
  <si>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</si>
  <si>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</si>
  <si>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</si>
  <si>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</si>
  <si>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</si>
  <si>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</si>
  <si>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</si>
  <si>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</si>
  <si>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</si>
  <si>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</si>
  <si>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</si>
  <si>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</si>
  <si>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</si>
  <si>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</si>
  <si>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</si>
  <si>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</si>
  <si>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</si>
  <si>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</si>
  <si>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</si>
  <si>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</si>
  <si>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</si>
  <si>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</si>
  <si>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</si>
  <si>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</si>
  <si>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</si>
  <si>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</si>
  <si>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</si>
  <si>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</si>
  <si>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</si>
  <si>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</si>
  <si>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</si>
  <si>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</si>
  <si>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</si>
  <si>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</si>
  <si>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</si>
  <si>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</si>
  <si>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</si>
  <si>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</si>
  <si>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</si>
  <si>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</si>
  <si>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</si>
  <si>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</si>
  <si>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</si>
  <si>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</si>
  <si>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</si>
  <si>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</si>
  <si>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</si>
  <si>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</si>
  <si>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</si>
  <si>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</si>
  <si>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</si>
  <si>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</si>
  <si>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</si>
  <si>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</si>
  <si>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</si>
  <si>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</si>
  <si>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</si>
  <si>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</si>
  <si>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</si>
  <si>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</si>
  <si>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</si>
  <si>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</si>
  <si>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</si>
  <si>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</si>
  <si>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</si>
  <si>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</si>
  <si>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</si>
  <si>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</si>
  <si>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</si>
  <si>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</si>
  <si>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</si>
  <si>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</si>
  <si>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</si>
  <si>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</si>
  <si>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</si>
  <si>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</si>
  <si>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</si>
  <si>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</si>
  <si>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</si>
  <si>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</si>
  <si>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</si>
  <si>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</si>
  <si>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</si>
  <si>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</si>
  <si>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</si>
  <si>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</si>
  <si>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</si>
  <si>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</si>
  <si>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</si>
  <si>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</si>
  <si>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</si>
  <si>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</si>
  <si>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</si>
  <si>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</si>
  <si>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</si>
  <si>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</si>
  <si>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</si>
  <si>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</si>
  <si>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</si>
  <si>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</si>
  <si>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</si>
  <si>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</si>
  <si>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</si>
  <si>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</si>
  <si>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</si>
  <si>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</si>
  <si>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</si>
  <si>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</si>
  <si>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</si>
  <si>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</si>
  <si>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</si>
  <si>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</si>
  <si>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</si>
  <si>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</si>
  <si>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</si>
  <si>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</si>
  <si>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</si>
  <si>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</si>
  <si>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</si>
  <si>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</si>
  <si>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</si>
  <si>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</si>
  <si>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</si>
  <si>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</si>
  <si>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</si>
  <si>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</si>
  <si>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</si>
  <si>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</si>
  <si>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</si>
  <si>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</si>
  <si>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</si>
  <si>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</si>
  <si>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</si>
  <si>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</si>
  <si>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</si>
  <si>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</si>
  <si>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</si>
  <si>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</si>
  <si>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</si>
  <si>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</si>
  <si>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</si>
  <si>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</si>
  <si>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</si>
  <si>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</si>
  <si>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</si>
  <si>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</si>
  <si>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</si>
  <si>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</si>
  <si>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</si>
  <si>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</si>
  <si>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</si>
  <si>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</si>
  <si>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</si>
  <si>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</si>
  <si>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</si>
  <si>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</si>
  <si>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</si>
  <si>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</si>
  <si>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</si>
  <si>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</si>
  <si>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</si>
  <si>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</si>
  <si>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</si>
  <si>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</si>
  <si>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</si>
  <si>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</si>
  <si>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</si>
  <si>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</si>
  <si>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</si>
  <si>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</si>
  <si>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</si>
  <si>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</si>
  <si>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</si>
  <si>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</si>
  <si>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</si>
  <si>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</si>
  <si>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</si>
  <si>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</si>
  <si>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</si>
  <si>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</si>
  <si>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</si>
  <si>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</si>
  <si>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</si>
  <si>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</si>
  <si>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</si>
  <si>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</si>
  <si>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</si>
  <si>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</si>
  <si>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</si>
  <si>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</si>
  <si>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</si>
  <si>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</si>
  <si>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</si>
  <si>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</si>
  <si>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</si>
  <si>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</si>
  <si>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</si>
  <si>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</si>
  <si>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</si>
  <si>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</si>
  <si>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</si>
  <si>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</si>
  <si>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</si>
  <si>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</si>
  <si>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</si>
  <si>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</si>
  <si>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</si>
  <si>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</si>
  <si>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</si>
  <si>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</si>
  <si>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</si>
  <si>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</si>
  <si>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</si>
  <si>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</si>
  <si>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</si>
  <si>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</si>
  <si>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</si>
  <si>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</si>
  <si>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</si>
  <si>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</si>
  <si>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</si>
  <si>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</si>
  <si>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</si>
  <si>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</si>
  <si>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</si>
  <si>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</si>
  <si>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</si>
  <si>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</si>
  <si>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</si>
  <si>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</si>
  <si>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</si>
  <si>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</si>
  <si>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</si>
  <si>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</si>
  <si>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</si>
  <si>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</si>
  <si>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</si>
  <si>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</si>
  <si>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</si>
  <si>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</si>
  <si>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</si>
  <si>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</si>
  <si>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</si>
  <si>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</si>
  <si>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</si>
  <si>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</si>
  <si>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</si>
  <si>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</si>
  <si>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</si>
  <si>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</si>
  <si>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</si>
  <si>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</si>
  <si>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</si>
  <si>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</si>
  <si>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</si>
  <si>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</si>
  <si>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</si>
  <si>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</si>
  <si>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</si>
  <si>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</si>
  <si>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</si>
  <si>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</si>
  <si>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</si>
  <si>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</si>
  <si>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</si>
  <si>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</si>
  <si>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</si>
  <si>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</si>
  <si>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</si>
  <si>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</si>
  <si>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</si>
  <si>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</si>
  <si>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</si>
  <si>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</si>
  <si>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</si>
  <si>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</si>
  <si>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</si>
  <si>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</si>
  <si>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</si>
  <si>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</si>
  <si>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</si>
  <si>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</si>
  <si>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</si>
  <si>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</si>
  <si>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</si>
  <si>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</si>
  <si>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</si>
  <si>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</si>
  <si>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</si>
  <si>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</si>
  <si>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</si>
  <si>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</si>
  <si>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</si>
  <si>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</si>
  <si>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</si>
  <si>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</si>
  <si>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</si>
  <si>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</si>
  <si>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</si>
  <si>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</si>
  <si>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</si>
  <si>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</si>
  <si>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</si>
  <si>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</si>
  <si>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</si>
  <si>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</si>
  <si>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</si>
  <si>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</si>
  <si>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</si>
  <si>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</si>
  <si>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</si>
  <si>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</si>
  <si>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</si>
  <si>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</si>
  <si>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</si>
  <si>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</si>
  <si>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</si>
  <si>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</si>
  <si>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</si>
  <si>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</si>
  <si>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</si>
  <si>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</si>
  <si>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</si>
  <si>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</si>
  <si>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</si>
  <si>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</si>
  <si>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</si>
  <si>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</si>
  <si>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</si>
  <si>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</si>
  <si>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</si>
  <si>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</si>
  <si>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</si>
  <si>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</si>
  <si>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</si>
  <si>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</si>
  <si>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</si>
  <si>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</si>
  <si>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</si>
  <si>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</si>
  <si>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</si>
  <si>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</si>
  <si>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</si>
  <si>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</si>
  <si>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</si>
  <si>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</si>
  <si>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</si>
  <si>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</si>
  <si>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</si>
  <si>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</si>
  <si>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</si>
  <si>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</si>
  <si>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</si>
  <si>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</si>
  <si>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</si>
  <si>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</si>
  <si>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</si>
  <si>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</si>
  <si>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</si>
  <si>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</si>
  <si>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</si>
  <si>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</si>
  <si>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</si>
  <si>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</si>
  <si>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</si>
  <si>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</si>
  <si>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</si>
  <si>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</si>
  <si>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</si>
  <si>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</si>
  <si>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</si>
  <si>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</si>
  <si>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</si>
  <si>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</si>
  <si>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</si>
  <si>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</si>
  <si>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</si>
  <si>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</si>
  <si>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</si>
  <si>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</si>
  <si>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</si>
  <si>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</si>
  <si>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</si>
  <si>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</si>
  <si>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</si>
  <si>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</si>
  <si>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</si>
  <si>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</si>
  <si>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</si>
  <si>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</si>
  <si>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</si>
  <si>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</si>
  <si>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</si>
  <si>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</si>
  <si>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</si>
  <si>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</si>
  <si>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</si>
  <si>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</si>
  <si>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</si>
  <si>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</si>
  <si>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</si>
  <si>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</si>
  <si>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</si>
  <si>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</si>
  <si>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</si>
  <si>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</si>
  <si>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</si>
  <si>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</si>
  <si>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</si>
  <si>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</si>
  <si>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</si>
  <si>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</si>
  <si>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</si>
  <si>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</si>
  <si>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</si>
  <si>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</si>
  <si>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</si>
  <si>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</si>
  <si>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</si>
  <si>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</si>
  <si>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</si>
  <si>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</si>
  <si>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</si>
  <si>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</si>
  <si>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</si>
  <si>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</si>
  <si>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</si>
  <si>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</si>
  <si>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</si>
  <si>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</si>
  <si>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</si>
  <si>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</si>
  <si>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</si>
  <si>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</si>
  <si>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</si>
  <si>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</si>
  <si>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</si>
  <si>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</si>
  <si>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</si>
  <si>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</si>
  <si>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</si>
  <si>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</si>
  <si>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</si>
  <si>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</si>
  <si>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</si>
  <si>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</si>
  <si>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</si>
  <si>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</si>
  <si>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</si>
  <si>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</si>
  <si>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</si>
  <si>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</si>
  <si>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</si>
  <si>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</si>
  <si>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</si>
  <si>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</si>
  <si>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</si>
  <si>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</si>
  <si>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</si>
  <si>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</si>
  <si>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</si>
  <si>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</si>
  <si>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</si>
  <si>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</si>
  <si>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</si>
  <si>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</si>
  <si>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</si>
  <si>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</si>
  <si>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</si>
  <si>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</si>
  <si>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</si>
  <si>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</si>
  <si>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</si>
  <si>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</si>
  <si>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</si>
  <si>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</si>
  <si>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</si>
  <si>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</si>
  <si>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</si>
  <si>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</si>
  <si>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</si>
  <si>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</si>
  <si>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</si>
  <si>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</si>
  <si>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</si>
  <si>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</si>
  <si>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</si>
  <si>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</si>
  <si>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</si>
  <si>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</si>
  <si>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</si>
  <si>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</si>
  <si>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</si>
  <si>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</si>
  <si>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</si>
  <si>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</si>
  <si>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</si>
  <si>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</si>
  <si>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</si>
  <si>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</si>
  <si>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</si>
  <si>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</si>
  <si>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</si>
  <si>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</si>
  <si>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</si>
  <si>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</si>
  <si>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</si>
  <si>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</si>
  <si>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</si>
  <si>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</si>
  <si>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</si>
  <si>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</si>
  <si>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</si>
  <si>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</si>
  <si>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</si>
  <si>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</si>
  <si>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</si>
  <si>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</si>
  <si>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</si>
  <si>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</si>
  <si>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</si>
  <si>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</si>
  <si>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</si>
  <si>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</si>
  <si>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</si>
  <si>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</si>
  <si>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</si>
  <si>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</si>
  <si>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</si>
  <si>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</si>
  <si>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</si>
  <si>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</si>
  <si>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</si>
  <si>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</si>
  <si>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</si>
  <si>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</si>
  <si>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</si>
  <si>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</si>
  <si>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</si>
  <si>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</si>
  <si>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</si>
  <si>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</si>
  <si>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</si>
  <si>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</si>
  <si>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</si>
  <si>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</si>
  <si>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</si>
  <si>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</si>
  <si>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</si>
  <si>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</si>
  <si>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</si>
  <si>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</si>
  <si>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</si>
  <si>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</si>
  <si>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</si>
  <si>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</si>
  <si>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</si>
  <si>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</si>
  <si>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</si>
  <si>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</si>
  <si>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</si>
  <si>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</si>
  <si>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</si>
  <si>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</si>
  <si>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</si>
  <si>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</si>
  <si>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</si>
  <si>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</si>
  <si>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</si>
  <si>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</si>
  <si>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</si>
  <si>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</si>
  <si>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</si>
  <si>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</si>
  <si>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</si>
  <si>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</si>
  <si>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</si>
  <si>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</si>
  <si>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</si>
  <si>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</si>
  <si>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</si>
  <si>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</si>
  <si>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</si>
  <si>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</si>
  <si>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</si>
  <si>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</si>
  <si>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</si>
  <si>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</si>
  <si>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</si>
  <si>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</si>
  <si>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</si>
  <si>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</si>
  <si>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</si>
  <si>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</si>
  <si>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</si>
  <si>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</si>
  <si>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</si>
  <si>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</si>
  <si>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</si>
  <si>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</si>
  <si>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</si>
  <si>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</si>
  <si>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</si>
  <si>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</si>
  <si>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</si>
  <si>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</si>
  <si>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</si>
  <si>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</si>
  <si>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</si>
  <si>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</si>
  <si>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</si>
  <si>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</si>
  <si>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</si>
  <si>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</si>
  <si>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</si>
  <si>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</si>
  <si>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</si>
  <si>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</si>
  <si>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</si>
  <si>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</si>
  <si>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</si>
  <si>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</si>
  <si>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</si>
  <si>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</si>
  <si>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</si>
  <si>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</si>
  <si>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</si>
  <si>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</si>
  <si>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</si>
  <si>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</si>
  <si>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</si>
  <si>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</si>
  <si>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</si>
  <si>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</si>
  <si>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</si>
  <si>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</si>
  <si>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</si>
  <si>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</si>
  <si>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</si>
  <si>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</si>
  <si>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</si>
  <si>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</si>
  <si>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</si>
  <si>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</si>
  <si>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</si>
  <si>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</si>
  <si>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</si>
  <si>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</si>
  <si>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</si>
  <si>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</si>
  <si>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</si>
  <si>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</si>
  <si>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</si>
  <si>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</si>
  <si>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</si>
  <si>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</si>
  <si>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</si>
  <si>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</si>
  <si>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</si>
  <si>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</si>
  <si>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</si>
  <si>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</si>
  <si>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</si>
  <si>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</si>
  <si>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</si>
  <si>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</si>
  <si>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</si>
  <si>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</si>
  <si>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</si>
  <si>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</si>
  <si>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</si>
  <si>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</si>
  <si>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</si>
  <si>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</si>
  <si>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</si>
  <si>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</si>
  <si>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</si>
  <si>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</si>
  <si>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</si>
  <si>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</si>
  <si>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</si>
  <si>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</si>
  <si>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</si>
  <si>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</si>
  <si>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</si>
  <si>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</si>
  <si>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</si>
  <si>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</si>
  <si>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</si>
  <si>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</si>
  <si>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</si>
  <si>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</si>
  <si>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</si>
  <si>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</si>
  <si>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</si>
  <si>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</si>
  <si>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</si>
  <si>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</si>
  <si>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</si>
  <si>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</si>
  <si>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</si>
  <si>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</si>
  <si>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</si>
  <si>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</si>
  <si>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</si>
  <si>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</si>
  <si>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</si>
  <si>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</si>
  <si>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</si>
  <si>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</si>
  <si>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</si>
  <si>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</si>
  <si>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</si>
  <si>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</si>
  <si>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</si>
  <si>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</si>
  <si>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</si>
  <si>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</si>
  <si>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</si>
  <si>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</si>
  <si>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</si>
  <si>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</si>
  <si>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</si>
  <si>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</si>
  <si>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</si>
  <si>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</si>
  <si>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</si>
  <si>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</si>
  <si>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</si>
  <si>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</si>
  <si>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</si>
  <si>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</si>
  <si>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</si>
  <si>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</si>
  <si>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</si>
  <si>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</si>
  <si>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</si>
  <si>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</si>
  <si>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</si>
  <si>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</si>
  <si>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</si>
  <si>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</si>
  <si>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</si>
  <si>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</si>
  <si>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</si>
  <si>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</si>
  <si>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</si>
  <si>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</si>
  <si>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</si>
  <si>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</si>
  <si>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</si>
  <si>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</si>
  <si>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</si>
  <si>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</si>
  <si>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</si>
  <si>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</si>
  <si>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</si>
  <si>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</si>
  <si>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</si>
  <si>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</si>
  <si>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</si>
  <si>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</si>
  <si>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</si>
  <si>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</si>
  <si>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</si>
  <si>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</si>
  <si>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</si>
  <si>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</si>
  <si>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</si>
  <si>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</si>
  <si>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</si>
  <si>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</si>
  <si>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</si>
  <si>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</si>
  <si>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</si>
  <si>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</si>
  <si>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</si>
  <si>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</si>
  <si>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</si>
  <si>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</si>
  <si>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</si>
  <si>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</si>
  <si>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</si>
  <si>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</si>
  <si>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</si>
  <si>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</si>
  <si>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</si>
  <si>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</si>
  <si>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</si>
  <si>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</si>
  <si>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</si>
  <si>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</si>
  <si>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</si>
  <si>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</si>
  <si>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</si>
  <si>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</si>
  <si>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</si>
  <si>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</si>
  <si>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</si>
  <si>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</si>
  <si>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</si>
  <si>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</si>
  <si>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</si>
  <si>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</si>
  <si>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</si>
  <si>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</si>
  <si>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</si>
  <si>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</si>
  <si>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</si>
  <si>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</si>
  <si>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</si>
  <si>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</si>
  <si>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</si>
  <si>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</si>
  <si>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</si>
  <si>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</si>
  <si>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</si>
  <si>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</si>
  <si>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</si>
  <si>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</si>
  <si>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</si>
  <si>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</si>
  <si>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</si>
  <si>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</si>
  <si>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</si>
  <si>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</si>
  <si>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</si>
  <si>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</si>
  <si>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</si>
  <si>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</si>
  <si>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</si>
  <si>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</si>
  <si>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</si>
  <si>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</si>
  <si>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</si>
  <si>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</si>
  <si>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</si>
  <si>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</si>
  <si>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</si>
  <si>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</si>
  <si>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</si>
  <si>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</si>
  <si>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</si>
  <si>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</si>
  <si>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</si>
  <si>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</si>
  <si>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</si>
  <si>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</si>
  <si>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</si>
  <si>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</si>
  <si>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</si>
  <si>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</si>
  <si>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</si>
  <si>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</si>
  <si>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</si>
  <si>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</si>
  <si>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</si>
  <si>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</si>
  <si>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</si>
  <si>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</si>
  <si>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</si>
  <si>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</si>
  <si>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</si>
  <si>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</si>
  <si>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</si>
  <si>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</si>
  <si>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</si>
  <si>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</si>
  <si>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</si>
  <si>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</si>
  <si>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</si>
  <si>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</si>
  <si>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</si>
  <si>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</si>
  <si>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</si>
  <si>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</si>
  <si>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</si>
  <si>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</si>
  <si>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</si>
  <si>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</si>
  <si>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</si>
  <si>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</si>
  <si>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</si>
  <si>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</si>
  <si>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</si>
  <si>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</si>
  <si>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</si>
  <si>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</si>
  <si>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</si>
  <si>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</si>
  <si>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</si>
  <si>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</si>
  <si>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</si>
  <si>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</si>
  <si>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</si>
  <si>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</si>
  <si>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</si>
  <si>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</si>
  <si>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</si>
  <si>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</si>
  <si>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</si>
  <si>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</si>
  <si>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</si>
  <si>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</si>
  <si>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</si>
  <si>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</si>
  <si>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</si>
  <si>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</si>
  <si>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</si>
  <si>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</si>
  <si>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</si>
  <si>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</si>
  <si>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</si>
  <si>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</si>
  <si>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</si>
  <si>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</si>
  <si>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</si>
  <si>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</si>
  <si>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</si>
  <si>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</si>
  <si>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</si>
  <si>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</si>
  <si>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</si>
  <si>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</si>
  <si>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</si>
  <si>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</si>
  <si>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</si>
  <si>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</si>
  <si>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</si>
  <si>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</si>
  <si>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</si>
  <si>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</si>
  <si>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</si>
  <si>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</si>
  <si>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</si>
  <si>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</si>
  <si>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</si>
  <si>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</si>
  <si>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</si>
  <si>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</si>
  <si>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</si>
  <si>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</si>
  <si>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</si>
  <si>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</si>
  <si>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</si>
  <si>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</si>
  <si>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</si>
  <si>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</si>
  <si>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</si>
  <si>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</si>
  <si>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</si>
  <si>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</si>
  <si>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</si>
  <si>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</si>
  <si>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</si>
  <si>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</si>
  <si>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</si>
  <si>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</si>
  <si>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</si>
  <si>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</si>
  <si>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</si>
  <si>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</si>
  <si>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</si>
  <si>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</si>
  <si>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</si>
  <si>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</si>
  <si>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</si>
  <si>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</si>
  <si>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</si>
  <si>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</si>
  <si>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</si>
  <si>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</si>
  <si>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</si>
  <si>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</si>
  <si>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</si>
  <si>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</si>
  <si>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</si>
  <si>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</si>
  <si>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</si>
  <si>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</si>
  <si>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</si>
  <si>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</si>
  <si>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</si>
  <si>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</si>
  <si>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</si>
  <si>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</si>
  <si>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</si>
  <si>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</si>
  <si>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</si>
  <si>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</si>
  <si>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</si>
  <si>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</si>
  <si>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</si>
  <si>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</si>
  <si>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</si>
  <si>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</si>
  <si>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</si>
  <si>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</si>
  <si>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</si>
  <si>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</si>
  <si>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</si>
  <si>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</si>
  <si>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</si>
  <si>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</si>
  <si>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</si>
  <si>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</si>
  <si>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</si>
  <si>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</si>
  <si>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</si>
  <si>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</si>
  <si>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</si>
  <si>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</si>
  <si>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</si>
  <si>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</si>
  <si>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</si>
  <si>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</si>
  <si>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</si>
  <si>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</si>
  <si>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</si>
  <si>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</si>
  <si>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</si>
  <si>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</si>
  <si>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</si>
  <si>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</si>
  <si>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</si>
  <si>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</si>
  <si>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</si>
  <si>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</si>
  <si>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</si>
  <si>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</si>
  <si>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</si>
  <si>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</si>
  <si>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</si>
  <si>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</si>
  <si>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</si>
  <si>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</si>
  <si>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</si>
  <si>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</si>
  <si>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</si>
  <si>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</si>
  <si>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</si>
  <si>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</si>
  <si>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</si>
  <si>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</si>
  <si>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</si>
  <si>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</si>
  <si>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</si>
  <si>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</si>
  <si>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</si>
  <si>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</si>
  <si>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</si>
  <si>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</si>
  <si>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</si>
  <si>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</si>
  <si>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</si>
  <si>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</si>
  <si>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</si>
  <si>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</si>
  <si>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</si>
  <si>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</si>
  <si>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</si>
  <si>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</si>
  <si>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</si>
  <si>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</si>
  <si>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</si>
  <si>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</si>
  <si>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</si>
  <si>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</si>
  <si>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</si>
  <si>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</si>
  <si>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</si>
  <si>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</si>
  <si>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</si>
  <si>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</si>
  <si>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</si>
  <si>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</si>
  <si>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</si>
  <si>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</si>
  <si>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</si>
  <si>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</si>
  <si>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</si>
  <si>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</si>
  <si>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</si>
  <si>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</si>
  <si>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</si>
  <si>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</si>
  <si>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</si>
  <si>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</si>
  <si>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</si>
  <si>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</si>
  <si>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</si>
  <si>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</si>
  <si>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</si>
  <si>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</si>
  <si>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</si>
  <si>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</si>
  <si>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</si>
  <si>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</si>
  <si>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</si>
  <si>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</si>
  <si>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</si>
  <si>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</si>
  <si>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</si>
  <si>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</si>
  <si>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</si>
  <si>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</si>
  <si>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</si>
  <si>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</si>
  <si>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</si>
  <si>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</si>
  <si>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</si>
  <si>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</si>
  <si>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</si>
  <si>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</si>
  <si>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</si>
  <si>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</si>
  <si>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</si>
  <si>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</si>
  <si>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</si>
  <si>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</si>
  <si>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</si>
  <si>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</si>
  <si>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</si>
  <si>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</si>
  <si>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</si>
  <si>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</si>
  <si>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</si>
  <si>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</si>
  <si>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</si>
  <si>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</si>
  <si>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</si>
  <si>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</si>
  <si>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</si>
  <si>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</si>
  <si>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</si>
  <si>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</si>
  <si>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</si>
  <si>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</si>
  <si>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</si>
  <si>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</si>
  <si>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</si>
  <si>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</si>
  <si>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</si>
  <si>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</si>
  <si>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</si>
  <si>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</si>
  <si>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</si>
  <si>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</si>
  <si>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</si>
  <si>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</si>
  <si>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</si>
  <si>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</si>
  <si>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商业</t>
    <phoneticPr fontId="3" type="noConversion"/>
  </si>
  <si>
    <t>是</t>
  </si>
  <si>
    <t>地上</t>
  </si>
  <si>
    <t>商业</t>
    <phoneticPr fontId="7" type="noConversion"/>
  </si>
  <si>
    <t>建成时间</t>
    <phoneticPr fontId="3" type="noConversion"/>
  </si>
  <si>
    <t>直线</t>
    <phoneticPr fontId="3" type="noConversion"/>
  </si>
  <si>
    <t>观察</t>
    <phoneticPr fontId="3" type="noConversion"/>
  </si>
  <si>
    <t>买入价</t>
    <phoneticPr fontId="3" type="noConversion"/>
  </si>
  <si>
    <t>成新度</t>
  </si>
  <si>
    <t>首开富力十号国际</t>
    <phoneticPr fontId="3" type="noConversion"/>
  </si>
  <si>
    <t>挂牌</t>
  </si>
  <si>
    <t>挂牌</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</si>
  <si>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</si>
  <si>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</si>
  <si>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</si>
  <si>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</si>
  <si>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</si>
  <si>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</si>
  <si>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</si>
  <si>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t>
    <phoneticPr fontId="3" type="noConversion"/>
  </si>
  <si>
    <t>较多</t>
    <phoneticPr fontId="3" type="noConversion"/>
  </si>
  <si>
    <t>较少</t>
    <phoneticPr fontId="3" type="noConversion"/>
  </si>
  <si>
    <t>少</t>
    <phoneticPr fontId="3" type="noConversion"/>
  </si>
  <si>
    <t>一层</t>
    <phoneticPr fontId="3" type="noConversion"/>
  </si>
  <si>
    <t>一拖二</t>
    <phoneticPr fontId="3" type="noConversion"/>
  </si>
  <si>
    <t>二层</t>
    <phoneticPr fontId="3" type="noConversion"/>
  </si>
  <si>
    <t>地下一层</t>
    <phoneticPr fontId="3" type="noConversion"/>
  </si>
  <si>
    <t>商场</t>
    <phoneticPr fontId="3" type="noConversion"/>
  </si>
  <si>
    <t>底商</t>
    <phoneticPr fontId="3" type="noConversion"/>
  </si>
  <si>
    <t>钢</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</si>
  <si>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</si>
  <si>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</si>
  <si>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</si>
  <si>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</si>
  <si>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</si>
  <si>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</si>
  <si>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</si>
  <si>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</si>
  <si>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</si>
  <si>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</si>
  <si>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4.5米</t>
    <phoneticPr fontId="3" type="noConversion"/>
  </si>
  <si>
    <t>3米</t>
    <phoneticPr fontId="3" type="noConversion"/>
  </si>
  <si>
    <t>适宜</t>
    <phoneticPr fontId="3" type="noConversion"/>
  </si>
  <si>
    <t>较适宜</t>
    <phoneticPr fontId="3" type="noConversion"/>
  </si>
  <si>
    <t>较不适宜</t>
    <phoneticPr fontId="3" type="noConversion"/>
  </si>
  <si>
    <t>正常</t>
  </si>
  <si>
    <t>商业</t>
    <phoneticPr fontId="30" type="noConversion"/>
  </si>
  <si>
    <t>一般</t>
  </si>
  <si>
    <t>七通</t>
  </si>
  <si>
    <t>较好</t>
  </si>
  <si>
    <t>不临街</t>
  </si>
  <si>
    <t>单面临街</t>
  </si>
  <si>
    <t>一般</t>
    <phoneticPr fontId="30" type="noConversion"/>
  </si>
  <si>
    <t>较好</t>
    <phoneticPr fontId="30" type="noConversion"/>
  </si>
  <si>
    <t>一层</t>
  </si>
  <si>
    <t>较多</t>
  </si>
  <si>
    <t>钢</t>
  </si>
  <si>
    <t>普装</t>
  </si>
  <si>
    <t>可餐饮</t>
  </si>
  <si>
    <t>4.5米</t>
  </si>
  <si>
    <t>较适宜</t>
  </si>
  <si>
    <t>毛坯</t>
  </si>
  <si>
    <t>底商</t>
  </si>
  <si>
    <t>3米</t>
  </si>
  <si>
    <t>精装</t>
  </si>
  <si>
    <t>不可餐饮</t>
  </si>
  <si>
    <t>钢混</t>
  </si>
  <si>
    <t>六通</t>
  </si>
  <si>
    <t>金地中央世家</t>
    <phoneticPr fontId="30" type="noConversion"/>
  </si>
  <si>
    <t>顺鑫花语</t>
    <phoneticPr fontId="30" type="noConversion"/>
  </si>
  <si>
    <t>绿地启航国际</t>
    <phoneticPr fontId="30" type="noConversion"/>
  </si>
  <si>
    <t>单套模式</t>
  </si>
  <si>
    <t>售价</t>
  </si>
  <si>
    <t>非生产用房</t>
  </si>
  <si>
    <t>否</t>
  </si>
  <si>
    <t>押一</t>
  </si>
  <si>
    <t>收益法 (元)</t>
  </si>
  <si>
    <t>比较法-商业</t>
  </si>
  <si>
    <t>售价</t>
    <phoneticPr fontId="134" type="noConversion"/>
  </si>
  <si>
    <t>金地中央世家</t>
    <phoneticPr fontId="134" type="noConversion"/>
  </si>
  <si>
    <t>顺鑫花语</t>
    <phoneticPr fontId="134" type="noConversion"/>
  </si>
  <si>
    <t>绿地启航国际</t>
    <phoneticPr fontId="134" type="noConversion"/>
  </si>
  <si>
    <t>https://shangye.ke.com/bj/sp_buy/101115287427.html?tags=%E5%8F%AF%E6%98%8E%E7%81%AB%2C%E6%9C%89%E4%BE%9B%E6%9A%96%2C%E7%B2%BE%E8%A3%85%E4%BF%AE%2C%E5%8F%AF%E6%B3%A8%E5%86%8C%2C%E4%B8%8B%E6%B0%B4%2C%E4%B8%8A%E6%B0%B4%2C%E6%8E%92%E7%83%9F%E7%AE%A1%E9%81%93%2C220v</t>
  </si>
  <si>
    <t>https://shangye.ke.com/bj/sp_buy/101118844546.html?tags=%E6%9C%89%E4%BE%9B%E6%9A%96%2C%E5%8F%AF%E6%B3%A8%E5%86%8C%2C%E4%B8%8B%E6%B0%B4%2C%E4%B8%8A%E6%B0%B4%2C220v</t>
  </si>
  <si>
    <t>https://shangye.ke.com/bj/sp_buy/101116301589.html?tags=%E8%BF%91%E5%9C%B0%E9%93%81%2C%E6%9C%89%E4%BE%9B%E6%9A%96%2C%E5%8F%AF%E6%B3%A8%E5%86%8C%2C%E4%B8%8B%E6%B0%B4%2C%E4%B8%8A%E6%B0%B4%2C220v</t>
  </si>
  <si>
    <t>住总正华新国展满庭芳</t>
    <phoneticPr fontId="30" type="noConversion"/>
  </si>
  <si>
    <t>租金</t>
  </si>
  <si>
    <t>空港融慧园</t>
    <phoneticPr fontId="30" type="noConversion"/>
  </si>
  <si>
    <t>住总正华</t>
    <phoneticPr fontId="134" type="noConversion"/>
  </si>
  <si>
    <t>空港融慧园</t>
    <phoneticPr fontId="134" type="noConversion"/>
  </si>
  <si>
    <t>https://shangye.ke.com/bj/sp_rent/101123896050.html?tags=%E6%9C%89%E4%BE%9B%E6%9A%96%2C%E5%8F%AF%E6%B3%A8%E5%86%8C%2C%E4%B8%8B%E6%B0%B4%2C%E4%B8%8A%E6%B0%B4%2C380v</t>
  </si>
  <si>
    <t>https://shangye.ke.com/bj/sp_rent/101120211466.html?tags=%E8%BF%91%E5%9C%B0%E9%93%81%2C%E5%8F%AF%E6%98%8E%E7%81%AB%2C%E6%9C%89%E4%BE%9B%E6%9A%96%2C%E4%B8%8B%E6%B0%B4%2C%E4%B8%8A%E6%B0%B4%2C%E6%8E%92%E7%83%9F%E7%AE%A1%E9%81%93%2C%E5%AE%A2%E6%A2%AF%2C380v%2C%E7%AE%A1%E9%81%93%E7%85%A4%E6%B0%94</t>
  </si>
  <si>
    <t>https://shangye.ke.com/bj/sp_rent/101129716592.html?tags=%E8%BF%91%E5%9C%B0%E9%93%81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</si>
</sst>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9" fontId="44" fillId="0" borderId="54" xfId="0" applyNumberFormat="1"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8142</xdr:colOff>
      <xdr:row>21</xdr:row>
      <xdr:rowOff>47625</xdr:rowOff>
    </xdr:to>
    <xdr:pic>
      <xdr:nvPicPr>
        <xdr:cNvPr id="2" name="图片 1">
          <a:extLst>
            <a:ext uri="{FF2B5EF4-FFF2-40B4-BE49-F238E27FC236}">
              <a16:creationId xmlns:a16="http://schemas.microsoft.com/office/drawing/2014/main" id="{86B55B45-EAF0-4972-0D02-48477E1917D9}"/>
            </a:ext>
          </a:extLst>
        </xdr:cNvPr>
        <xdr:cNvPicPr>
          <a:picLocks noChangeAspect="1"/>
        </xdr:cNvPicPr>
      </xdr:nvPicPr>
      <xdr:blipFill>
        <a:blip xmlns:r="http://schemas.openxmlformats.org/officeDocument/2006/relationships" r:embed="rId1"/>
        <a:stretch>
          <a:fillRect/>
        </a:stretch>
      </xdr:blipFill>
      <xdr:spPr>
        <a:xfrm>
          <a:off x="0" y="0"/>
          <a:ext cx="7551942" cy="3648075"/>
        </a:xfrm>
        <a:prstGeom prst="rect">
          <a:avLst/>
        </a:prstGeom>
      </xdr:spPr>
    </xdr:pic>
    <xdr:clientData/>
  </xdr:twoCellAnchor>
  <xdr:twoCellAnchor editAs="oneCell">
    <xdr:from>
      <xdr:col>0</xdr:col>
      <xdr:colOff>0</xdr:colOff>
      <xdr:row>20</xdr:row>
      <xdr:rowOff>76200</xdr:rowOff>
    </xdr:from>
    <xdr:to>
      <xdr:col>11</xdr:col>
      <xdr:colOff>24444</xdr:colOff>
      <xdr:row>41</xdr:row>
      <xdr:rowOff>94546</xdr:rowOff>
    </xdr:to>
    <xdr:pic>
      <xdr:nvPicPr>
        <xdr:cNvPr id="3" name="图片 2">
          <a:extLst>
            <a:ext uri="{FF2B5EF4-FFF2-40B4-BE49-F238E27FC236}">
              <a16:creationId xmlns:a16="http://schemas.microsoft.com/office/drawing/2014/main" id="{7078683E-ADA5-E3B6-923F-6D943EE45D90}"/>
            </a:ext>
          </a:extLst>
        </xdr:cNvPr>
        <xdr:cNvPicPr>
          <a:picLocks noChangeAspect="1"/>
        </xdr:cNvPicPr>
      </xdr:nvPicPr>
      <xdr:blipFill>
        <a:blip xmlns:r="http://schemas.openxmlformats.org/officeDocument/2006/relationships" r:embed="rId2"/>
        <a:stretch>
          <a:fillRect/>
        </a:stretch>
      </xdr:blipFill>
      <xdr:spPr>
        <a:xfrm>
          <a:off x="0" y="3505200"/>
          <a:ext cx="7568244" cy="3618796"/>
        </a:xfrm>
        <a:prstGeom prst="rect">
          <a:avLst/>
        </a:prstGeom>
      </xdr:spPr>
    </xdr:pic>
    <xdr:clientData/>
  </xdr:twoCellAnchor>
  <xdr:twoCellAnchor editAs="oneCell">
    <xdr:from>
      <xdr:col>0</xdr:col>
      <xdr:colOff>0</xdr:colOff>
      <xdr:row>41</xdr:row>
      <xdr:rowOff>95250</xdr:rowOff>
    </xdr:from>
    <xdr:to>
      <xdr:col>11</xdr:col>
      <xdr:colOff>31071</xdr:colOff>
      <xdr:row>63</xdr:row>
      <xdr:rowOff>95250</xdr:rowOff>
    </xdr:to>
    <xdr:pic>
      <xdr:nvPicPr>
        <xdr:cNvPr id="4" name="图片 3">
          <a:extLst>
            <a:ext uri="{FF2B5EF4-FFF2-40B4-BE49-F238E27FC236}">
              <a16:creationId xmlns:a16="http://schemas.microsoft.com/office/drawing/2014/main" id="{88C27059-47B6-4D23-A81D-9D49370779F9}"/>
            </a:ext>
          </a:extLst>
        </xdr:cNvPr>
        <xdr:cNvPicPr>
          <a:picLocks noChangeAspect="1"/>
        </xdr:cNvPicPr>
      </xdr:nvPicPr>
      <xdr:blipFill>
        <a:blip xmlns:r="http://schemas.openxmlformats.org/officeDocument/2006/relationships" r:embed="rId3"/>
        <a:stretch>
          <a:fillRect/>
        </a:stretch>
      </xdr:blipFill>
      <xdr:spPr>
        <a:xfrm>
          <a:off x="0" y="7124700"/>
          <a:ext cx="7574871" cy="3771900"/>
        </a:xfrm>
        <a:prstGeom prst="rect">
          <a:avLst/>
        </a:prstGeom>
      </xdr:spPr>
    </xdr:pic>
    <xdr:clientData/>
  </xdr:twoCellAnchor>
  <xdr:twoCellAnchor editAs="oneCell">
    <xdr:from>
      <xdr:col>0</xdr:col>
      <xdr:colOff>0</xdr:colOff>
      <xdr:row>62</xdr:row>
      <xdr:rowOff>38100</xdr:rowOff>
    </xdr:from>
    <xdr:to>
      <xdr:col>12</xdr:col>
      <xdr:colOff>961881</xdr:colOff>
      <xdr:row>100</xdr:row>
      <xdr:rowOff>75343</xdr:rowOff>
    </xdr:to>
    <xdr:pic>
      <xdr:nvPicPr>
        <xdr:cNvPr id="5" name="图片 4">
          <a:extLst>
            <a:ext uri="{FF2B5EF4-FFF2-40B4-BE49-F238E27FC236}">
              <a16:creationId xmlns:a16="http://schemas.microsoft.com/office/drawing/2014/main" id="{265511A9-DF17-C313-AD94-B9F3FD04F55A}"/>
            </a:ext>
          </a:extLst>
        </xdr:cNvPr>
        <xdr:cNvPicPr>
          <a:picLocks noChangeAspect="1"/>
        </xdr:cNvPicPr>
      </xdr:nvPicPr>
      <xdr:blipFill>
        <a:blip xmlns:r="http://schemas.openxmlformats.org/officeDocument/2006/relationships" r:embed="rId4"/>
        <a:stretch>
          <a:fillRect/>
        </a:stretch>
      </xdr:blipFill>
      <xdr:spPr>
        <a:xfrm>
          <a:off x="0" y="10668000"/>
          <a:ext cx="9191481" cy="6552343"/>
        </a:xfrm>
        <a:prstGeom prst="rect">
          <a:avLst/>
        </a:prstGeom>
      </xdr:spPr>
    </xdr:pic>
    <xdr:clientData/>
  </xdr:twoCellAnchor>
  <xdr:twoCellAnchor>
    <xdr:from>
      <xdr:col>2</xdr:col>
      <xdr:colOff>666750</xdr:colOff>
      <xdr:row>68</xdr:row>
      <xdr:rowOff>123825</xdr:rowOff>
    </xdr:from>
    <xdr:to>
      <xdr:col>3</xdr:col>
      <xdr:colOff>381000</xdr:colOff>
      <xdr:row>71</xdr:row>
      <xdr:rowOff>9525</xdr:rowOff>
    </xdr:to>
    <xdr:sp macro="" textlink="">
      <xdr:nvSpPr>
        <xdr:cNvPr id="6" name="星形: 五角 5">
          <a:extLst>
            <a:ext uri="{FF2B5EF4-FFF2-40B4-BE49-F238E27FC236}">
              <a16:creationId xmlns:a16="http://schemas.microsoft.com/office/drawing/2014/main" id="{2D6CBA6F-AD48-2B05-20EA-4635F4A615E9}"/>
            </a:ext>
          </a:extLst>
        </xdr:cNvPr>
        <xdr:cNvSpPr/>
      </xdr:nvSpPr>
      <xdr:spPr>
        <a:xfrm>
          <a:off x="2038350" y="11782425"/>
          <a:ext cx="400050" cy="40005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46597</xdr:colOff>
      <xdr:row>20</xdr:row>
      <xdr:rowOff>76200</xdr:rowOff>
    </xdr:to>
    <xdr:pic>
      <xdr:nvPicPr>
        <xdr:cNvPr id="2" name="图片 1">
          <a:extLst>
            <a:ext uri="{FF2B5EF4-FFF2-40B4-BE49-F238E27FC236}">
              <a16:creationId xmlns:a16="http://schemas.microsoft.com/office/drawing/2014/main" id="{3EEC7189-3C18-E556-6949-773AA22EE23A}"/>
            </a:ext>
          </a:extLst>
        </xdr:cNvPr>
        <xdr:cNvPicPr>
          <a:picLocks noChangeAspect="1"/>
        </xdr:cNvPicPr>
      </xdr:nvPicPr>
      <xdr:blipFill>
        <a:blip xmlns:r="http://schemas.openxmlformats.org/officeDocument/2006/relationships" r:embed="rId1"/>
        <a:stretch>
          <a:fillRect/>
        </a:stretch>
      </xdr:blipFill>
      <xdr:spPr>
        <a:xfrm>
          <a:off x="0" y="0"/>
          <a:ext cx="7590397" cy="3505200"/>
        </a:xfrm>
        <a:prstGeom prst="rect">
          <a:avLst/>
        </a:prstGeom>
      </xdr:spPr>
    </xdr:pic>
    <xdr:clientData/>
  </xdr:twoCellAnchor>
  <xdr:twoCellAnchor editAs="oneCell">
    <xdr:from>
      <xdr:col>0</xdr:col>
      <xdr:colOff>0</xdr:colOff>
      <xdr:row>20</xdr:row>
      <xdr:rowOff>47625</xdr:rowOff>
    </xdr:from>
    <xdr:to>
      <xdr:col>10</xdr:col>
      <xdr:colOff>676209</xdr:colOff>
      <xdr:row>41</xdr:row>
      <xdr:rowOff>94543</xdr:rowOff>
    </xdr:to>
    <xdr:pic>
      <xdr:nvPicPr>
        <xdr:cNvPr id="3" name="图片 2">
          <a:extLst>
            <a:ext uri="{FF2B5EF4-FFF2-40B4-BE49-F238E27FC236}">
              <a16:creationId xmlns:a16="http://schemas.microsoft.com/office/drawing/2014/main" id="{942F4A00-9207-024F-32D7-4D2C78782AE1}"/>
            </a:ext>
          </a:extLst>
        </xdr:cNvPr>
        <xdr:cNvPicPr>
          <a:picLocks noChangeAspect="1"/>
        </xdr:cNvPicPr>
      </xdr:nvPicPr>
      <xdr:blipFill>
        <a:blip xmlns:r="http://schemas.openxmlformats.org/officeDocument/2006/relationships" r:embed="rId2"/>
        <a:stretch>
          <a:fillRect/>
        </a:stretch>
      </xdr:blipFill>
      <xdr:spPr>
        <a:xfrm>
          <a:off x="0" y="3476625"/>
          <a:ext cx="7534209" cy="3647368"/>
        </a:xfrm>
        <a:prstGeom prst="rect">
          <a:avLst/>
        </a:prstGeom>
      </xdr:spPr>
    </xdr:pic>
    <xdr:clientData/>
  </xdr:twoCellAnchor>
  <xdr:twoCellAnchor editAs="oneCell">
    <xdr:from>
      <xdr:col>0</xdr:col>
      <xdr:colOff>0</xdr:colOff>
      <xdr:row>41</xdr:row>
      <xdr:rowOff>95250</xdr:rowOff>
    </xdr:from>
    <xdr:to>
      <xdr:col>11</xdr:col>
      <xdr:colOff>2551</xdr:colOff>
      <xdr:row>61</xdr:row>
      <xdr:rowOff>123168</xdr:rowOff>
    </xdr:to>
    <xdr:pic>
      <xdr:nvPicPr>
        <xdr:cNvPr id="4" name="图片 3">
          <a:extLst>
            <a:ext uri="{FF2B5EF4-FFF2-40B4-BE49-F238E27FC236}">
              <a16:creationId xmlns:a16="http://schemas.microsoft.com/office/drawing/2014/main" id="{8D4A41CF-DA73-0C6F-E1E7-BEEA81BED2FB}"/>
            </a:ext>
          </a:extLst>
        </xdr:cNvPr>
        <xdr:cNvPicPr>
          <a:picLocks noChangeAspect="1"/>
        </xdr:cNvPicPr>
      </xdr:nvPicPr>
      <xdr:blipFill>
        <a:blip xmlns:r="http://schemas.openxmlformats.org/officeDocument/2006/relationships" r:embed="rId3"/>
        <a:stretch>
          <a:fillRect/>
        </a:stretch>
      </xdr:blipFill>
      <xdr:spPr>
        <a:xfrm>
          <a:off x="0" y="7124700"/>
          <a:ext cx="7546351" cy="34569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7983;&#35272;&#22120;&#19979;&#36733;\2024-1-0520-F01&#39318;&#24320;&#23500;&#21147;&#21313;&#21495;&#22269;&#38469;-&#25151;&#40527;&#20030;-&#20108;&#23457;-&#23828;&#38196;20240620-142030.xlsx" TargetMode="External"/><Relationship Id="rId1" Type="http://schemas.openxmlformats.org/officeDocument/2006/relationships/externalLinkPath" Target="file:///E:\&#27983;&#35272;&#22120;&#19979;&#36733;\2024-1-0520-F01&#39318;&#24320;&#23500;&#21147;&#21313;&#21495;&#22269;&#38469;-&#25151;&#40527;&#20030;-&#20108;&#23457;-&#23828;&#38196;20240620-142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基准地价修正"/>
      <sheetName val="比较法-租金"/>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1">
          <cell r="E31">
            <v>583.70000000000005</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C2">
            <v>157.41</v>
          </cell>
        </row>
        <row r="3">
          <cell r="C3">
            <v>26.5</v>
          </cell>
        </row>
        <row r="4">
          <cell r="C4">
            <v>363.38</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估价对象为北京市房地产，为所有。根据《国有土地使用证》[]，估价对象（分摊）出让国有建设用地使用权面积为0平方米，建筑面积为583.7平方米。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估价对象为北京市房地产,属开发建设的，该项目尚在开发建设中。根据《国有土地使用证》[]，估价对象（分摊）出让国有建设用地使用权面积为0平方米，规划建筑面积为583.7平方米。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2025年6月6日（评估专业人员实地查勘之日）</v>
      </c>
    </row>
    <row r="13" spans="1:2">
      <c r="A13" s="1119" t="s">
        <v>529</v>
      </c>
      <c r="B13" s="1120"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583.70000000000005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21" t="s">
        <v>2571</v>
      </c>
      <c r="J2" s="3221"/>
      <c r="K2" s="3221"/>
      <c r="L2" s="3221"/>
      <c r="M2" s="3221"/>
      <c r="N2" s="3221"/>
      <c r="O2" s="3221"/>
      <c r="P2" s="3221"/>
      <c r="Q2" s="3221"/>
      <c r="R2" s="3221"/>
    </row>
    <row r="3" spans="1:18">
      <c r="A3" s="2763" t="s">
        <v>2492</v>
      </c>
      <c r="B3" s="2764">
        <f>项目基本情况!D3</f>
        <v>45814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1.53</v>
      </c>
      <c r="D5" s="2768">
        <f>IF(ISERROR(ROUND(POWER(1+E5,A5-C5)*(POWER(1+E5,C5)-1)/(POWER(1+E5,A5)-1),3)),0,ROUND(POWER(1+E5,A5-C5)*(POWER(1+E5,C5)-1)/(POWER(1+E5,A5)-1),4))</f>
        <v>7.3599999999999999E-2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11.54</v>
      </c>
      <c r="D6" s="2768">
        <f>IF(ISERROR(ROUND(POWER(1+E6,A6-C6)*(POWER(1+E6,C6)-1)/(POWER(1+E6,A6)-1),3)),0,ROUND(POWER(1+E6,A6-C6)*(POWER(1+E6,C6)-1)/(POWER(1+E6,A6)-1),4))</f>
        <v>0.42359999999999998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31.55</v>
      </c>
      <c r="D7" s="2768">
        <f>IF(ISERROR(ROUND(POWER(1+E7,A7-C7)*(POWER(1+E7,C7)-1)/(POWER(1+E7,A7)-1),3)),0,ROUND(POWER(1+E7,A7-C7)*(POWER(1+E7,C7)-1)/(POWER(1+E7,A7)-1),4))</f>
        <v>0.75860000000000005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45814</v>
      </c>
      <c r="C3" s="2186" t="s">
        <v>2171</v>
      </c>
      <c r="D3" s="2185">
        <f>B3</f>
        <v>45814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32"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33"/>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57504</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32.020000000000003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9"/>
      <c r="C16" s="3240"/>
      <c r="D16" s="3241"/>
      <c r="E16" s="2222" t="s">
        <v>2194</v>
      </c>
      <c r="F16" s="3242"/>
      <c r="G16" s="3243"/>
      <c r="H16" s="3243"/>
      <c r="I16" s="3244"/>
      <c r="J16" s="2245"/>
      <c r="K16" s="2403"/>
      <c r="L16" s="1670"/>
      <c r="M16" s="1670"/>
      <c r="N16" s="2245"/>
      <c r="O16" s="1670"/>
      <c r="P16" s="2245"/>
      <c r="Q16" s="2245"/>
      <c r="R16" s="2245"/>
    </row>
    <row r="17" spans="1:28">
      <c r="A17" s="305" t="s">
        <v>2195</v>
      </c>
      <c r="B17" s="294" t="s">
        <v>2196</v>
      </c>
      <c r="C17" s="8">
        <f>'数据-汇总表'!E3</f>
        <v>583.70000000000005</v>
      </c>
      <c r="D17" s="1256" t="s">
        <v>2197</v>
      </c>
      <c r="E17" s="3245" t="s">
        <v>2198</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8" t="s">
        <v>2202</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5" t="s">
        <v>2206</v>
      </c>
      <c r="C20" s="3236"/>
      <c r="D20" s="3237" t="s">
        <v>2207</v>
      </c>
      <c r="E20" s="3238"/>
      <c r="F20" s="2430" t="s">
        <v>1056</v>
      </c>
      <c r="G20" s="2442"/>
      <c r="H20" s="2442"/>
      <c r="I20" s="2442"/>
      <c r="J20" s="2245"/>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2218</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5"/>
      <c r="V34" s="2245"/>
    </row>
    <row r="35" spans="1:30">
      <c r="A35" s="2236"/>
      <c r="B35" s="3222" t="s">
        <v>2229</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583.70000000000005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583.70000000000005</v>
      </c>
      <c r="H5" s="13">
        <f t="shared" ref="H5:AT5" si="0">SUM(H13:H656)</f>
        <v>583.70000000000005</v>
      </c>
      <c r="I5" s="13">
        <f t="shared" si="0"/>
        <v>583.70000000000005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583.70000000000005</v>
      </c>
      <c r="BA5" s="15">
        <f t="shared" si="1"/>
        <v>583.70000000000005</v>
      </c>
      <c r="BB5" s="15">
        <f t="shared" si="1"/>
        <v>583.70000000000005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3407</v>
      </c>
      <c r="D13" s="1513" t="s">
        <v>3408</v>
      </c>
      <c r="E13" s="13">
        <f>IF($C$3="是",ROUND($A$3*G13/$B$3,2),ROUND($A$3*(G13-AT13)/$B$3,2))</f>
        <v>0</v>
      </c>
      <c r="F13" s="29"/>
      <c r="G13" s="30">
        <f>H13+AC13+AT13</f>
        <v>583.70000000000005</v>
      </c>
      <c r="H13" s="17">
        <f>SUMIF(I$12:AB$12,"总值",I13:AB13)</f>
        <v>583.70000000000005</v>
      </c>
      <c r="I13" s="1514">
        <v>583.70000000000005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583.70000000000005</v>
      </c>
      <c r="BA13" s="13">
        <f>SUM(BB13:BK13)</f>
        <v>583.70000000000005</v>
      </c>
      <c r="BB13" s="13">
        <f>IF($D13="是",I13-J13,0)</f>
        <v>583.70000000000005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0" t="s">
        <v>1131</v>
      </c>
      <c r="B2" s="3260"/>
      <c r="C2" s="3260"/>
      <c r="D2" s="748" t="s">
        <v>1107</v>
      </c>
      <c r="E2" s="1523" t="s">
        <v>1108</v>
      </c>
      <c r="F2" s="2439"/>
      <c r="G2" s="2432"/>
      <c r="H2" s="2433"/>
      <c r="I2" s="2146" t="s">
        <v>1132</v>
      </c>
      <c r="J2" s="2439"/>
      <c r="K2" s="2439"/>
      <c r="L2" s="2439"/>
      <c r="M2" s="2439"/>
      <c r="N2" s="2440"/>
      <c r="O2" s="2439"/>
      <c r="P2" s="2439"/>
    </row>
    <row r="3" spans="1:16" ht="15.75" thickBot="1">
      <c r="A3" s="3261" t="s">
        <v>1105</v>
      </c>
      <c r="B3" s="3261"/>
      <c r="C3" s="3261"/>
      <c r="D3" s="41">
        <f>'数据-基础表'!AY6</f>
        <v>0</v>
      </c>
      <c r="E3" s="41">
        <f>'数据-基础表'!AZ5</f>
        <v>583.70000000000005</v>
      </c>
      <c r="F3" s="2439"/>
      <c r="G3" s="42"/>
      <c r="H3" s="43" t="s">
        <v>1106</v>
      </c>
      <c r="I3" s="802" t="e">
        <f>ROUND('数据-基础表'!B3/'数据-基础表'!A3,2)</f>
        <v>#DIV/0!</v>
      </c>
      <c r="J3" s="2439"/>
      <c r="K3" s="2439"/>
      <c r="L3" s="2439"/>
      <c r="M3" s="2439"/>
      <c r="N3" s="2440"/>
      <c r="O3" s="2439"/>
      <c r="P3" s="2439"/>
    </row>
    <row r="4" spans="1:16" ht="15">
      <c r="A4" s="3262"/>
      <c r="B4" s="3263"/>
      <c r="C4" s="326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5" t="s">
        <v>1110</v>
      </c>
      <c r="C5" s="326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5" t="s">
        <v>1111</v>
      </c>
      <c r="C6" s="3265"/>
      <c r="D6" s="43">
        <f>ROUND($D$3*E6/$E$3,2)</f>
        <v>0</v>
      </c>
      <c r="E6" s="44">
        <f>E3-E5</f>
        <v>583.70000000000005</v>
      </c>
      <c r="F6" s="2439"/>
      <c r="G6" s="1529" t="s">
        <v>1112</v>
      </c>
      <c r="H6" s="45" t="s">
        <v>1113</v>
      </c>
      <c r="I6" s="2435" t="e">
        <f>ROUND(F31/D31,2)</f>
        <v>#DIV/0!</v>
      </c>
      <c r="J6" s="2439"/>
      <c r="K6" s="2439"/>
      <c r="L6" s="2439"/>
      <c r="M6" s="2439"/>
      <c r="N6" s="2439"/>
      <c r="O6" s="2439"/>
      <c r="P6" s="2439"/>
    </row>
    <row r="7" spans="1:16" ht="15.75" thickBot="1">
      <c r="A7" s="3257"/>
      <c r="B7" s="3258"/>
      <c r="C7" s="325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583.70000000000005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583.70000000000005</v>
      </c>
      <c r="F16" s="2439"/>
      <c r="G16" s="2439"/>
      <c r="H16" s="1531" t="s">
        <v>1135</v>
      </c>
      <c r="I16" s="1532"/>
      <c r="J16" s="1071"/>
      <c r="K16" s="3254" t="s">
        <v>1135</v>
      </c>
      <c r="L16" s="3255"/>
      <c r="M16" s="3255"/>
      <c r="N16" s="3255"/>
      <c r="O16" s="3255"/>
      <c r="P16" s="3256"/>
    </row>
    <row r="17" spans="1:19" ht="15">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3410</v>
      </c>
      <c r="D19" s="43">
        <f>ROUND($D$3*E19/$E$3,2)</f>
        <v>0</v>
      </c>
      <c r="E19" s="51">
        <f t="shared" ref="E19:E26" si="1">SUM(F19:G19)</f>
        <v>583.70000000000005</v>
      </c>
      <c r="F19" s="2558">
        <f>'数据-基础表'!I13</f>
        <v>583.70000000000005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583.70000000000005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583.70000000000005</v>
      </c>
      <c r="F27" s="1072">
        <f>IF(SUM(F19:F26)=E8,SUM(F19:F26),"地上面积有误")</f>
        <v>583.70000000000005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583.70000000000005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583.70000000000005</v>
      </c>
      <c r="F31" s="644">
        <f>F27+F30</f>
        <v>583.70000000000005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U15" sqref="U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57504</v>
      </c>
      <c r="F6" s="61">
        <f>SUMIF(项目基本情况!C$12:I$12,C6,项目基本情况!C$15:I$15)</f>
        <v>32.020000000000003</v>
      </c>
      <c r="G6" s="62">
        <f>IF(ISERROR(ROUND(POWER(1+H6,D6-F6)*(POWER(1+H6,F6)-1)/(POWER(1+H6,D6)-1),3)),0,ROUND(POWER(1+H6,D6-F6)*(POWER(1+H6,F6)-1)/(POWER(1+H6,D6)-1),3))</f>
        <v>0.92100000000000004</v>
      </c>
      <c r="H6" s="691">
        <v>0.05</v>
      </c>
      <c r="I6" s="691">
        <v>5.5E-2</v>
      </c>
      <c r="J6" s="63">
        <v>7.0000000000000007E-2</v>
      </c>
      <c r="K6" s="970">
        <f>SUMIF('数据-汇总表'!C$19:C$33,A6,'数据-汇总表'!E$19:E$33)</f>
        <v>583.70000000000005</v>
      </c>
      <c r="L6" s="692">
        <v>4000</v>
      </c>
      <c r="M6" s="64">
        <f t="shared" ref="M6:M14" si="0">ROUND(K6*L6/10000,0)</f>
        <v>233</v>
      </c>
      <c r="N6" s="690">
        <f>O21</f>
        <v>0.96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'租金比较法-商业'!C49</f>
        <v>3</v>
      </c>
      <c r="V6" s="67">
        <v>0.02</v>
      </c>
      <c r="W6" s="67">
        <v>0.1</v>
      </c>
      <c r="X6" s="979"/>
      <c r="Y6" s="68">
        <f>N6</f>
        <v>0.96</v>
      </c>
      <c r="Z6" s="69"/>
      <c r="AA6" s="63"/>
      <c r="AB6" s="63"/>
      <c r="AC6" s="979"/>
      <c r="AD6" s="70"/>
      <c r="AE6" s="980">
        <f ca="1">IF(AN6="",0,SUMIF(INDIRECT("'"&amp;AN6&amp;"'"&amp;"!E:E"),$AE$5,INDIRECT("'"&amp;AN6&amp;"'"&amp;"!F:F")))</f>
        <v>32.020000000000003</v>
      </c>
      <c r="AF6" s="74"/>
      <c r="AG6" s="130">
        <f>IF(AF6="",0,AE6-AF6)</f>
        <v>0</v>
      </c>
      <c r="AH6" s="71"/>
      <c r="AI6" s="73">
        <v>365</v>
      </c>
      <c r="AJ6" s="74"/>
      <c r="AK6" s="75">
        <v>2E-3</v>
      </c>
      <c r="AL6" s="76">
        <v>1E-3</v>
      </c>
      <c r="AM6" s="77">
        <v>0.01</v>
      </c>
      <c r="AN6" s="1589" t="s">
        <v>3483</v>
      </c>
      <c r="AO6" s="50">
        <f ca="1">SUMIF(INDIRECT("'"&amp;AN6&amp;"'"&amp;"!A:A"),"总价",INDIRECT("'"&amp;AN6&amp;"'"&amp;"!B:B"))</f>
        <v>890.45699999999999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0.92100000000000004</v>
      </c>
      <c r="H16" s="84">
        <f>ROUND(SUMPRODUCT(H6:H13,K6:K13)/SUMPRODUCT((H6:H13&gt;0)*(K6:K13)),3)</f>
        <v>0.05</v>
      </c>
      <c r="I16" s="85"/>
      <c r="J16" s="85"/>
      <c r="K16" s="86">
        <f>SUM(K6:K15)</f>
        <v>583.70000000000005</v>
      </c>
      <c r="L16" s="87">
        <f>ROUND(M16*10000/SUM(K6:K14),0)</f>
        <v>3992</v>
      </c>
      <c r="M16" s="87">
        <f>SUM(M6:M14)</f>
        <v>233</v>
      </c>
      <c r="N16" s="88">
        <f>ROUND(SUMPRODUCT(M6:M14,N6:N14)/M16,3)</f>
        <v>0.96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3164" t="s">
        <v>3411</v>
      </c>
      <c r="O18" s="2449">
        <v>2023</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3165" t="s">
        <v>3414</v>
      </c>
      <c r="K19" s="2450">
        <f>ROUND((7500000+7560000)/'数据-汇总表'!E31,2)</f>
        <v>25800.93</v>
      </c>
      <c r="L19" s="2450"/>
      <c r="M19" s="2449"/>
      <c r="N19" s="3164" t="s">
        <v>3412</v>
      </c>
      <c r="O19" s="2449">
        <f>ROUND(1-(1-0%)*(2025-O18)/60,2)</f>
        <v>0.97</v>
      </c>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3164" t="s">
        <v>3413</v>
      </c>
      <c r="O20" s="2449">
        <v>0.95</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164" t="s">
        <v>458</v>
      </c>
      <c r="O21" s="2449">
        <f>ROUND((O19+O20)/2,2)</f>
        <v>0.96</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(元)'!C10/10000</f>
        <v>11.673999999999999</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2277</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3" sqref="K1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583.70000000000005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1450.261</v>
      </c>
      <c r="C5" s="2300">
        <f ca="1">IF(B5=D14,结果表!H102,ROUND(B5*10000/$B$1,0))</f>
        <v>0</v>
      </c>
      <c r="D5" s="2300" t="e">
        <f ca="1">ROUND(B5*10000/$B$2,0)</f>
        <v>#DIV/0!</v>
      </c>
      <c r="E5" s="2462"/>
      <c r="F5" s="2463"/>
      <c r="G5" s="2463"/>
      <c r="H5" s="2463"/>
      <c r="I5" s="2463"/>
      <c r="J5" s="2463"/>
      <c r="K5" s="2463"/>
    </row>
    <row r="6" spans="1:11" ht="16.5">
      <c r="A6" s="2300" t="s">
        <v>656</v>
      </c>
      <c r="B6" s="2300">
        <f ca="1">SUM(G14:G23)</f>
        <v>1450.261</v>
      </c>
      <c r="C6" s="2300">
        <f ca="1">IF(B6=G14,结果表!H108,ROUND(B6*10000/$B$1,0))</f>
        <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583.70000000000005</v>
      </c>
      <c r="C14" s="2306"/>
      <c r="D14" s="2306">
        <f ca="1">结果表!I19/10000</f>
        <v>1450.261</v>
      </c>
      <c r="E14" s="2306">
        <f ca="1">ROUND(D14*10000/B14,0)</f>
        <v>24846</v>
      </c>
      <c r="F14" s="2306" t="e">
        <f ca="1">ROUND(D14*10000/C14,0)</f>
        <v>#DIV/0!</v>
      </c>
      <c r="G14" s="2306">
        <f ca="1">D14</f>
        <v>1450.261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2" t="str">
        <f>项目基本情况!S2</f>
        <v>北京市房地产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4" t="s">
        <v>1265</v>
      </c>
      <c r="B4" s="1625" t="s">
        <v>1266</v>
      </c>
      <c r="C4" s="1626" t="s">
        <v>3484</v>
      </c>
      <c r="D4" s="1626" t="s">
        <v>3483</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269">
        <v>25</v>
      </c>
      <c r="C5" s="3285"/>
      <c r="D5" s="3305"/>
      <c r="E5" s="123" t="s">
        <v>1269</v>
      </c>
      <c r="F5" s="1627"/>
      <c r="G5" s="1627"/>
      <c r="H5" s="1627"/>
      <c r="I5" s="1281"/>
    </row>
    <row r="6" spans="1:12" ht="12.75">
      <c r="A6" s="3282"/>
      <c r="B6" s="3269"/>
      <c r="C6" s="3286"/>
      <c r="D6" s="3305"/>
      <c r="E6" s="123" t="s">
        <v>1270</v>
      </c>
      <c r="F6" s="1627"/>
      <c r="G6" s="1627"/>
      <c r="H6" s="1627"/>
      <c r="I6" s="1281"/>
    </row>
    <row r="7" spans="1:12" ht="12.75">
      <c r="A7" s="3282"/>
      <c r="B7" s="3269"/>
      <c r="C7" s="3287"/>
      <c r="D7" s="3305"/>
      <c r="E7" s="123" t="s">
        <v>1271</v>
      </c>
      <c r="F7" s="1627"/>
      <c r="G7" s="1627"/>
      <c r="H7" s="1627"/>
      <c r="I7" s="1281"/>
    </row>
    <row r="8" spans="1:12" ht="12.75">
      <c r="A8" s="3282" t="s">
        <v>1272</v>
      </c>
      <c r="B8" s="3269">
        <v>15</v>
      </c>
      <c r="C8" s="3285"/>
      <c r="D8" s="3305"/>
      <c r="E8" s="123" t="s">
        <v>1273</v>
      </c>
      <c r="F8" s="1627"/>
      <c r="G8" s="1627"/>
      <c r="H8" s="1627"/>
      <c r="I8" s="1281"/>
    </row>
    <row r="9" spans="1:12" ht="12.75">
      <c r="A9" s="3282"/>
      <c r="B9" s="3269"/>
      <c r="C9" s="3287"/>
      <c r="D9" s="3305"/>
      <c r="E9" s="123" t="s">
        <v>1274</v>
      </c>
      <c r="F9" s="1627"/>
      <c r="G9" s="1627"/>
      <c r="H9" s="1627"/>
      <c r="I9" s="1281"/>
    </row>
    <row r="10" spans="1:12" ht="12.75">
      <c r="A10" s="3282" t="s">
        <v>1275</v>
      </c>
      <c r="B10" s="3269">
        <v>15</v>
      </c>
      <c r="C10" s="3285"/>
      <c r="D10" s="3305"/>
      <c r="E10" s="123" t="s">
        <v>1276</v>
      </c>
      <c r="F10" s="1627"/>
      <c r="G10" s="1627"/>
      <c r="H10" s="1627"/>
      <c r="I10" s="1281"/>
    </row>
    <row r="11" spans="1:12" ht="12.75">
      <c r="A11" s="3282"/>
      <c r="B11" s="3269"/>
      <c r="C11" s="3287"/>
      <c r="D11" s="3305"/>
      <c r="E11" s="123" t="s">
        <v>1277</v>
      </c>
      <c r="F11" s="1627"/>
      <c r="G11" s="1627"/>
      <c r="H11" s="1627"/>
      <c r="I11" s="1281"/>
    </row>
    <row r="12" spans="1:12" ht="12.75">
      <c r="A12" s="3282" t="s">
        <v>1278</v>
      </c>
      <c r="B12" s="3269">
        <v>15</v>
      </c>
      <c r="C12" s="3285"/>
      <c r="D12" s="3305"/>
      <c r="E12" s="123" t="s">
        <v>1279</v>
      </c>
      <c r="F12" s="1627"/>
      <c r="G12" s="1627"/>
      <c r="H12" s="1627"/>
      <c r="I12" s="1281"/>
    </row>
    <row r="13" spans="1:12" ht="12.75">
      <c r="A13" s="3282"/>
      <c r="B13" s="3269"/>
      <c r="C13" s="3287"/>
      <c r="D13" s="3305"/>
      <c r="E13" s="123" t="s">
        <v>1280</v>
      </c>
      <c r="F13" s="1627"/>
      <c r="G13" s="1627"/>
      <c r="H13" s="1627"/>
      <c r="I13" s="1281"/>
    </row>
    <row r="14" spans="1:12" ht="12.75">
      <c r="A14" s="3282" t="s">
        <v>1281</v>
      </c>
      <c r="B14" s="3269">
        <v>30</v>
      </c>
      <c r="C14" s="3285">
        <v>7</v>
      </c>
      <c r="D14" s="3305">
        <v>3</v>
      </c>
      <c r="E14" s="123" t="s">
        <v>1282</v>
      </c>
      <c r="F14" s="1627"/>
      <c r="G14" s="1627"/>
      <c r="H14" s="1627"/>
      <c r="I14" s="1281"/>
    </row>
    <row r="15" spans="1:12" ht="12.75">
      <c r="A15" s="3282"/>
      <c r="B15" s="3269"/>
      <c r="C15" s="3286"/>
      <c r="D15" s="3305"/>
      <c r="E15" s="123" t="s">
        <v>1283</v>
      </c>
      <c r="F15" s="1627"/>
      <c r="G15" s="1627"/>
      <c r="H15" s="1627"/>
      <c r="I15" s="1281"/>
    </row>
    <row r="16" spans="1:12" ht="12.75">
      <c r="A16" s="3282"/>
      <c r="B16" s="3269"/>
      <c r="C16" s="3287"/>
      <c r="D16" s="330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2" t="s">
        <v>2131</v>
      </c>
      <c r="F18" s="3293"/>
      <c r="G18" s="3293"/>
      <c r="H18" s="3293"/>
      <c r="I18" s="3293"/>
      <c r="K18" s="294" t="s">
        <v>1289</v>
      </c>
      <c r="L18" s="294">
        <f>IF(C1="",'数据-汇总表'!E3,SUMIF(项目类型,C1,'数据-汇总表'!E17:E26)+SUMIF(项目类型,C1,'数据-汇总表'!I17:I26))</f>
        <v>583.70000000000005</v>
      </c>
      <c r="M18" s="294">
        <f>IF(C1="",'数据-汇总表'!E3,SUMIF(项目类型,C1,'数据-汇总表'!E17:E26))</f>
        <v>583.70000000000005</v>
      </c>
    </row>
    <row r="19" spans="1:36" ht="15">
      <c r="A19" s="1630" t="s">
        <v>1290</v>
      </c>
      <c r="B19" s="1631" t="s">
        <v>1291</v>
      </c>
      <c r="C19" s="126">
        <f ca="1">SUMIF(INDIRECT("'"&amp;C4&amp;"'"&amp;"!A:A"),结果表!B19,INDIRECT("'"&amp;C4&amp;"'"&amp;"!B:B"))</f>
        <v>1690.1617000000001</v>
      </c>
      <c r="D19" s="127">
        <f ca="1">SUMIF(INDIRECT("'"&amp;D4&amp;"'"&amp;"!A:A"),结果表!B19,INDIRECT("'"&amp;D4&amp;"'"&amp;"!B:B"))</f>
        <v>890.45699999999999</v>
      </c>
      <c r="E19" s="1630" t="s">
        <v>1292</v>
      </c>
      <c r="F19" s="1631" t="s">
        <v>1291</v>
      </c>
      <c r="G19" s="128">
        <f ca="1">ROUND(C19*$C$18+D19*$D$18,0)</f>
        <v>1450</v>
      </c>
      <c r="H19" s="1632" t="s">
        <v>1293</v>
      </c>
      <c r="I19" s="2331">
        <f ca="1">ROUND(G20*'数据-汇总表'!E3,0)</f>
        <v>14502610</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28956</v>
      </c>
      <c r="D20" s="130">
        <f ca="1">SUMIF(INDIRECT("'"&amp;D4&amp;"'"&amp;"!A:A"),结果表!B20,INDIRECT("'"&amp;D4&amp;"'"&amp;"!B:B"))</f>
        <v>15255</v>
      </c>
      <c r="E20" s="1633"/>
      <c r="F20" s="43" t="s">
        <v>1295</v>
      </c>
      <c r="G20" s="131">
        <f ca="1">ROUND(C20*$C$18+D20*$D$18,0)</f>
        <v>24846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0.89808345602314321</v>
      </c>
      <c r="E22" s="121"/>
      <c r="F22" s="121"/>
      <c r="G22" s="121"/>
      <c r="H22" s="121"/>
      <c r="I22" s="121"/>
    </row>
    <row r="23" spans="1:36" ht="13.5" thickBot="1">
      <c r="A23" s="646"/>
      <c r="B23" s="646"/>
      <c r="C23" s="646"/>
      <c r="D23" s="646"/>
      <c r="E23" s="121"/>
      <c r="F23" s="121"/>
      <c r="G23" s="121"/>
      <c r="H23" s="121"/>
      <c r="I23" s="121"/>
    </row>
    <row r="24" spans="1:36" ht="14.25">
      <c r="A24" s="3276" t="s">
        <v>1299</v>
      </c>
      <c r="B24" s="1631" t="s">
        <v>1291</v>
      </c>
      <c r="C24" s="128">
        <f>IF(B30=0,0,D30)</f>
        <v>0</v>
      </c>
      <c r="D24" s="1637"/>
      <c r="E24" s="121"/>
      <c r="F24" s="121"/>
      <c r="G24" s="121"/>
      <c r="H24" s="121"/>
      <c r="I24" s="121"/>
    </row>
    <row r="25" spans="1:36" ht="14.25">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24846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6" t="s">
        <v>1312</v>
      </c>
      <c r="B36" s="1652" t="s">
        <v>1313</v>
      </c>
      <c r="C36" s="137"/>
      <c r="D36" s="1653"/>
      <c r="E36" s="1567"/>
      <c r="F36" s="1654"/>
      <c r="G36" s="121"/>
      <c r="H36" s="121"/>
      <c r="I36" s="121"/>
    </row>
    <row r="37" spans="1:15" ht="15.75" thickBot="1">
      <c r="A37" s="3297"/>
      <c r="B37" s="1555" t="s">
        <v>1314</v>
      </c>
      <c r="C37" s="139"/>
      <c r="D37" s="1071"/>
      <c r="E37" s="1071"/>
      <c r="F37" s="1654"/>
      <c r="G37" s="121"/>
      <c r="H37" s="121"/>
      <c r="I37" s="121"/>
    </row>
    <row r="38" spans="1:15" ht="15.75" thickBot="1">
      <c r="A38" s="32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147" t="e">
        <f ca="1">ROUND(H101*F45,0)</f>
        <v>#REF!</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10">
        <v>1</v>
      </c>
      <c r="K46" s="3332" t="s">
        <v>1331</v>
      </c>
      <c r="L46" s="3332"/>
      <c r="M46" s="3352"/>
      <c r="N46" s="3352"/>
      <c r="O46" s="3352"/>
    </row>
    <row r="47" spans="1:15" ht="12" customHeight="1">
      <c r="A47" s="152" t="s">
        <v>1332</v>
      </c>
      <c r="B47" s="153"/>
      <c r="C47" s="154"/>
      <c r="D47" s="1024" t="s">
        <v>1333</v>
      </c>
      <c r="E47" s="294" t="s">
        <v>1334</v>
      </c>
      <c r="F47" s="155" t="s">
        <v>1335</v>
      </c>
      <c r="G47" s="2333" t="s">
        <v>1336</v>
      </c>
      <c r="H47" s="2334"/>
      <c r="I47" s="151"/>
      <c r="J47" s="2310">
        <v>2</v>
      </c>
      <c r="K47" s="3332" t="s">
        <v>1337</v>
      </c>
      <c r="L47" s="3332"/>
      <c r="M47" s="3353">
        <f>'数据-取费表'!B2</f>
        <v>45814</v>
      </c>
      <c r="N47" s="3353"/>
      <c r="O47" s="3353"/>
    </row>
    <row r="48" spans="1:15" ht="25.5">
      <c r="A48" s="3301" t="s">
        <v>1338</v>
      </c>
      <c r="B48" s="3284"/>
      <c r="C48" s="328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32" t="s">
        <v>1340</v>
      </c>
      <c r="L48" s="3332"/>
      <c r="M48" s="3354" t="e">
        <f ca="1">H101</f>
        <v>#REF!</v>
      </c>
      <c r="N48" s="3354"/>
      <c r="O48" s="3354"/>
    </row>
    <row r="49" spans="1:35" ht="25.5" customHeight="1">
      <c r="A49" s="2152" t="s">
        <v>1341</v>
      </c>
      <c r="B49" s="3268" t="s">
        <v>1342</v>
      </c>
      <c r="C49" s="3268"/>
      <c r="D49" s="1478">
        <v>0</v>
      </c>
      <c r="E49" s="316" t="s">
        <v>1343</v>
      </c>
      <c r="F49" s="2233" t="s">
        <v>28</v>
      </c>
      <c r="G49" s="3338"/>
      <c r="H49" s="2134" t="s">
        <v>2134</v>
      </c>
      <c r="I49" s="2135"/>
      <c r="J49" s="2310">
        <v>4</v>
      </c>
      <c r="K49" s="3332" t="str">
        <f>IF(项目基本情况!E8="房地产抵押价值","房地产抵押价值","抵押担保权已注销时的房地产抵押价值")</f>
        <v>房地产抵押价值</v>
      </c>
      <c r="L49" s="3332"/>
      <c r="M49" s="3354" t="str">
        <f ca="1">IF(项目基本情况!E8="房地产抵押价值",H107,H109)</f>
        <v>——</v>
      </c>
      <c r="N49" s="3354"/>
      <c r="O49" s="3354"/>
    </row>
    <row r="50" spans="1:35" ht="25.5" customHeight="1">
      <c r="A50" s="2338"/>
      <c r="B50" s="3268" t="s">
        <v>1344</v>
      </c>
      <c r="C50" s="3268"/>
      <c r="D50" s="2189"/>
      <c r="E50" s="323"/>
      <c r="F50" s="2233"/>
      <c r="G50" s="3339"/>
      <c r="H50" s="2136" t="s">
        <v>2135</v>
      </c>
      <c r="I50" s="2135"/>
      <c r="J50" s="3351" t="s">
        <v>1345</v>
      </c>
      <c r="K50" s="3351"/>
      <c r="L50" s="3351"/>
      <c r="M50" s="3351"/>
      <c r="N50" s="3351"/>
      <c r="O50" s="3351"/>
    </row>
    <row r="51" spans="1:35" ht="20.45" customHeight="1">
      <c r="A51" s="2339"/>
      <c r="B51" s="3268" t="s">
        <v>1346</v>
      </c>
      <c r="C51" s="3268"/>
      <c r="D51" s="1024"/>
      <c r="E51" s="319"/>
      <c r="F51" s="2233"/>
      <c r="G51" s="3340"/>
      <c r="H51" s="2136" t="s">
        <v>2136</v>
      </c>
      <c r="I51" s="2135"/>
      <c r="J51" s="2311" t="s">
        <v>1347</v>
      </c>
      <c r="K51" s="3332" t="s">
        <v>1348</v>
      </c>
      <c r="L51" s="3332"/>
      <c r="M51" s="2311" t="s">
        <v>1349</v>
      </c>
      <c r="N51" s="2311" t="s">
        <v>1350</v>
      </c>
      <c r="O51" s="2311" t="s">
        <v>1351</v>
      </c>
    </row>
    <row r="52" spans="1:35" ht="24" customHeight="1">
      <c r="A52" s="2153" t="s">
        <v>1352</v>
      </c>
      <c r="B52" s="3268" t="s">
        <v>1353</v>
      </c>
      <c r="C52" s="3268"/>
      <c r="D52" s="1024" t="e">
        <f ca="1">ROUND(D45*'数据-取费表'!B41/(1+'数据-取费表'!C42),0)</f>
        <v>#REF!</v>
      </c>
      <c r="E52" s="1256" t="s">
        <v>1354</v>
      </c>
      <c r="F52" s="2340">
        <f>'数据-取费表'!B41</f>
        <v>5.5000000000000007E-2</v>
      </c>
      <c r="G52" s="2341"/>
      <c r="H52" s="2331"/>
      <c r="I52" s="1669"/>
      <c r="J52" s="2310">
        <v>1</v>
      </c>
      <c r="K52" s="3333" t="s">
        <v>1355</v>
      </c>
      <c r="L52" s="3333"/>
      <c r="M52" s="2312" t="b">
        <f>D48</f>
        <v>0</v>
      </c>
      <c r="N52" s="2310" t="str">
        <f>E48</f>
        <v>销售额×税（费）率</v>
      </c>
      <c r="O52" s="2313">
        <f>F48</f>
        <v>5.5000000000000007E-2</v>
      </c>
    </row>
    <row r="53" spans="1:35" ht="12" customHeight="1">
      <c r="A53" s="2153" t="s">
        <v>1356</v>
      </c>
      <c r="B53" s="3294" t="s">
        <v>2282</v>
      </c>
      <c r="C53" s="3295"/>
      <c r="D53" s="1024" t="e">
        <f ca="1">ROUND(D45*'数据-取费表'!B41/(1+'数据-取费表'!C42),0)</f>
        <v>#REF!</v>
      </c>
      <c r="E53" s="1256" t="s">
        <v>1354</v>
      </c>
      <c r="F53" s="2340">
        <f>'数据-取费表'!B41</f>
        <v>5.5000000000000007E-2</v>
      </c>
      <c r="G53" s="2341"/>
      <c r="H53" s="2331"/>
      <c r="I53" s="1669"/>
      <c r="J53" s="2310">
        <v>2</v>
      </c>
      <c r="K53" s="3333" t="s">
        <v>1357</v>
      </c>
      <c r="L53" s="3333"/>
      <c r="M53" s="2312" t="e">
        <f t="shared" ref="M53:O54" ca="1" si="0">D55</f>
        <v>#REF!</v>
      </c>
      <c r="N53" s="2310" t="str">
        <f t="shared" si="0"/>
        <v>销售额×税（费）率</v>
      </c>
      <c r="O53" s="2313" t="str">
        <f t="shared" si="0"/>
        <v>免征</v>
      </c>
    </row>
    <row r="54" spans="1:35" ht="12" customHeight="1">
      <c r="A54" s="2153" t="s">
        <v>1358</v>
      </c>
      <c r="B54" s="3294" t="s">
        <v>2283</v>
      </c>
      <c r="C54" s="3295"/>
      <c r="D54" s="1024" t="e">
        <f ca="1">C68</f>
        <v>#REF!</v>
      </c>
      <c r="E54" s="319" t="s">
        <v>1359</v>
      </c>
      <c r="F54" s="2340">
        <f>'数据-取费表'!B41</f>
        <v>5.5000000000000007E-2</v>
      </c>
      <c r="G54" s="2341"/>
      <c r="H54" s="2342"/>
      <c r="I54" s="1669"/>
      <c r="J54" s="2310">
        <v>3</v>
      </c>
      <c r="K54" s="3333" t="s">
        <v>1360</v>
      </c>
      <c r="L54" s="3333"/>
      <c r="M54" s="2312" t="e">
        <f t="shared" ca="1" si="0"/>
        <v>#REF!</v>
      </c>
      <c r="N54" s="2310" t="str">
        <f t="shared" si="0"/>
        <v>增值额×税（费）率</v>
      </c>
      <c r="O54" s="2314" t="str">
        <f t="shared" si="0"/>
        <v>免征</v>
      </c>
    </row>
    <row r="55" spans="1:35" ht="24" customHeight="1">
      <c r="A55" s="3283" t="s">
        <v>1361</v>
      </c>
      <c r="B55" s="3284"/>
      <c r="C55" s="3284"/>
      <c r="D55" s="12" t="e">
        <f ca="1">IF(H55="个人住宅",0,ROUND(D45*I55,0))</f>
        <v>#REF!</v>
      </c>
      <c r="E55" s="1256" t="s">
        <v>1362</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t="e">
        <f ca="1">D59</f>
        <v>#REF!</v>
      </c>
      <c r="N55" s="1883" t="str">
        <f>E59</f>
        <v>差额计税</v>
      </c>
      <c r="O55" s="2316">
        <f>F59</f>
        <v>0.01</v>
      </c>
    </row>
    <row r="56" spans="1:35" ht="24.75">
      <c r="A56" s="3283" t="s">
        <v>1363</v>
      </c>
      <c r="B56" s="3284"/>
      <c r="C56" s="3284"/>
      <c r="D56" s="12" t="e">
        <f ca="1">IF(H56="个人住宅",D57,D58)</f>
        <v>#REF!</v>
      </c>
      <c r="E56" s="1256" t="s">
        <v>1364</v>
      </c>
      <c r="F56" s="2340" t="str">
        <f>IF(H56="正常",F58,"免征")</f>
        <v>免征</v>
      </c>
      <c r="G56" s="2343" t="s">
        <v>1365</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1341</v>
      </c>
      <c r="B57" s="3294" t="s">
        <v>1366</v>
      </c>
      <c r="C57" s="3295"/>
      <c r="D57" s="1478">
        <v>0</v>
      </c>
      <c r="E57" s="316" t="s">
        <v>1343</v>
      </c>
      <c r="F57" s="294"/>
      <c r="G57" s="2341"/>
      <c r="H57" s="2345"/>
      <c r="I57" s="1670"/>
      <c r="J57" s="3333">
        <f>IF(AND(J55="",J56=""),4,IF(项目基本情况!K6="上海银行",结果表!J56+1,结果表!J55+1))</f>
        <v>5</v>
      </c>
      <c r="K57" s="3333" t="s">
        <v>1367</v>
      </c>
      <c r="L57" s="2317" t="s">
        <v>1368</v>
      </c>
      <c r="M57" s="2318"/>
      <c r="N57" s="2319">
        <f ca="1">SUMIF(M52:M56,"&lt;9e307")</f>
        <v>0</v>
      </c>
      <c r="O57" s="2320"/>
      <c r="P57" s="2465" t="e">
        <f ca="1">N57/M49</f>
        <v>#VALUE!</v>
      </c>
    </row>
    <row r="58" spans="1:35" ht="24.75">
      <c r="A58" s="2153" t="s">
        <v>1352</v>
      </c>
      <c r="B58" s="3294" t="s">
        <v>1369</v>
      </c>
      <c r="C58" s="3268"/>
      <c r="D58" s="12" t="e">
        <f ca="1">IF(H58="转让取得",C81,C97)</f>
        <v>#REF!</v>
      </c>
      <c r="E58" s="1256" t="s">
        <v>1364</v>
      </c>
      <c r="F58" s="294" t="s">
        <v>28</v>
      </c>
      <c r="G58" s="2341"/>
      <c r="H58" s="2344"/>
      <c r="I58" s="1670"/>
      <c r="J58" s="3333"/>
      <c r="K58" s="3333"/>
      <c r="L58" s="2317" t="s">
        <v>1370</v>
      </c>
      <c r="M58" s="2321"/>
      <c r="N58" s="2322" t="str">
        <f ca="1">NUMBERSTRING(INT(N57*10000),2)&amp;"元整"</f>
        <v>零元整</v>
      </c>
      <c r="O58" s="2323"/>
    </row>
    <row r="59" spans="1:35" ht="24.75" thickBot="1">
      <c r="A59" s="3336" t="s">
        <v>1371</v>
      </c>
      <c r="B59" s="3337"/>
      <c r="C59" s="333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4">
        <f>J57+1</f>
        <v>6</v>
      </c>
      <c r="K59" s="3333" t="s">
        <v>1372</v>
      </c>
      <c r="L59" s="2310" t="s">
        <v>1368</v>
      </c>
      <c r="M59" s="2324"/>
      <c r="N59" s="2325" t="e">
        <f ca="1">M49-N57</f>
        <v>#VALUE!</v>
      </c>
      <c r="O59" s="2326"/>
    </row>
    <row r="60" spans="1:35" ht="12" customHeight="1">
      <c r="A60" s="1671"/>
      <c r="B60" s="646"/>
      <c r="C60" s="646"/>
      <c r="D60" s="646"/>
      <c r="E60" s="1466"/>
      <c r="F60" s="1670"/>
      <c r="G60" s="1670"/>
      <c r="H60" s="151"/>
      <c r="I60" s="121"/>
      <c r="J60" s="3335"/>
      <c r="K60" s="3333"/>
      <c r="L60" s="2317" t="s">
        <v>1370</v>
      </c>
      <c r="M60" s="2321"/>
      <c r="N60" s="2322" t="e">
        <f ca="1">NUMBERSTRING(INT(N59*10000),2)&amp;"元整"</f>
        <v>#VALUE!</v>
      </c>
      <c r="O60" s="2323"/>
    </row>
    <row r="61" spans="1:35" ht="13.5" thickBot="1">
      <c r="A61" s="3281" t="s">
        <v>1373</v>
      </c>
      <c r="B61" s="3281"/>
      <c r="C61" s="3281"/>
      <c r="D61" s="3281"/>
      <c r="E61" s="3281"/>
      <c r="F61" s="1670"/>
      <c r="G61" s="1670"/>
      <c r="H61" s="151"/>
      <c r="I61" s="121"/>
      <c r="J61" s="2310">
        <f>J59+1</f>
        <v>7</v>
      </c>
      <c r="K61" s="3333" t="s">
        <v>1374</v>
      </c>
      <c r="L61" s="3333"/>
      <c r="M61" s="2327"/>
      <c r="N61" s="2328" t="e">
        <f ca="1">ROUND(N59*10000/'数据-汇总表'!E3,0)</f>
        <v>#VALUE!</v>
      </c>
      <c r="O61" s="2329"/>
    </row>
    <row r="62" spans="1:35" ht="12.75">
      <c r="A62" s="3299" t="s">
        <v>1375</v>
      </c>
      <c r="B62" s="330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5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5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5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5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58"/>
      <c r="K69" s="1245" t="s">
        <v>1393</v>
      </c>
      <c r="L69" s="1245"/>
      <c r="M69" s="294" t="e">
        <f ca="1">ROUND(SUM(M63:M68),0)</f>
        <v>#VALUE!</v>
      </c>
      <c r="N69" s="2332" t="e">
        <f ca="1">M69/M49</f>
        <v>#VALUE!</v>
      </c>
      <c r="Z69" s="1623"/>
      <c r="AI69" s="1561"/>
    </row>
    <row r="70" spans="1:35" s="642" customFormat="1" ht="1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0" t="s">
        <v>2129</v>
      </c>
      <c r="H90" s="336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8" t="s">
        <v>1422</v>
      </c>
      <c r="F92" s="3279"/>
      <c r="G92" s="3279"/>
      <c r="H92" s="328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71" t="str">
        <f>C4</f>
        <v>比较法-商业</v>
      </c>
      <c r="D101" s="2372" t="str">
        <f>D4</f>
        <v>收益法 (元)</v>
      </c>
      <c r="E101" s="3355" t="s">
        <v>1431</v>
      </c>
      <c r="F101" s="3312"/>
      <c r="G101" s="1687" t="s">
        <v>1432</v>
      </c>
      <c r="H101" s="2381" t="e">
        <f ca="1">H118</f>
        <v>#REF!</v>
      </c>
      <c r="I101" s="121"/>
    </row>
    <row r="102" spans="1:35" ht="18.75" customHeight="1">
      <c r="A102" s="3314" t="s">
        <v>1433</v>
      </c>
      <c r="B102" s="2370" t="s">
        <v>1432</v>
      </c>
      <c r="C102" s="2371">
        <f ca="1">IF(D32="楼面单价",ROUND(C19,0),C19)</f>
        <v>1690.1617000000001</v>
      </c>
      <c r="D102" s="2372">
        <f ca="1">IF(D32="楼面单价",ROUND(D19,0),D19)</f>
        <v>890.45699999999999</v>
      </c>
      <c r="E102" s="3355"/>
      <c r="F102" s="3312"/>
      <c r="G102" s="1687" t="s">
        <v>1434</v>
      </c>
      <c r="H102" s="2341" t="e">
        <f ca="1">I118</f>
        <v>#REF!</v>
      </c>
      <c r="I102" s="121"/>
    </row>
    <row r="103" spans="1:35" ht="42.75" customHeight="1">
      <c r="A103" s="3314"/>
      <c r="B103" s="2370" t="s">
        <v>1434</v>
      </c>
      <c r="C103" s="2373">
        <f ca="1">C20</f>
        <v>28956</v>
      </c>
      <c r="D103" s="2374">
        <f ca="1">D20</f>
        <v>15255</v>
      </c>
      <c r="E103" s="3349" t="s">
        <v>1435</v>
      </c>
      <c r="F103" s="3350"/>
      <c r="G103" s="1688" t="s">
        <v>1436</v>
      </c>
      <c r="H103" s="2381">
        <f>IF(D36="正常操作",H104+H105+H106,H105+H106)</f>
        <v>0</v>
      </c>
      <c r="I103" s="121"/>
    </row>
    <row r="104" spans="1:35" ht="18.75" customHeight="1">
      <c r="A104" s="331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1" t="str">
        <f>IF(项目基本情况!E8="已注销","——","3.房地产抵押价值")</f>
        <v>3.房地产抵押价值</v>
      </c>
      <c r="F107" s="3312"/>
      <c r="G107" s="1687" t="s">
        <v>1432</v>
      </c>
      <c r="H107" s="2381" t="e">
        <f ca="1">IF(E107="——","——",H101-H103)</f>
        <v>#REF!</v>
      </c>
      <c r="I107" s="121"/>
    </row>
    <row r="108" spans="1:35" ht="18.75" customHeight="1">
      <c r="A108" s="121"/>
      <c r="B108" s="121"/>
      <c r="C108" s="121"/>
      <c r="D108" s="121"/>
      <c r="E108" s="3311"/>
      <c r="F108" s="3312"/>
      <c r="G108" s="1687" t="s">
        <v>1434</v>
      </c>
      <c r="H108" s="2341">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4" t="str">
        <f>IF(E109="——","——",H101-H105-H106)</f>
        <v>——</v>
      </c>
      <c r="I109" s="121"/>
    </row>
    <row r="110" spans="1:35" ht="18.75" customHeight="1">
      <c r="A110" s="121"/>
      <c r="B110" s="121"/>
      <c r="C110" s="121"/>
      <c r="D110" s="121"/>
      <c r="E110" s="3311"/>
      <c r="F110" s="3312"/>
      <c r="G110" s="1687" t="s">
        <v>1434</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1432</v>
      </c>
      <c r="H111" s="2381" t="str">
        <f>IF(E111="——","——",N59)</f>
        <v>——</v>
      </c>
      <c r="I111" s="121"/>
    </row>
    <row r="112" spans="1:35" ht="18.75" customHeight="1" thickBot="1">
      <c r="A112" s="121"/>
      <c r="B112" s="121"/>
      <c r="C112" s="121"/>
      <c r="D112" s="121"/>
      <c r="E112" s="3344"/>
      <c r="F112" s="3345"/>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583.70000000000005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2" t="s">
        <v>1452</v>
      </c>
      <c r="B119" s="3282"/>
      <c r="C119" s="3282"/>
      <c r="D119" s="3322" t="e">
        <f ca="1">NUMBERSTRING(INT(D118*10000),2)&amp;"元整"</f>
        <v>#REF!</v>
      </c>
      <c r="E119" s="3324"/>
      <c r="F119" s="3322" t="e">
        <f ca="1">NUMBERSTRING(INT(F118*10000),2)&amp;"元整"</f>
        <v>#REF!</v>
      </c>
      <c r="G119" s="3324"/>
      <c r="H119" s="3322" t="e">
        <f ca="1">NUMBERSTRING(INT(H118*10000),2)&amp;"元整"</f>
        <v>#REF!</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t="e">
        <f ca="1">H107</f>
        <v>#REF!</v>
      </c>
      <c r="E122" s="3347"/>
      <c r="F122" s="3347"/>
      <c r="G122" s="3347"/>
      <c r="H122" s="3347"/>
      <c r="I122" s="3348"/>
      <c r="AA122" s="684"/>
    </row>
    <row r="123" spans="1:27" ht="18.75" customHeight="1">
      <c r="A123" s="3282" t="s">
        <v>1452</v>
      </c>
      <c r="B123" s="3282"/>
      <c r="C123" s="3282"/>
      <c r="D123" s="3322" t="e">
        <f ca="1">NUMBERSTRING(INT(D122*10000),2)&amp;"元整"</f>
        <v>#REF!</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11.673999999999999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11.673999999999999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583.70000000000005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583.70000000000005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233</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583.70000000000005</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53</v>
      </c>
      <c r="D45" s="227">
        <f ca="1">C47</f>
        <v>4.0000000000000001E-3</v>
      </c>
      <c r="E45" s="228" t="s">
        <v>1539</v>
      </c>
      <c r="F45" s="238">
        <f ca="1">F27</f>
        <v>0.2</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355</v>
      </c>
      <c r="D49" s="224"/>
      <c r="E49" s="224"/>
      <c r="F49" s="256"/>
      <c r="G49" s="226" t="s">
        <v>1554</v>
      </c>
    </row>
    <row r="50" spans="1:7" s="250" customFormat="1" ht="24">
      <c r="A50" s="247" t="s">
        <v>1555</v>
      </c>
      <c r="B50" s="202" t="s">
        <v>1556</v>
      </c>
      <c r="C50" s="224"/>
      <c r="D50" s="224"/>
      <c r="E50" s="224"/>
      <c r="F50" s="256">
        <f>IF('数据-取费表'!B24=0,'数据-取费表'!N16,1)</f>
        <v>0.96</v>
      </c>
      <c r="G50" s="239" t="s">
        <v>1557</v>
      </c>
    </row>
    <row r="51" spans="1:7" ht="16.5" customHeight="1">
      <c r="A51" s="247" t="s">
        <v>1558</v>
      </c>
      <c r="B51" s="202" t="s">
        <v>1559</v>
      </c>
      <c r="C51" s="224">
        <f ca="1">ROUND(C49*F50,0)</f>
        <v>341</v>
      </c>
      <c r="D51" s="224"/>
      <c r="E51" s="224"/>
      <c r="F51" s="256"/>
      <c r="G51" s="226" t="s">
        <v>1560</v>
      </c>
    </row>
    <row r="52" spans="1:7" s="200" customFormat="1" ht="16.5" thickBot="1">
      <c r="A52" s="257" t="s">
        <v>1561</v>
      </c>
      <c r="B52" s="258"/>
      <c r="C52" s="259">
        <f ca="1">C31+C51</f>
        <v>374</v>
      </c>
      <c r="D52" s="258"/>
      <c r="E52" s="258"/>
      <c r="F52" s="258"/>
      <c r="G52" s="260"/>
    </row>
    <row r="55" spans="1:7" ht="15">
      <c r="B55" s="262" t="s">
        <v>1562</v>
      </c>
      <c r="C55" s="263"/>
    </row>
    <row r="56" spans="1:7">
      <c r="B56" s="265" t="s">
        <v>802</v>
      </c>
      <c r="C56" s="267">
        <f ca="1">1-C57</f>
        <v>8.7999999999999967E-2</v>
      </c>
    </row>
    <row r="57" spans="1:7">
      <c r="B57" s="265" t="s">
        <v>803</v>
      </c>
      <c r="C57" s="266">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373.74400000000003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6403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116740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116740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116740</v>
      </c>
      <c r="D10" s="795">
        <f ca="1">IF(B1="",'数据-汇总表'!E6,IF(INDIRECT("'数据-取费表'!c"&amp;$G$1)="住宅",INDIRECT("'数据-取费表'!s"&amp;$G$1),INDIRECT("'数据-取费表'!k"&amp;$G$1)+INDIRECT("'数据-取费表'!s"&amp;$G$1)))</f>
        <v>583.70000000000005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116740</v>
      </c>
      <c r="D19" s="204">
        <f ca="1">D9+D10</f>
        <v>583.70000000000005</v>
      </c>
      <c r="E19" s="203">
        <f>'数据-取费表'!B31</f>
        <v>200</v>
      </c>
      <c r="F19" s="223"/>
      <c r="G19" s="1714"/>
    </row>
    <row r="20" spans="1:7" s="206" customFormat="1" ht="13.5" customHeight="1">
      <c r="A20" s="247" t="s">
        <v>1574</v>
      </c>
      <c r="B20" s="202" t="s">
        <v>1575</v>
      </c>
      <c r="C20" s="224">
        <f ca="1">ROUND((C5+C19)*F20,0)</f>
        <v>4670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14358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7109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7109</v>
      </c>
      <c r="D24" s="230"/>
      <c r="E24" s="230"/>
      <c r="F24" s="231"/>
      <c r="G24" s="232" t="s">
        <v>1586</v>
      </c>
    </row>
    <row r="25" spans="1:7" s="206" customFormat="1" ht="24">
      <c r="A25" s="734" t="s">
        <v>1476</v>
      </c>
      <c r="B25" s="207" t="s">
        <v>1587</v>
      </c>
      <c r="C25" s="230">
        <f ca="1">ROUND(IF('数据-取费表'!B22&lt;=1,C20*F22*'数据-取费表'!B22/2,C20*(POWER((1+F22),'数据-取费表'!B22/2)-1)),0)</f>
        <v>140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47630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47630</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325177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2614976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2334800</v>
      </c>
      <c r="D34" s="209"/>
      <c r="E34" s="212"/>
      <c r="F34" s="249"/>
      <c r="G34" s="211"/>
    </row>
    <row r="35" spans="1:7" ht="13.5" customHeight="1">
      <c r="A35" s="734" t="s">
        <v>351</v>
      </c>
      <c r="B35" s="207" t="s">
        <v>1527</v>
      </c>
      <c r="C35" s="212">
        <f ca="1">ROUND(C34*F35,0)</f>
        <v>116740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116740</v>
      </c>
      <c r="D37" s="209">
        <f ca="1">D19</f>
        <v>583.70000000000005</v>
      </c>
      <c r="E37" s="241">
        <f>'数据-取费表'!B35</f>
        <v>200</v>
      </c>
      <c r="F37" s="251"/>
      <c r="G37" s="253"/>
    </row>
    <row r="38" spans="1:7" ht="13.5" customHeight="1">
      <c r="A38" s="734" t="s">
        <v>354</v>
      </c>
      <c r="B38" s="207" t="s">
        <v>1533</v>
      </c>
      <c r="C38" s="212">
        <f ca="1">ROUND(C34*F38,0)</f>
        <v>46696</v>
      </c>
      <c r="D38" s="212"/>
      <c r="E38" s="212"/>
      <c r="F38" s="251">
        <f>'数据-取费表'!B36</f>
        <v>0.02</v>
      </c>
      <c r="G38" s="211" t="s">
        <v>1528</v>
      </c>
    </row>
    <row r="39" spans="1:7" s="206" customFormat="1" ht="13.5" customHeight="1">
      <c r="A39" s="247" t="s">
        <v>1534</v>
      </c>
      <c r="B39" s="202" t="s">
        <v>1535</v>
      </c>
      <c r="C39" s="224">
        <f ca="1">ROUND(C33*F20,0)</f>
        <v>52300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80018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78449</v>
      </c>
      <c r="D42" s="230"/>
      <c r="E42" s="230"/>
      <c r="F42" s="231"/>
      <c r="G42" s="3362" t="s">
        <v>1591</v>
      </c>
    </row>
    <row r="43" spans="1:7" ht="13.5" customHeight="1">
      <c r="A43" s="734" t="s">
        <v>347</v>
      </c>
      <c r="B43" s="207" t="s">
        <v>1545</v>
      </c>
      <c r="C43" s="230">
        <f ca="1">ROUND(IF('数据-取费表'!B22&lt;=1,C39*F22*'数据-取费表'!B20/2,C39*(POWER((1+F22),'数据-取费表'!B20/2)-1)),0)</f>
        <v>1569</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533455</v>
      </c>
      <c r="D45" s="227">
        <f ca="1">C47</f>
        <v>4.0000000000000001E-3</v>
      </c>
      <c r="E45" s="228" t="s">
        <v>1539</v>
      </c>
      <c r="F45" s="238">
        <f ca="1">F27</f>
        <v>0.2</v>
      </c>
      <c r="G45" s="239" t="s">
        <v>1548</v>
      </c>
    </row>
    <row r="46" spans="1:7" s="206" customFormat="1" ht="13.5" customHeight="1">
      <c r="A46" s="734" t="s">
        <v>346</v>
      </c>
      <c r="B46" s="240" t="s">
        <v>1549</v>
      </c>
      <c r="C46" s="241">
        <f ca="1">ROUND((C33+C39)*F27,0)</f>
        <v>533455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3554441</v>
      </c>
      <c r="D49" s="224"/>
      <c r="E49" s="224"/>
      <c r="F49" s="256"/>
      <c r="G49" s="226" t="s">
        <v>1554</v>
      </c>
    </row>
    <row r="50" spans="1:7" s="250" customFormat="1">
      <c r="A50" s="247" t="s">
        <v>1555</v>
      </c>
      <c r="B50" s="202" t="s">
        <v>1556</v>
      </c>
      <c r="C50" s="224"/>
      <c r="D50" s="224"/>
      <c r="E50" s="224"/>
      <c r="F50" s="256">
        <f>IF('数据-取费表'!B24=0,'数据-取费表'!N16,1)</f>
        <v>0.96</v>
      </c>
      <c r="G50" s="239"/>
    </row>
    <row r="51" spans="1:7" ht="16.5" customHeight="1">
      <c r="A51" s="247" t="s">
        <v>1558</v>
      </c>
      <c r="B51" s="202" t="s">
        <v>1593</v>
      </c>
      <c r="C51" s="224">
        <f ca="1">ROUND(C49*F50,0)</f>
        <v>3412263</v>
      </c>
      <c r="D51" s="224"/>
      <c r="E51" s="224"/>
      <c r="F51" s="256"/>
      <c r="G51" s="226" t="s">
        <v>1560</v>
      </c>
    </row>
    <row r="52" spans="1:7" s="200" customFormat="1" ht="16.5" thickBot="1">
      <c r="A52" s="257" t="s">
        <v>1561</v>
      </c>
      <c r="B52" s="258"/>
      <c r="C52" s="259">
        <f ca="1">C31+C51</f>
        <v>3737440</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583.70000000000005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583.70000000000005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0.32600000000000051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583.70000000000005</v>
      </c>
      <c r="E20" s="21">
        <f>'数据-取费表'!B28</f>
        <v>200</v>
      </c>
      <c r="F20" s="756"/>
      <c r="G20" s="12"/>
      <c r="H20" s="761"/>
      <c r="I20" s="761"/>
      <c r="J20" s="761"/>
      <c r="K20" s="762"/>
    </row>
    <row r="21" spans="1:33" s="755" customFormat="1" ht="13.5" customHeight="1">
      <c r="A21" s="744" t="s">
        <v>357</v>
      </c>
      <c r="B21" s="765" t="s">
        <v>1628</v>
      </c>
      <c r="C21" s="766">
        <f ca="1">C16+C17+C18</f>
        <v>0.32600000000000051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1" zoomScale="85" zoomScaleNormal="70" zoomScaleSheetLayoutView="85" workbookViewId="0">
      <selection activeCell="D63" sqref="D6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3478</v>
      </c>
      <c r="F1" s="1735" t="s">
        <v>3479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1690.1617000000001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28956</v>
      </c>
      <c r="C3" s="344" t="s">
        <v>1768</v>
      </c>
      <c r="D3" s="343">
        <f>IF(D1="",'数据-汇总表'!E3,SUMIF('数据-汇总表'!$C19:$C33,D1,'数据-汇总表'!$E19:$E33))</f>
        <v>583.70000000000005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98" t="s">
        <v>1771</v>
      </c>
      <c r="S4" s="3399"/>
      <c r="T4" s="3398" t="s">
        <v>1772</v>
      </c>
      <c r="U4" s="3399"/>
      <c r="V4" s="3371" t="s">
        <v>1773</v>
      </c>
      <c r="W4" s="3371"/>
      <c r="X4" s="1265"/>
      <c r="Y4" s="3398" t="s">
        <v>1775</v>
      </c>
      <c r="Z4" s="3399"/>
      <c r="AA4" s="3385" t="s">
        <v>1771</v>
      </c>
      <c r="AB4" s="3371" t="s">
        <v>1772</v>
      </c>
      <c r="AC4" s="3385" t="s">
        <v>1773</v>
      </c>
    </row>
    <row r="5" spans="1:29" ht="15">
      <c r="A5" s="348"/>
      <c r="B5" s="349"/>
      <c r="C5" s="3406" t="s">
        <v>3416</v>
      </c>
      <c r="D5" s="3407"/>
      <c r="E5" s="3413" t="s">
        <v>3475</v>
      </c>
      <c r="F5" s="3414"/>
      <c r="G5" s="3406" t="s">
        <v>3476</v>
      </c>
      <c r="H5" s="3407"/>
      <c r="I5" s="3406" t="s">
        <v>3477</v>
      </c>
      <c r="J5" s="3407"/>
      <c r="K5" s="537"/>
      <c r="L5" s="2487"/>
      <c r="M5" s="2488"/>
      <c r="N5" s="2488"/>
      <c r="O5" s="2488"/>
      <c r="P5" s="3394"/>
      <c r="Q5" s="3395"/>
      <c r="R5" s="3400"/>
      <c r="S5" s="3401"/>
      <c r="T5" s="3400"/>
      <c r="U5" s="3401"/>
      <c r="V5" s="3371"/>
      <c r="W5" s="3371"/>
      <c r="X5" s="1265"/>
      <c r="Y5" s="3400"/>
      <c r="Z5" s="3401"/>
      <c r="AA5" s="3386"/>
      <c r="AB5" s="3371"/>
      <c r="AC5" s="3386"/>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396"/>
      <c r="Q6" s="3397"/>
      <c r="R6" s="3400"/>
      <c r="S6" s="3401"/>
      <c r="T6" s="3402"/>
      <c r="U6" s="3403"/>
      <c r="V6" s="3371"/>
      <c r="W6" s="3371"/>
      <c r="X6" s="1265"/>
      <c r="Y6" s="3402"/>
      <c r="Z6" s="3403"/>
      <c r="AA6" s="3387"/>
      <c r="AB6" s="3371"/>
      <c r="AC6" s="3387"/>
    </row>
    <row r="7" spans="1:29" s="102" customFormat="1" ht="15.75" thickBot="1">
      <c r="A7" s="352" t="s">
        <v>1679</v>
      </c>
      <c r="B7" s="353"/>
      <c r="C7" s="354">
        <f>'数据-取费表'!B2</f>
        <v>45814</v>
      </c>
      <c r="D7" s="355">
        <v>100</v>
      </c>
      <c r="E7" s="356">
        <f>C7</f>
        <v>45814</v>
      </c>
      <c r="F7" s="357">
        <f>SUMIF(58:58,YEAR(E7)&amp;"-"&amp;MONTH(E7),59:59)</f>
        <v>100</v>
      </c>
      <c r="G7" s="356">
        <f>C7</f>
        <v>45814</v>
      </c>
      <c r="H7" s="355">
        <f>SUMIF(58:58,YEAR(G7)&amp;"-"&amp;MONTH(G7),59:59)</f>
        <v>100</v>
      </c>
      <c r="I7" s="356">
        <f>C7</f>
        <v>45814</v>
      </c>
      <c r="J7" s="355">
        <f>SUMIF(58:58,YEAR(I7)&amp;"-"&amp;MONTH(I7),59:59)</f>
        <v>100</v>
      </c>
      <c r="K7" s="38"/>
      <c r="L7" s="2489"/>
      <c r="M7" s="2440"/>
      <c r="N7" s="2440"/>
      <c r="O7" s="2440"/>
      <c r="P7" s="3408"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50">
        <f>D7/J7</f>
        <v>1</v>
      </c>
    </row>
    <row r="8" spans="1:29" s="102" customFormat="1" ht="15.75" thickBot="1">
      <c r="A8" s="352" t="s">
        <v>1681</v>
      </c>
      <c r="B8" s="353"/>
      <c r="C8" s="358" t="s">
        <v>3452</v>
      </c>
      <c r="D8" s="355">
        <v>100</v>
      </c>
      <c r="E8" s="358" t="s">
        <v>3417</v>
      </c>
      <c r="F8" s="357">
        <f>SUMIF(61:61,E8,62:62)-SUMIF(61:61,C8,62:62)+100</f>
        <v>104</v>
      </c>
      <c r="G8" s="358" t="s">
        <v>3417</v>
      </c>
      <c r="H8" s="355">
        <f>SUMIF(61:61,G8,62:62)-SUMIF(61:61,C8,62:62)+100</f>
        <v>104</v>
      </c>
      <c r="I8" s="358" t="s">
        <v>3417</v>
      </c>
      <c r="J8" s="355">
        <f>SUMIF(61:61,I8,62:62)-SUMIF(61:61,C8,62:62)+100</f>
        <v>104</v>
      </c>
      <c r="K8" s="38"/>
      <c r="L8" s="2489"/>
      <c r="M8" s="2440"/>
      <c r="N8" s="2440"/>
      <c r="O8" s="2440"/>
      <c r="P8" s="3408" t="s">
        <v>1683</v>
      </c>
      <c r="Q8" s="3409"/>
      <c r="R8" s="664" t="s">
        <v>14</v>
      </c>
      <c r="S8" s="665">
        <f t="shared" si="0"/>
        <v>104</v>
      </c>
      <c r="T8" s="664" t="s">
        <v>14</v>
      </c>
      <c r="U8" s="665">
        <f t="shared" si="1"/>
        <v>104</v>
      </c>
      <c r="V8" s="664" t="s">
        <v>14</v>
      </c>
      <c r="W8" s="665">
        <f t="shared" si="2"/>
        <v>104</v>
      </c>
      <c r="X8" s="666"/>
      <c r="Y8" s="3408" t="s">
        <v>1683</v>
      </c>
      <c r="Z8" s="3409"/>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1" t="s">
        <v>3453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f>项目基本情况!D15</f>
        <v>32.020000000000003</v>
      </c>
      <c r="D10" s="119">
        <v>100</v>
      </c>
      <c r="E10" s="3134">
        <f>40-(2025-2013)</f>
        <v>28</v>
      </c>
      <c r="F10" s="364">
        <f>SUMIF(65:65,E10,66:66)-SUMIF(65:65,C10,66:66)+100</f>
        <v>100</v>
      </c>
      <c r="G10" s="3133">
        <f>40-(2025-2006)</f>
        <v>21</v>
      </c>
      <c r="H10" s="119">
        <f>SUMIF(65:65,G10,66:66)-SUMIF(65:65,C10,66:66)+100</f>
        <v>100</v>
      </c>
      <c r="I10" s="3133">
        <f>40-(2025-2014)</f>
        <v>29</v>
      </c>
      <c r="J10" s="119">
        <f>SUMIF(65:65,I10,66:66)-SUMIF(65:65,C10,66:66)+100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75" thickBot="1">
      <c r="A11" s="367"/>
      <c r="B11" s="364" t="s">
        <v>1689</v>
      </c>
      <c r="C11" s="368">
        <v>1.5</v>
      </c>
      <c r="D11" s="119">
        <v>100</v>
      </c>
      <c r="E11" s="369">
        <v>0.4</v>
      </c>
      <c r="F11" s="364">
        <f>LOOKUP(E11,68:68,69:69)-LOOKUP(C11,68:68,69:69)+100</f>
        <v>100</v>
      </c>
      <c r="G11" s="368">
        <v>1.4</v>
      </c>
      <c r="H11" s="119">
        <f>LOOKUP(G11,68:68,69:69)-LOOKUP(C11,68:68,69:69)+100</f>
        <v>100</v>
      </c>
      <c r="I11" s="368">
        <v>2.08</v>
      </c>
      <c r="J11" s="119">
        <f>LOOKUP(I11,68:68,69:69)-LOOKUP(C11,68:68,69:69)+100</f>
        <v>100</v>
      </c>
      <c r="K11" s="538">
        <v>0</v>
      </c>
      <c r="L11" s="2492"/>
      <c r="M11" s="2488"/>
      <c r="N11" s="2488"/>
      <c r="O11" s="2488"/>
      <c r="P11" s="338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102</v>
      </c>
      <c r="G15" s="383"/>
      <c r="H15" s="380">
        <f>SUMIF(76:76,G16,77:77)-SUMIF(76:76,C16,77:77)+100</f>
        <v>102</v>
      </c>
      <c r="I15" s="381"/>
      <c r="J15" s="380">
        <f>SUMIF(76:76,I16,77:77)-SUMIF(76:76,C16,77:77)+100</f>
        <v>102</v>
      </c>
      <c r="K15" s="540">
        <v>2</v>
      </c>
      <c r="L15" s="2493"/>
      <c r="M15" s="2488"/>
      <c r="N15" s="2488"/>
      <c r="O15" s="2488"/>
      <c r="P15" s="3375" t="s">
        <v>1691</v>
      </c>
      <c r="Q15" s="1263" t="str">
        <f t="shared" si="6"/>
        <v>商业繁华度</v>
      </c>
      <c r="R15" s="667" t="s">
        <v>14</v>
      </c>
      <c r="S15" s="668">
        <f t="shared" si="0"/>
        <v>102</v>
      </c>
      <c r="T15" s="667" t="s">
        <v>14</v>
      </c>
      <c r="U15" s="668">
        <f t="shared" si="1"/>
        <v>102</v>
      </c>
      <c r="V15" s="667" t="s">
        <v>14</v>
      </c>
      <c r="W15" s="668">
        <f t="shared" si="2"/>
        <v>102</v>
      </c>
      <c r="X15" s="1265"/>
      <c r="Y15" s="3377" t="s">
        <v>1691</v>
      </c>
      <c r="Z15" s="1264" t="str">
        <f t="shared" si="7"/>
        <v>商业繁华度</v>
      </c>
      <c r="AA15" s="1264">
        <f t="shared" si="3"/>
        <v>0.98039215686274506</v>
      </c>
      <c r="AB15" s="1264">
        <f t="shared" si="4"/>
        <v>0.98039215686274506</v>
      </c>
      <c r="AC15" s="1264">
        <f t="shared" si="5"/>
        <v>0.98039215686274506</v>
      </c>
    </row>
    <row r="16" spans="1:29" ht="15">
      <c r="A16" s="367"/>
      <c r="B16" s="385"/>
      <c r="C16" s="386" t="s">
        <v>3454</v>
      </c>
      <c r="D16" s="387"/>
      <c r="E16" s="386" t="s">
        <v>3456</v>
      </c>
      <c r="F16" s="388"/>
      <c r="G16" s="386" t="s">
        <v>3456</v>
      </c>
      <c r="H16" s="389"/>
      <c r="I16" s="386" t="s">
        <v>3456</v>
      </c>
      <c r="J16" s="387"/>
      <c r="K16" s="541"/>
      <c r="L16" s="2493"/>
      <c r="M16" s="2488"/>
      <c r="N16" s="2488"/>
      <c r="O16" s="2488"/>
      <c r="P16" s="3376"/>
      <c r="Q16" s="1263"/>
      <c r="R16" s="667"/>
      <c r="S16" s="668"/>
      <c r="T16" s="667"/>
      <c r="U16" s="668"/>
      <c r="V16" s="667"/>
      <c r="W16" s="668"/>
      <c r="X16" s="1265"/>
      <c r="Y16" s="3378"/>
      <c r="Z16" s="1264"/>
      <c r="AA16" s="1264">
        <v>1</v>
      </c>
      <c r="AB16" s="1264">
        <v>1</v>
      </c>
      <c r="AC16" s="1264">
        <v>1</v>
      </c>
    </row>
    <row r="17" spans="1:29" ht="15">
      <c r="A17" s="367"/>
      <c r="B17" s="390" t="s">
        <v>1259</v>
      </c>
      <c r="C17" s="1754">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93"/>
      <c r="M17" s="2488"/>
      <c r="N17" s="2488"/>
      <c r="O17" s="2488"/>
      <c r="P17" s="3376"/>
      <c r="Q17" s="1263" t="str">
        <f>B17</f>
        <v>交通便捷度</v>
      </c>
      <c r="R17" s="667" t="s">
        <v>14</v>
      </c>
      <c r="S17" s="668">
        <f>F17</f>
        <v>102</v>
      </c>
      <c r="T17" s="667" t="s">
        <v>14</v>
      </c>
      <c r="U17" s="668">
        <f>H17</f>
        <v>102</v>
      </c>
      <c r="V17" s="667" t="s">
        <v>14</v>
      </c>
      <c r="W17" s="668">
        <f>J17</f>
        <v>102</v>
      </c>
      <c r="X17" s="1265"/>
      <c r="Y17" s="3378"/>
      <c r="Z17" s="1264" t="str">
        <f>Q17</f>
        <v>交通便捷度</v>
      </c>
      <c r="AA17" s="1264">
        <f t="shared" si="3"/>
        <v>0.98039215686274506</v>
      </c>
      <c r="AB17" s="1264">
        <f t="shared" si="4"/>
        <v>0.98039215686274506</v>
      </c>
      <c r="AC17" s="1264">
        <f t="shared" si="5"/>
        <v>0.98039215686274506</v>
      </c>
    </row>
    <row r="18" spans="1:29" ht="15">
      <c r="A18" s="367"/>
      <c r="B18" s="395"/>
      <c r="C18" s="1755" t="s">
        <v>3454</v>
      </c>
      <c r="D18" s="389"/>
      <c r="E18" s="386" t="s">
        <v>3456</v>
      </c>
      <c r="F18" s="392"/>
      <c r="G18" s="386" t="s">
        <v>3456</v>
      </c>
      <c r="H18" s="387"/>
      <c r="I18" s="386" t="s">
        <v>3456</v>
      </c>
      <c r="J18" s="387"/>
      <c r="K18" s="541"/>
      <c r="L18" s="2493"/>
      <c r="M18" s="2488"/>
      <c r="N18" s="2488"/>
      <c r="O18" s="2488"/>
      <c r="P18" s="3376"/>
      <c r="Q18" s="1263"/>
      <c r="R18" s="667"/>
      <c r="S18" s="668"/>
      <c r="T18" s="667"/>
      <c r="U18" s="668"/>
      <c r="V18" s="667"/>
      <c r="W18" s="668"/>
      <c r="X18" s="1265"/>
      <c r="Y18" s="3378"/>
      <c r="Z18" s="1264"/>
      <c r="AA18" s="1264">
        <v>1</v>
      </c>
      <c r="AB18" s="1264">
        <v>1</v>
      </c>
      <c r="AC18" s="1264">
        <v>1</v>
      </c>
    </row>
    <row r="19" spans="1:29" ht="15">
      <c r="A19" s="367"/>
      <c r="B19" s="390" t="s">
        <v>1778</v>
      </c>
      <c r="C19" s="1754">
        <f>估价对象房地状况!C7</f>
        <v>0</v>
      </c>
      <c r="D19" s="394">
        <v>100</v>
      </c>
      <c r="E19" s="396"/>
      <c r="F19" s="397">
        <f>SUMIF(80:80,E20,81:81)-SUMIF(80:80,C20,81:81)+100</f>
        <v>102</v>
      </c>
      <c r="G19" s="398"/>
      <c r="H19" s="389">
        <f>SUMIF(80:80,G20,81:81)-SUMIF(80:80,C20,81:81)+100</f>
        <v>102</v>
      </c>
      <c r="I19" s="396"/>
      <c r="J19" s="389">
        <f>SUMIF(80:80,I20,81:81)-SUMIF(80:80,C20,81:81)+100</f>
        <v>102</v>
      </c>
      <c r="K19" s="540">
        <v>2</v>
      </c>
      <c r="L19" s="2493"/>
      <c r="M19" s="2488"/>
      <c r="N19" s="2488"/>
      <c r="O19" s="2488"/>
      <c r="P19" s="3376"/>
      <c r="Q19" s="1263" t="str">
        <f>B19</f>
        <v>公共配套设施</v>
      </c>
      <c r="R19" s="667" t="s">
        <v>14</v>
      </c>
      <c r="S19" s="668">
        <f>F19</f>
        <v>102</v>
      </c>
      <c r="T19" s="667" t="s">
        <v>14</v>
      </c>
      <c r="U19" s="668">
        <f>H19</f>
        <v>102</v>
      </c>
      <c r="V19" s="667" t="s">
        <v>14</v>
      </c>
      <c r="W19" s="668">
        <f>J19</f>
        <v>102</v>
      </c>
      <c r="X19" s="1265"/>
      <c r="Y19" s="3378"/>
      <c r="Z19" s="1264" t="str">
        <f>Q19</f>
        <v>公共配套设施</v>
      </c>
      <c r="AA19" s="1264">
        <f t="shared" si="3"/>
        <v>0.98039215686274506</v>
      </c>
      <c r="AB19" s="1264">
        <f t="shared" si="4"/>
        <v>0.98039215686274506</v>
      </c>
      <c r="AC19" s="1264">
        <f t="shared" si="5"/>
        <v>0.98039215686274506</v>
      </c>
    </row>
    <row r="20" spans="1:29" ht="15">
      <c r="A20" s="367"/>
      <c r="B20" s="395"/>
      <c r="C20" s="386" t="s">
        <v>3454</v>
      </c>
      <c r="D20" s="387"/>
      <c r="E20" s="386" t="s">
        <v>3456</v>
      </c>
      <c r="F20" s="388"/>
      <c r="G20" s="386" t="s">
        <v>3456</v>
      </c>
      <c r="H20" s="387"/>
      <c r="I20" s="386" t="s">
        <v>3456</v>
      </c>
      <c r="J20" s="387"/>
      <c r="K20" s="541"/>
      <c r="L20" s="2493"/>
      <c r="M20" s="2488"/>
      <c r="N20" s="2488"/>
      <c r="O20" s="2488"/>
      <c r="P20" s="3376"/>
      <c r="Q20" s="1263"/>
      <c r="R20" s="667"/>
      <c r="S20" s="668"/>
      <c r="T20" s="667"/>
      <c r="U20" s="668"/>
      <c r="V20" s="667"/>
      <c r="W20" s="668"/>
      <c r="X20" s="1265"/>
      <c r="Y20" s="337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3455</v>
      </c>
      <c r="D22" s="387"/>
      <c r="E22" s="1755" t="s">
        <v>3455</v>
      </c>
      <c r="F22" s="388"/>
      <c r="G22" s="1755" t="s">
        <v>3455</v>
      </c>
      <c r="H22" s="387"/>
      <c r="I22" s="1755" t="s">
        <v>3455</v>
      </c>
      <c r="J22" s="387"/>
      <c r="K22" s="1064"/>
      <c r="L22" s="2493"/>
      <c r="M22" s="2488"/>
      <c r="N22" s="2488"/>
      <c r="O22" s="2488"/>
      <c r="P22" s="3376"/>
      <c r="Q22" s="1263"/>
      <c r="R22" s="667"/>
      <c r="S22" s="668"/>
      <c r="T22" s="667"/>
      <c r="U22" s="668"/>
      <c r="V22" s="667"/>
      <c r="W22" s="668"/>
      <c r="X22" s="1265"/>
      <c r="Y22" s="3378"/>
      <c r="Z22" s="1264"/>
      <c r="AA22" s="1264">
        <v>1</v>
      </c>
      <c r="AB22" s="1264">
        <v>1</v>
      </c>
      <c r="AC22" s="1264">
        <v>1</v>
      </c>
    </row>
    <row r="23" spans="1:29" ht="15">
      <c r="A23" s="367"/>
      <c r="B23" s="390" t="s">
        <v>1261</v>
      </c>
      <c r="C23" s="1806">
        <f>估价对象房地状况!C9</f>
        <v>0</v>
      </c>
      <c r="D23" s="389">
        <v>100</v>
      </c>
      <c r="E23" s="391"/>
      <c r="F23" s="392">
        <f>SUMIF(84:84,E24,85:85)-SUMIF(84:84,C24,85:85)+100</f>
        <v>102</v>
      </c>
      <c r="G23" s="393"/>
      <c r="H23" s="389">
        <f>SUMIF(84:84,G24,85:85)-SUMIF(84:84,C24,85:85)+100</f>
        <v>102</v>
      </c>
      <c r="I23" s="391"/>
      <c r="J23" s="389">
        <f>SUMIF(84:84,I24,85:85)-SUMIF(84:84,C24,85:85)+100</f>
        <v>102</v>
      </c>
      <c r="K23" s="540">
        <v>2</v>
      </c>
      <c r="L23" s="2493"/>
      <c r="M23" s="2488"/>
      <c r="N23" s="2488"/>
      <c r="O23" s="2488"/>
      <c r="P23" s="3376"/>
      <c r="Q23" s="1263" t="str">
        <f>B23</f>
        <v>自然及人文环境</v>
      </c>
      <c r="R23" s="667" t="s">
        <v>14</v>
      </c>
      <c r="S23" s="668">
        <f>F23</f>
        <v>102</v>
      </c>
      <c r="T23" s="667" t="s">
        <v>14</v>
      </c>
      <c r="U23" s="668">
        <f>H23</f>
        <v>102</v>
      </c>
      <c r="V23" s="667" t="s">
        <v>14</v>
      </c>
      <c r="W23" s="668">
        <f>J23</f>
        <v>102</v>
      </c>
      <c r="X23" s="1265"/>
      <c r="Y23" s="3378"/>
      <c r="Z23" s="1264" t="str">
        <f>Q23</f>
        <v>自然及人文环境</v>
      </c>
      <c r="AA23" s="1264">
        <f t="shared" si="3"/>
        <v>0.98039215686274506</v>
      </c>
      <c r="AB23" s="1264">
        <f t="shared" si="4"/>
        <v>0.98039215686274506</v>
      </c>
      <c r="AC23" s="1264">
        <f t="shared" si="5"/>
        <v>0.98039215686274506</v>
      </c>
    </row>
    <row r="24" spans="1:29" ht="15">
      <c r="A24" s="367"/>
      <c r="B24" s="395"/>
      <c r="C24" s="386" t="s">
        <v>3454</v>
      </c>
      <c r="D24" s="387"/>
      <c r="E24" s="386" t="s">
        <v>3456</v>
      </c>
      <c r="F24" s="388"/>
      <c r="G24" s="386" t="s">
        <v>3456</v>
      </c>
      <c r="H24" s="387"/>
      <c r="I24" s="386" t="s">
        <v>3456</v>
      </c>
      <c r="J24" s="387"/>
      <c r="K24" s="541"/>
      <c r="L24" s="2493"/>
      <c r="M24" s="2488"/>
      <c r="N24" s="2488"/>
      <c r="O24" s="2488"/>
      <c r="P24" s="3376"/>
      <c r="Q24" s="1263"/>
      <c r="R24" s="667"/>
      <c r="S24" s="668"/>
      <c r="T24" s="667"/>
      <c r="U24" s="668"/>
      <c r="V24" s="667"/>
      <c r="W24" s="668"/>
      <c r="X24" s="1265"/>
      <c r="Y24" s="3378"/>
      <c r="Z24" s="1264"/>
      <c r="AA24" s="1264">
        <v>1</v>
      </c>
      <c r="AB24" s="1264">
        <v>1</v>
      </c>
      <c r="AC24" s="1264">
        <v>1</v>
      </c>
    </row>
    <row r="25" spans="1:29" ht="15">
      <c r="A25" s="367"/>
      <c r="B25" s="364" t="s">
        <v>1780</v>
      </c>
      <c r="C25" s="542" t="s">
        <v>3457</v>
      </c>
      <c r="D25" s="374">
        <v>100</v>
      </c>
      <c r="E25" s="542" t="s">
        <v>3458</v>
      </c>
      <c r="F25" s="400">
        <f>SUMIF(86:86,E25,87:87)-SUMIF(86:86,C25,87:87)+100</f>
        <v>102</v>
      </c>
      <c r="G25" s="542" t="s">
        <v>3458</v>
      </c>
      <c r="H25" s="374">
        <f>SUMIF(86:86,G25,87:87)-SUMIF(86:86,C25,87:87)+100</f>
        <v>102</v>
      </c>
      <c r="I25" s="542" t="s">
        <v>3458</v>
      </c>
      <c r="J25" s="374">
        <f>SUMIF(86:86,I25,87:87)-SUMIF(86:86,C25,87:87)+100</f>
        <v>102</v>
      </c>
      <c r="K25" s="538">
        <v>2</v>
      </c>
      <c r="L25" s="2493"/>
      <c r="M25" s="2488"/>
      <c r="N25" s="2488"/>
      <c r="O25" s="2488"/>
      <c r="P25" s="3376"/>
      <c r="Q25" s="1263" t="str">
        <f t="shared" ref="Q25:Q46" si="11">B25</f>
        <v>临街状况</v>
      </c>
      <c r="R25" s="667" t="s">
        <v>14</v>
      </c>
      <c r="S25" s="668">
        <f>F25</f>
        <v>102</v>
      </c>
      <c r="T25" s="667" t="s">
        <v>14</v>
      </c>
      <c r="U25" s="668">
        <f>H25</f>
        <v>102</v>
      </c>
      <c r="V25" s="667" t="s">
        <v>14</v>
      </c>
      <c r="W25" s="668">
        <f>J25</f>
        <v>102</v>
      </c>
      <c r="X25" s="1265"/>
      <c r="Y25" s="3378"/>
      <c r="Z25" s="1264" t="str">
        <f>Q25</f>
        <v>临街状况</v>
      </c>
      <c r="AA25" s="1264">
        <f t="shared" si="3"/>
        <v>0.98039215686274506</v>
      </c>
      <c r="AB25" s="1264">
        <f t="shared" si="4"/>
        <v>0.98039215686274506</v>
      </c>
      <c r="AC25" s="1264">
        <f t="shared" si="5"/>
        <v>0.98039215686274506</v>
      </c>
    </row>
    <row r="26" spans="1:29" ht="15">
      <c r="A26" s="367"/>
      <c r="B26" s="1066" t="s">
        <v>1781</v>
      </c>
      <c r="C26" s="3172" t="s">
        <v>3459</v>
      </c>
      <c r="D26" s="374">
        <v>100</v>
      </c>
      <c r="E26" s="3172" t="s">
        <v>3460</v>
      </c>
      <c r="F26" s="400">
        <f>SUMIF(88:88,E26,89:89)-SUMIF(88:88,C26,89:89)+100</f>
        <v>102</v>
      </c>
      <c r="G26" s="3172" t="s">
        <v>3460</v>
      </c>
      <c r="H26" s="374">
        <f>SUMIF(88:88,G26,89:89)-SUMIF(88:88,C26,89:89)+100</f>
        <v>102</v>
      </c>
      <c r="I26" s="3172" t="s">
        <v>3460</v>
      </c>
      <c r="J26" s="374">
        <f>SUMIF(88:88,I26,89:89)-SUMIF(88:88,C26,89:89)+100</f>
        <v>102</v>
      </c>
      <c r="K26" s="539"/>
      <c r="L26" s="2493"/>
      <c r="M26" s="2488"/>
      <c r="N26" s="2488"/>
      <c r="O26" s="2488"/>
      <c r="P26" s="3376"/>
      <c r="Q26" s="1263" t="str">
        <f t="shared" si="11"/>
        <v>平面位置/可视性</v>
      </c>
      <c r="R26" s="667" t="s">
        <v>14</v>
      </c>
      <c r="S26" s="668">
        <f>F26</f>
        <v>102</v>
      </c>
      <c r="T26" s="667" t="s">
        <v>14</v>
      </c>
      <c r="U26" s="668">
        <f>H26</f>
        <v>102</v>
      </c>
      <c r="V26" s="667" t="s">
        <v>14</v>
      </c>
      <c r="W26" s="668">
        <f>J26</f>
        <v>102</v>
      </c>
      <c r="X26" s="1265"/>
      <c r="Y26" s="3378"/>
      <c r="Z26" s="1264" t="str">
        <f>Q26</f>
        <v>平面位置/可视性</v>
      </c>
      <c r="AA26" s="1264">
        <f t="shared" si="3"/>
        <v>0.98039215686274506</v>
      </c>
      <c r="AB26" s="1264">
        <f t="shared" si="4"/>
        <v>0.98039215686274506</v>
      </c>
      <c r="AC26" s="1264">
        <f t="shared" si="5"/>
        <v>0.98039215686274506</v>
      </c>
    </row>
    <row r="27" spans="1:29" s="102" customFormat="1" ht="15">
      <c r="A27" s="370"/>
      <c r="B27" s="390" t="s">
        <v>1782</v>
      </c>
      <c r="C27" s="1807" t="s">
        <v>3454</v>
      </c>
      <c r="D27" s="401">
        <v>100</v>
      </c>
      <c r="E27" s="1807" t="s">
        <v>3462</v>
      </c>
      <c r="F27" s="395">
        <f>SUMIF(90:90,E27,91:91)-SUMIF(90:90,C27,91:91)+100</f>
        <v>102</v>
      </c>
      <c r="G27" s="1807" t="s">
        <v>3462</v>
      </c>
      <c r="H27" s="401">
        <f>SUMIF(90:90,G27,91:91)-SUMIF(90:90,C27,91:91)+100</f>
        <v>102</v>
      </c>
      <c r="I27" s="1807" t="s">
        <v>3462</v>
      </c>
      <c r="J27" s="401">
        <f>SUMIF(90:90,I27,91:91)-SUMIF(90:90,C27,91:91)+100</f>
        <v>102</v>
      </c>
      <c r="K27" s="538">
        <v>2</v>
      </c>
      <c r="L27" s="2489"/>
      <c r="M27" s="2440"/>
      <c r="N27" s="2440"/>
      <c r="O27" s="2440"/>
      <c r="P27" s="3376"/>
      <c r="Q27" s="530" t="str">
        <f t="shared" si="11"/>
        <v>人流量</v>
      </c>
      <c r="R27" s="664" t="s">
        <v>14</v>
      </c>
      <c r="S27" s="665">
        <f>F27</f>
        <v>102</v>
      </c>
      <c r="T27" s="664" t="s">
        <v>14</v>
      </c>
      <c r="U27" s="665">
        <f>H27</f>
        <v>102</v>
      </c>
      <c r="V27" s="664" t="s">
        <v>14</v>
      </c>
      <c r="W27" s="665">
        <f>J27</f>
        <v>102</v>
      </c>
      <c r="X27" s="666"/>
      <c r="Y27" s="3378"/>
      <c r="Z27" s="50" t="str">
        <f>Q27</f>
        <v>人流量</v>
      </c>
      <c r="AA27" s="1264">
        <f>D27/F27</f>
        <v>0.98039215686274506</v>
      </c>
      <c r="AB27" s="1264">
        <f>D27/H27</f>
        <v>0.98039215686274506</v>
      </c>
      <c r="AC27" s="1264">
        <f>D27/J27</f>
        <v>0.98039215686274506</v>
      </c>
    </row>
    <row r="28" spans="1:29" ht="15.75" thickBot="1">
      <c r="A28" s="367"/>
      <c r="B28" s="364" t="s">
        <v>1783</v>
      </c>
      <c r="C28" s="542" t="s">
        <v>3461</v>
      </c>
      <c r="D28" s="374">
        <v>100</v>
      </c>
      <c r="E28" s="542" t="s">
        <v>3461</v>
      </c>
      <c r="F28" s="400">
        <f>SUMIF(92:92,E28,93:93)-SUMIF(92:92,C28,93:93)+100</f>
        <v>100</v>
      </c>
      <c r="G28" s="542" t="s">
        <v>3461</v>
      </c>
      <c r="H28" s="374">
        <f>SUMIF(92:92,G28,93:93)-SUMIF(92:92,C28,93:93)+100</f>
        <v>100</v>
      </c>
      <c r="I28" s="542" t="s">
        <v>3461</v>
      </c>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3173" t="s">
        <v>3435</v>
      </c>
      <c r="D32" s="405">
        <v>100</v>
      </c>
      <c r="E32" s="1764" t="s">
        <v>3469</v>
      </c>
      <c r="F32" s="400">
        <f>SUMIF(100:100,E32,101:101)-SUMIF(100:100,C32,101:101)+100</f>
        <v>100</v>
      </c>
      <c r="G32" s="1765" t="s">
        <v>3469</v>
      </c>
      <c r="H32" s="374">
        <f>SUMIF(100:100,G32,101:101)-SUMIF(100:100,C32,101:101)+100</f>
        <v>100</v>
      </c>
      <c r="I32" s="3173" t="s">
        <v>3469</v>
      </c>
      <c r="J32" s="405">
        <f>SUMIF(100:100,I32,101:101)-SUMIF(100:100,C32,101:101)+100</f>
        <v>100</v>
      </c>
      <c r="K32" s="538">
        <v>2</v>
      </c>
      <c r="L32" s="2493"/>
      <c r="M32" s="2488"/>
      <c r="N32" s="2488"/>
      <c r="O32" s="2488"/>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f>'[2]数据-汇总表'!E31</f>
        <v>583.70000000000005</v>
      </c>
      <c r="D33" s="119">
        <v>100</v>
      </c>
      <c r="E33" s="369">
        <f>[2]案例!C2</f>
        <v>157.41</v>
      </c>
      <c r="F33" s="364">
        <f>LOOKUP(E33,103:103,104:104)-LOOKUP(C33,103:103,104:104)+100</f>
        <v>102</v>
      </c>
      <c r="G33" s="369">
        <f>[2]案例!C3</f>
        <v>26.5</v>
      </c>
      <c r="H33" s="119">
        <f>LOOKUP(G33,103:103,104:104)-LOOKUP(C33,103:103,104:104)+100</f>
        <v>105</v>
      </c>
      <c r="I33" s="368">
        <f>[2]案例!C4</f>
        <v>363.38</v>
      </c>
      <c r="J33" s="119">
        <f>LOOKUP(I33,103:103,104:104)-LOOKUP(C33,103:103,104:104)+100</f>
        <v>101</v>
      </c>
      <c r="K33" s="539"/>
      <c r="L33" s="2492"/>
      <c r="M33" s="2494"/>
      <c r="N33" s="2494"/>
      <c r="O33" s="2494"/>
      <c r="P33" s="3380"/>
      <c r="Q33" s="531" t="str">
        <f t="shared" si="11"/>
        <v>项目建筑规模</v>
      </c>
      <c r="R33" s="669" t="s">
        <v>14</v>
      </c>
      <c r="S33" s="670">
        <f t="shared" si="12"/>
        <v>102</v>
      </c>
      <c r="T33" s="669" t="s">
        <v>14</v>
      </c>
      <c r="U33" s="670">
        <f t="shared" si="13"/>
        <v>105</v>
      </c>
      <c r="V33" s="669" t="s">
        <v>14</v>
      </c>
      <c r="W33" s="670">
        <f t="shared" si="14"/>
        <v>101</v>
      </c>
      <c r="X33" s="671"/>
      <c r="Y33" s="3382"/>
      <c r="Z33" s="672" t="str">
        <f t="shared" si="15"/>
        <v>项目建筑规模</v>
      </c>
      <c r="AA33" s="1264">
        <f t="shared" si="3"/>
        <v>0.98039215686274506</v>
      </c>
      <c r="AB33" s="1264">
        <f t="shared" si="4"/>
        <v>0.95238095238095233</v>
      </c>
      <c r="AC33" s="1264">
        <f t="shared" si="5"/>
        <v>0.99009900990099009</v>
      </c>
    </row>
    <row r="34" spans="1:29" ht="15">
      <c r="A34" s="409"/>
      <c r="B34" s="364" t="s">
        <v>1698</v>
      </c>
      <c r="C34" s="399" t="s">
        <v>3463</v>
      </c>
      <c r="D34" s="374">
        <v>100</v>
      </c>
      <c r="E34" s="3174" t="s">
        <v>3437</v>
      </c>
      <c r="F34" s="400">
        <f>SUMIF(105:105,E34,106:106)-SUMIF(105:105,C34,106:106)+100</f>
        <v>99</v>
      </c>
      <c r="G34" s="3176" t="s">
        <v>3437</v>
      </c>
      <c r="H34" s="374">
        <f>SUMIF(105:105,G34,106:106)-SUMIF(105:105,C34,106:106)+100</f>
        <v>99</v>
      </c>
      <c r="I34" s="399" t="s">
        <v>3473</v>
      </c>
      <c r="J34" s="374">
        <f>SUMIF(105:105,I34,106:106)-SUMIF(105:105,C34,106:106)+100</f>
        <v>99</v>
      </c>
      <c r="K34" s="538">
        <v>1</v>
      </c>
      <c r="L34" s="2493"/>
      <c r="M34" s="2488"/>
      <c r="N34" s="2488"/>
      <c r="O34" s="2488"/>
      <c r="P34" s="3380"/>
      <c r="Q34" s="1263" t="str">
        <f t="shared" si="11"/>
        <v>建筑结构</v>
      </c>
      <c r="R34" s="667" t="s">
        <v>14</v>
      </c>
      <c r="S34" s="668">
        <f t="shared" si="12"/>
        <v>99</v>
      </c>
      <c r="T34" s="667" t="s">
        <v>14</v>
      </c>
      <c r="U34" s="668">
        <f t="shared" si="13"/>
        <v>99</v>
      </c>
      <c r="V34" s="667" t="s">
        <v>14</v>
      </c>
      <c r="W34" s="668">
        <f t="shared" si="14"/>
        <v>99</v>
      </c>
      <c r="X34" s="1265"/>
      <c r="Y34" s="3382"/>
      <c r="Z34" s="1264" t="str">
        <f t="shared" si="15"/>
        <v>建筑结构</v>
      </c>
      <c r="AA34" s="1264">
        <f t="shared" si="3"/>
        <v>1.0101010101010102</v>
      </c>
      <c r="AB34" s="1264">
        <f t="shared" si="4"/>
        <v>1.0101010101010102</v>
      </c>
      <c r="AC34" s="1264">
        <f t="shared" si="5"/>
        <v>1.0101010101010102</v>
      </c>
    </row>
    <row r="35" spans="1:29" ht="15">
      <c r="A35" s="409"/>
      <c r="B35" s="364" t="s">
        <v>1785</v>
      </c>
      <c r="C35" s="1760" t="s">
        <v>3464</v>
      </c>
      <c r="D35" s="374">
        <v>100</v>
      </c>
      <c r="E35" s="3175" t="s">
        <v>3439</v>
      </c>
      <c r="F35" s="400">
        <f>SUMIF(107:107,E35,108:108)-SUMIF(107:107,C35,108:108)+100</f>
        <v>100</v>
      </c>
      <c r="G35" s="3177" t="s">
        <v>3439</v>
      </c>
      <c r="H35" s="374">
        <f>SUMIF(107:107,G35,108:108)-SUMIF(107:107,C35,108:108)+100</f>
        <v>100</v>
      </c>
      <c r="I35" s="1760" t="s">
        <v>3464</v>
      </c>
      <c r="J35" s="374">
        <f>SUMIF(107:107,I35,108:108)-SUMIF(107:107,C35,108:108)+100</f>
        <v>100</v>
      </c>
      <c r="K35" s="538">
        <v>1</v>
      </c>
      <c r="L35" s="2493"/>
      <c r="M35" s="2488"/>
      <c r="N35" s="2488"/>
      <c r="O35" s="2488"/>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0.96</v>
      </c>
      <c r="D36" s="374">
        <v>100</v>
      </c>
      <c r="E36" s="411">
        <f>ROUND(1-(1-0%)*(2025-2015)/60,2)</f>
        <v>0.83</v>
      </c>
      <c r="F36" s="400">
        <f>LOOKUP(E36,110:110,111:111)-LOOKUP(C36,110:110,111:111)+100</f>
        <v>99</v>
      </c>
      <c r="G36" s="3178">
        <f>ROUND(1-(1-0%)*(2025-2008)/60,2)</f>
        <v>0.72</v>
      </c>
      <c r="H36" s="400">
        <f>LOOKUP(G36,110:110,111:111)-LOOKUP(C36,110:110,111:111)+100</f>
        <v>98</v>
      </c>
      <c r="I36" s="411">
        <f>ROUND(1-(1-0%)*(2025-2016)/60,2)</f>
        <v>0.85</v>
      </c>
      <c r="J36" s="374">
        <f>LOOKUP(I36,110:110,111:111)-LOOKUP(C36,110:110,111:111)+100</f>
        <v>99</v>
      </c>
      <c r="K36" s="538">
        <v>1</v>
      </c>
      <c r="L36" s="2493"/>
      <c r="M36" s="2488"/>
      <c r="N36" s="2488"/>
      <c r="O36" s="2488"/>
      <c r="P36" s="3380"/>
      <c r="Q36" s="1263" t="str">
        <f t="shared" si="11"/>
        <v>成新度</v>
      </c>
      <c r="R36" s="667" t="s">
        <v>14</v>
      </c>
      <c r="S36" s="668">
        <f t="shared" si="12"/>
        <v>99</v>
      </c>
      <c r="T36" s="667" t="s">
        <v>14</v>
      </c>
      <c r="U36" s="668">
        <f t="shared" si="13"/>
        <v>98</v>
      </c>
      <c r="V36" s="667" t="s">
        <v>14</v>
      </c>
      <c r="W36" s="668">
        <f t="shared" si="14"/>
        <v>99</v>
      </c>
      <c r="X36" s="1265"/>
      <c r="Y36" s="3382"/>
      <c r="Z36" s="1264" t="str">
        <f t="shared" si="15"/>
        <v>成新度</v>
      </c>
      <c r="AA36" s="1264">
        <f t="shared" si="3"/>
        <v>1.0101010101010102</v>
      </c>
      <c r="AB36" s="1264">
        <f t="shared" si="4"/>
        <v>1.0204081632653061</v>
      </c>
      <c r="AC36" s="1264">
        <f t="shared" si="5"/>
        <v>1.0101010101010102</v>
      </c>
    </row>
    <row r="37" spans="1:29" s="102" customFormat="1" ht="15">
      <c r="A37" s="410"/>
      <c r="B37" s="364" t="s">
        <v>1787</v>
      </c>
      <c r="C37" s="1760" t="s">
        <v>3455</v>
      </c>
      <c r="D37" s="119">
        <v>100</v>
      </c>
      <c r="E37" s="3175" t="s">
        <v>3455</v>
      </c>
      <c r="F37" s="400">
        <f>SUMIF(112:112,E37,113:113)-SUMIF(112:112,C37,113:113)+100</f>
        <v>100</v>
      </c>
      <c r="G37" s="3177" t="s">
        <v>3443</v>
      </c>
      <c r="H37" s="374">
        <f>SUMIF(112:112,G37,113:113)-SUMIF(112:112,C37,113:113)+100</f>
        <v>99</v>
      </c>
      <c r="I37" s="1760" t="s">
        <v>3474</v>
      </c>
      <c r="J37" s="374">
        <f>SUMIF(112:112,I37,113:113)-SUMIF(112:112,C37,113:113)+100</f>
        <v>99</v>
      </c>
      <c r="K37" s="538">
        <v>1</v>
      </c>
      <c r="L37" s="2489"/>
      <c r="M37" s="2440"/>
      <c r="N37" s="2440"/>
      <c r="O37" s="2440"/>
      <c r="P37" s="3380"/>
      <c r="Q37" s="530" t="str">
        <f t="shared" si="11"/>
        <v>市政基础设施</v>
      </c>
      <c r="R37" s="664" t="s">
        <v>14</v>
      </c>
      <c r="S37" s="665">
        <f t="shared" si="12"/>
        <v>100</v>
      </c>
      <c r="T37" s="664" t="s">
        <v>14</v>
      </c>
      <c r="U37" s="665">
        <f t="shared" si="13"/>
        <v>99</v>
      </c>
      <c r="V37" s="664" t="s">
        <v>14</v>
      </c>
      <c r="W37" s="665">
        <f t="shared" si="14"/>
        <v>99</v>
      </c>
      <c r="X37" s="666"/>
      <c r="Y37" s="3382"/>
      <c r="Z37" s="50" t="str">
        <f t="shared" si="15"/>
        <v>市政基础设施</v>
      </c>
      <c r="AA37" s="50">
        <f t="shared" si="3"/>
        <v>1</v>
      </c>
      <c r="AB37" s="50">
        <f t="shared" si="4"/>
        <v>1.0101010101010102</v>
      </c>
      <c r="AC37" s="50">
        <f t="shared" si="5"/>
        <v>1.0101010101010102</v>
      </c>
    </row>
    <row r="38" spans="1:29" ht="15">
      <c r="A38" s="409"/>
      <c r="B38" s="364" t="s">
        <v>1788</v>
      </c>
      <c r="C38" s="1760" t="s">
        <v>3465</v>
      </c>
      <c r="D38" s="374">
        <v>100</v>
      </c>
      <c r="E38" s="1760" t="s">
        <v>3465</v>
      </c>
      <c r="F38" s="400">
        <f>SUMIF(114:114,E38,115:115)-SUMIF(114:114,C38,115:115)+100</f>
        <v>100</v>
      </c>
      <c r="G38" s="1760" t="s">
        <v>3472</v>
      </c>
      <c r="H38" s="374">
        <f>SUMIF(114:114,G38,115:115)-SUMIF(114:114,C38,115:115)+100</f>
        <v>99</v>
      </c>
      <c r="I38" s="1760" t="s">
        <v>3472</v>
      </c>
      <c r="J38" s="374">
        <f>SUMIF(114:114,I38,115:115)-SUMIF(114:114,C38,115:115)+100</f>
        <v>99</v>
      </c>
      <c r="K38" s="538">
        <v>1</v>
      </c>
      <c r="L38" s="2493"/>
      <c r="M38" s="2488"/>
      <c r="N38" s="2488"/>
      <c r="O38" s="2488"/>
      <c r="P38" s="3380" t="s">
        <v>1696</v>
      </c>
      <c r="Q38" s="1263" t="str">
        <f t="shared" si="11"/>
        <v>业态</v>
      </c>
      <c r="R38" s="667" t="s">
        <v>14</v>
      </c>
      <c r="S38" s="668">
        <f t="shared" si="12"/>
        <v>100</v>
      </c>
      <c r="T38" s="667" t="s">
        <v>14</v>
      </c>
      <c r="U38" s="668">
        <f t="shared" si="13"/>
        <v>99</v>
      </c>
      <c r="V38" s="667" t="s">
        <v>14</v>
      </c>
      <c r="W38" s="668">
        <f t="shared" si="14"/>
        <v>99</v>
      </c>
      <c r="X38" s="1265"/>
      <c r="Y38" s="3382" t="s">
        <v>1696</v>
      </c>
      <c r="Z38" s="1264" t="str">
        <f t="shared" si="15"/>
        <v>业态</v>
      </c>
      <c r="AA38" s="1264">
        <f t="shared" si="3"/>
        <v>1</v>
      </c>
      <c r="AB38" s="1264">
        <f t="shared" si="4"/>
        <v>1.0101010101010102</v>
      </c>
      <c r="AC38" s="1264">
        <f t="shared" si="5"/>
        <v>1.0101010101010102</v>
      </c>
    </row>
    <row r="39" spans="1:29" ht="15">
      <c r="A39" s="409"/>
      <c r="B39" s="364" t="s">
        <v>1789</v>
      </c>
      <c r="C39" s="1760" t="s">
        <v>3466</v>
      </c>
      <c r="D39" s="374">
        <v>100</v>
      </c>
      <c r="E39" s="1760" t="s">
        <v>3470</v>
      </c>
      <c r="F39" s="400">
        <f>SUMIF(116:116,E39,117:117)-SUMIF(116:116,C39,117:117)+100</f>
        <v>99</v>
      </c>
      <c r="G39" s="1760" t="s">
        <v>3470</v>
      </c>
      <c r="H39" s="374">
        <f>SUMIF(116:116,G39,117:117)-SUMIF(116:116,C39,117:117)+100</f>
        <v>99</v>
      </c>
      <c r="I39" s="1760" t="s">
        <v>3470</v>
      </c>
      <c r="J39" s="374">
        <f>SUMIF(116:116,I39,117:117)-SUMIF(116:116,C39,117:117)+100</f>
        <v>99</v>
      </c>
      <c r="K39" s="538">
        <v>1</v>
      </c>
      <c r="L39" s="2493"/>
      <c r="M39" s="2488"/>
      <c r="N39" s="2488"/>
      <c r="O39" s="2488"/>
      <c r="P39" s="3380"/>
      <c r="Q39" s="1263" t="str">
        <f t="shared" si="11"/>
        <v>层高</v>
      </c>
      <c r="R39" s="667" t="s">
        <v>14</v>
      </c>
      <c r="S39" s="668">
        <f t="shared" si="12"/>
        <v>99</v>
      </c>
      <c r="T39" s="667" t="s">
        <v>14</v>
      </c>
      <c r="U39" s="668">
        <f t="shared" si="13"/>
        <v>99</v>
      </c>
      <c r="V39" s="667" t="s">
        <v>14</v>
      </c>
      <c r="W39" s="668">
        <f t="shared" si="14"/>
        <v>99</v>
      </c>
      <c r="X39" s="1265"/>
      <c r="Y39" s="3382"/>
      <c r="Z39" s="1264" t="str">
        <f t="shared" si="15"/>
        <v>层高</v>
      </c>
      <c r="AA39" s="1264">
        <f t="shared" si="3"/>
        <v>1.0101010101010102</v>
      </c>
      <c r="AB39" s="1264">
        <f t="shared" si="4"/>
        <v>1.0101010101010102</v>
      </c>
      <c r="AC39" s="1264">
        <f t="shared" si="5"/>
        <v>1.0101010101010102</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t="s">
        <v>3467</v>
      </c>
      <c r="D41" s="374">
        <v>100</v>
      </c>
      <c r="E41" s="542" t="s">
        <v>3467</v>
      </c>
      <c r="F41" s="400">
        <f>SUMIF(120:120,E41,121:121)-SUMIF(120:120,C41,121:121)+100</f>
        <v>100</v>
      </c>
      <c r="G41" s="542" t="s">
        <v>3467</v>
      </c>
      <c r="H41" s="374">
        <f>SUMIF(120:120,G41,121:121)-SUMIF(120:120,C41,121:121)+100</f>
        <v>100</v>
      </c>
      <c r="I41" s="3179" t="s">
        <v>3450</v>
      </c>
      <c r="J41" s="374">
        <f>SUMIF(120:120,I41,121:121)-SUMIF(120:120,C41,121:121)+100</f>
        <v>100</v>
      </c>
      <c r="K41" s="538">
        <v>1</v>
      </c>
      <c r="L41" s="2492"/>
      <c r="M41" s="2494"/>
      <c r="N41" s="2494"/>
      <c r="O41" s="2494"/>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t="s">
        <v>3468</v>
      </c>
      <c r="D42" s="374">
        <v>100</v>
      </c>
      <c r="E42" s="3175" t="s">
        <v>3471</v>
      </c>
      <c r="F42" s="400">
        <f>SUMIF(122:122,E42,123:123)-SUMIF(122:122,C42,123:123)+100</f>
        <v>103</v>
      </c>
      <c r="G42" s="3175" t="s">
        <v>3464</v>
      </c>
      <c r="H42" s="374">
        <f>SUMIF(122:122,G42,123:123)-SUMIF(122:122,C42,123:123)+100</f>
        <v>102</v>
      </c>
      <c r="I42" s="3175" t="s">
        <v>3468</v>
      </c>
      <c r="J42" s="374">
        <f>SUMIF(122:122,I42,123:123)-SUMIF(122:122,C42,123:123)+100</f>
        <v>100</v>
      </c>
      <c r="K42" s="538">
        <v>1</v>
      </c>
      <c r="L42" s="2493"/>
      <c r="M42" s="2488"/>
      <c r="N42" s="2488"/>
      <c r="O42" s="2488"/>
      <c r="P42" s="3380"/>
      <c r="Q42" s="1263" t="str">
        <f t="shared" si="11"/>
        <v>内部装修</v>
      </c>
      <c r="R42" s="667" t="s">
        <v>14</v>
      </c>
      <c r="S42" s="668">
        <f t="shared" si="12"/>
        <v>103</v>
      </c>
      <c r="T42" s="667" t="s">
        <v>14</v>
      </c>
      <c r="U42" s="668">
        <f t="shared" si="13"/>
        <v>102</v>
      </c>
      <c r="V42" s="667" t="s">
        <v>14</v>
      </c>
      <c r="W42" s="668">
        <f t="shared" si="14"/>
        <v>100</v>
      </c>
      <c r="X42" s="1265"/>
      <c r="Y42" s="3382"/>
      <c r="Z42" s="1264" t="str">
        <f t="shared" si="15"/>
        <v>内部装修</v>
      </c>
      <c r="AA42" s="1264">
        <f t="shared" si="3"/>
        <v>0.970873786407767</v>
      </c>
      <c r="AB42" s="1264">
        <f t="shared" si="4"/>
        <v>0.98039215686274506</v>
      </c>
      <c r="AC42" s="1264">
        <f t="shared" si="5"/>
        <v>1</v>
      </c>
    </row>
    <row r="43" spans="1:29" ht="15.75" thickBot="1">
      <c r="A43" s="409"/>
      <c r="B43" s="364" t="s">
        <v>1707</v>
      </c>
      <c r="C43" s="1760" t="s">
        <v>3456</v>
      </c>
      <c r="D43" s="374">
        <v>100</v>
      </c>
      <c r="E43" s="3175" t="s">
        <v>3422</v>
      </c>
      <c r="F43" s="400">
        <f>SUMIF(124:124,E43,125:125)-SUMIF(124:124,C43,125:125)+100</f>
        <v>100</v>
      </c>
      <c r="G43" s="3175" t="s">
        <v>3422</v>
      </c>
      <c r="H43" s="374">
        <f>SUMIF(124:124,G43,125:125)-SUMIF(124:124,C43,125:125)+100</f>
        <v>100</v>
      </c>
      <c r="I43" s="3175" t="s">
        <v>3422</v>
      </c>
      <c r="J43" s="374">
        <f>SUMIF(124:124,I43,125:125)-SUMIF(124:124,C43,125:125)+100</f>
        <v>100</v>
      </c>
      <c r="K43" s="538">
        <v>1</v>
      </c>
      <c r="L43" s="2493"/>
      <c r="M43" s="2488"/>
      <c r="N43" s="2488"/>
      <c r="O43" s="2488"/>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v>36847</v>
      </c>
      <c r="F47" s="420"/>
      <c r="G47" s="421">
        <v>32076</v>
      </c>
      <c r="H47" s="422"/>
      <c r="I47" s="419">
        <v>34400</v>
      </c>
      <c r="J47" s="422"/>
      <c r="K47" s="674"/>
      <c r="L47" s="2495"/>
      <c r="M47" s="2488"/>
      <c r="N47" s="2488"/>
      <c r="O47" s="2488"/>
      <c r="P47" s="3370" t="str">
        <f>A47</f>
        <v>成交单价（元/平方米）</v>
      </c>
      <c r="Q47" s="3370"/>
      <c r="R47" s="3371">
        <f>E47</f>
        <v>36847</v>
      </c>
      <c r="S47" s="3371"/>
      <c r="T47" s="3371">
        <f>G47</f>
        <v>32076</v>
      </c>
      <c r="U47" s="3371"/>
      <c r="V47" s="3371">
        <f>I47</f>
        <v>34400</v>
      </c>
      <c r="W47" s="3371"/>
      <c r="X47" s="385"/>
      <c r="Y47" s="673"/>
      <c r="Z47" s="385"/>
      <c r="AA47" s="385"/>
      <c r="AB47" s="385"/>
      <c r="AC47" s="385"/>
    </row>
    <row r="48" spans="1:29" ht="15.75" thickBot="1">
      <c r="A48" s="423" t="s">
        <v>1793</v>
      </c>
      <c r="B48" s="424"/>
      <c r="C48" s="1082">
        <f>R49</f>
        <v>28956</v>
      </c>
      <c r="D48" s="2141" t="s">
        <v>2138</v>
      </c>
      <c r="E48" s="1083">
        <f>R48</f>
        <v>30257</v>
      </c>
      <c r="F48" s="2142"/>
      <c r="G48" s="1082">
        <f>T48</f>
        <v>26631</v>
      </c>
      <c r="H48" s="2142"/>
      <c r="I48" s="1083">
        <f>V48</f>
        <v>29980</v>
      </c>
      <c r="J48" s="2142"/>
      <c r="K48" s="2144">
        <f>F48+H48+J48</f>
        <v>0</v>
      </c>
      <c r="L48" s="2495"/>
      <c r="M48" s="2488"/>
      <c r="N48" s="2488"/>
      <c r="O48" s="2488"/>
      <c r="P48" s="3370" t="str">
        <f>A48</f>
        <v>比较价值（元/平方米）</v>
      </c>
      <c r="Q48" s="3370"/>
      <c r="R48" s="3371">
        <f>IF(F1="售价",ROUND(PRODUCT(R47,AA7:AA46),0),ROUND(PRODUCT(R47,AA7:AA46),1))</f>
        <v>30257</v>
      </c>
      <c r="S48" s="3371"/>
      <c r="T48" s="3371">
        <f>IF(F1="售价",ROUND(PRODUCT(T47,AB7:AB46),0),ROUND(PRODUCT(T47,AB7:AB46),1))</f>
        <v>26631</v>
      </c>
      <c r="U48" s="3371"/>
      <c r="V48" s="3371">
        <f>IF(F1="售价",ROUND(PRODUCT(V47,AC7:AC46),0),ROUND(PRODUCT(V47,AC7:AC46),1))</f>
        <v>29980</v>
      </c>
      <c r="W48" s="3371"/>
      <c r="X48" s="385"/>
      <c r="Y48" s="385"/>
      <c r="Z48" s="385"/>
      <c r="AA48" s="385"/>
      <c r="AB48" s="385"/>
      <c r="AC48" s="385"/>
    </row>
    <row r="49" spans="1:29" ht="15.75" thickBot="1">
      <c r="A49" s="427" t="s">
        <v>1794</v>
      </c>
      <c r="B49" s="428"/>
      <c r="C49" s="351">
        <f>R49</f>
        <v>28956</v>
      </c>
      <c r="D49" s="351"/>
      <c r="E49" s="351"/>
      <c r="F49" s="351"/>
      <c r="G49" s="351"/>
      <c r="H49" s="351"/>
      <c r="I49" s="351"/>
      <c r="J49" s="351"/>
      <c r="K49" s="675"/>
      <c r="L49" s="2495"/>
      <c r="M49" s="2488"/>
      <c r="N49" s="2488"/>
      <c r="O49" s="2488"/>
      <c r="P49" s="3372" t="str">
        <f>A49</f>
        <v>估价对象XX用房的比较价值（楼面单价，元/平方米）</v>
      </c>
      <c r="Q49" s="3373"/>
      <c r="R49" s="3374">
        <f>IF(F1="售价",ROUND(IF(D48="简单平均",AVERAGE(R48:V48),R48*F48+T48*H48+V48*J48),0),ROUND(IF(D48="简单平均",AVERAGE(R48:V48),R48*F48+T48*H48+V48*J48),1))</f>
        <v>28956</v>
      </c>
      <c r="S49" s="3374"/>
      <c r="T49" s="3374"/>
      <c r="U49" s="3374"/>
      <c r="V49" s="3374"/>
      <c r="W49" s="337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0.21780083947516271</v>
      </c>
      <c r="F52" s="435" t="str">
        <f>IF(OR(E52&gt;=0.3,E52&lt;=-0.3),"超过30%","")</f>
        <v/>
      </c>
      <c r="G52" s="434">
        <f>IF(G47&lt;G48,G48/G47-1,G47/G48-1)</f>
        <v>0.20446096654275103</v>
      </c>
      <c r="H52" s="435" t="str">
        <f>IF(OR(G52&gt;=0.3,G52&lt;=-0.3),"超过30%","")</f>
        <v/>
      </c>
      <c r="I52" s="434">
        <f>IF(I47&lt;I48,I48/I47-1,I47/I48-1)</f>
        <v>0.1474316210807205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0.13615711013480536</v>
      </c>
      <c r="F53" s="435" t="str">
        <f>IF(OR(E53&gt;=0.2,E53&lt;=-0.2),"超过20%","")</f>
        <v/>
      </c>
      <c r="G53" s="434">
        <f>IF(G48&lt;I48,I48/G48-1,G48/I48-1)</f>
        <v>0.12575569824640453</v>
      </c>
      <c r="H53" s="435" t="str">
        <f>IF(OR(G53&gt;=0.2,G53&lt;=-0.2),"超过20%","")</f>
        <v/>
      </c>
      <c r="I53" s="434">
        <f>IF(I48&lt;E48,E48/I48-1,I48/E48-1)</f>
        <v>9.2394929953301119E-3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0.14874049133308387</v>
      </c>
      <c r="F54" s="435" t="str">
        <f>IF(OR(E54&gt;=0.3,E54&lt;=-0.3),"超过30%","")</f>
        <v/>
      </c>
      <c r="G54" s="434">
        <f>IF(G47&lt;I47,I47/G47-1,G47/I47-1)</f>
        <v>7.2452924304776234E-2</v>
      </c>
      <c r="H54" s="435" t="str">
        <f>IF(OR(G54&gt;=0.3,G54&lt;=-0.3),"超过30%","")</f>
        <v/>
      </c>
      <c r="I54" s="434">
        <f>IF(I47&lt;E47,E47/I47-1,I47/E47-1)</f>
        <v>7.1133720930232514E-2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6"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104</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v>4</v>
      </c>
      <c r="H68" s="480">
        <v>5</v>
      </c>
      <c r="I68" s="480">
        <v>6</v>
      </c>
      <c r="J68" s="480">
        <v>7</v>
      </c>
      <c r="K68" s="481">
        <v>8</v>
      </c>
      <c r="L68" s="482">
        <v>9</v>
      </c>
      <c r="M68" s="483">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67" t="s">
        <v>3419</v>
      </c>
      <c r="D86" s="3167" t="s">
        <v>3420</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67" t="s">
        <v>3421</v>
      </c>
      <c r="D88" s="3167" t="s">
        <v>3422</v>
      </c>
      <c r="E88" s="3167" t="s">
        <v>3423</v>
      </c>
      <c r="F88" s="3168" t="s">
        <v>3424</v>
      </c>
      <c r="G88" s="3167" t="s">
        <v>3425</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7" t="s">
        <v>3426</v>
      </c>
      <c r="D90" s="3167" t="s">
        <v>3427</v>
      </c>
      <c r="E90" s="3167" t="s">
        <v>3423</v>
      </c>
      <c r="F90" s="3167" t="s">
        <v>3428</v>
      </c>
      <c r="G90" s="3167" t="s">
        <v>3429</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167" t="s">
        <v>3430</v>
      </c>
      <c r="D92" s="3167" t="s">
        <v>3431</v>
      </c>
      <c r="E92" s="3167" t="s">
        <v>3432</v>
      </c>
      <c r="F92" s="3167" t="s">
        <v>3433</v>
      </c>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85</v>
      </c>
      <c r="E93" s="467">
        <v>70</v>
      </c>
      <c r="F93" s="467">
        <v>80</v>
      </c>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9" t="s">
        <v>3434</v>
      </c>
      <c r="D100" s="3169" t="s">
        <v>2773</v>
      </c>
      <c r="E100" s="3169" t="s">
        <v>3435</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0(含)-30</v>
      </c>
      <c r="D102" s="509" t="str">
        <f t="shared" ref="D102:L102" si="24">D103&amp;"(含)"&amp;"-"&amp;E103</f>
        <v>30(含)-50</v>
      </c>
      <c r="E102" s="509" t="str">
        <f t="shared" si="24"/>
        <v>50(含)-100</v>
      </c>
      <c r="F102" s="509" t="str">
        <f t="shared" si="24"/>
        <v>100(含)-200</v>
      </c>
      <c r="G102" s="509" t="str">
        <f t="shared" si="24"/>
        <v>200(含)-500</v>
      </c>
      <c r="H102" s="509" t="str">
        <f t="shared" si="24"/>
        <v>500(含)-1000</v>
      </c>
      <c r="I102" s="509" t="str">
        <f t="shared" si="24"/>
        <v>1000(含)-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30</v>
      </c>
      <c r="E103" s="6">
        <v>50</v>
      </c>
      <c r="F103" s="6">
        <v>100</v>
      </c>
      <c r="G103" s="6">
        <v>200</v>
      </c>
      <c r="H103" s="6">
        <v>500</v>
      </c>
      <c r="I103" s="6">
        <v>1000</v>
      </c>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7" t="s">
        <v>3436</v>
      </c>
      <c r="D105" s="3167" t="s">
        <v>3437</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7" t="s">
        <v>3438</v>
      </c>
      <c r="D107" s="3167" t="s">
        <v>3439</v>
      </c>
      <c r="E107" s="3167" t="s">
        <v>3440</v>
      </c>
      <c r="F107" s="3170" t="s">
        <v>3441</v>
      </c>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67" t="s">
        <v>3442</v>
      </c>
      <c r="D112" s="3167" t="s">
        <v>3443</v>
      </c>
      <c r="E112" s="3167" t="s">
        <v>3444</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7" t="s">
        <v>3445</v>
      </c>
      <c r="D114" s="3167" t="s">
        <v>3446</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6">
        <f t="shared" si="30"/>
        <v>90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7" t="s">
        <v>3447</v>
      </c>
      <c r="D116" s="3167" t="s">
        <v>3448</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70" t="s">
        <v>3449</v>
      </c>
      <c r="D120" s="3170" t="s">
        <v>3450</v>
      </c>
      <c r="E120" s="3170" t="s">
        <v>3423</v>
      </c>
      <c r="F120" s="3170" t="s">
        <v>3451</v>
      </c>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99</v>
      </c>
      <c r="E121" s="475">
        <f t="shared" ref="E121:M121" si="31">D121-$K41</f>
        <v>98</v>
      </c>
      <c r="F121" s="475">
        <f t="shared" si="31"/>
        <v>97</v>
      </c>
      <c r="G121" s="475">
        <f t="shared" si="31"/>
        <v>96</v>
      </c>
      <c r="H121" s="475">
        <f t="shared" si="31"/>
        <v>95</v>
      </c>
      <c r="I121" s="475">
        <f t="shared" si="31"/>
        <v>94</v>
      </c>
      <c r="J121" s="475">
        <f t="shared" si="31"/>
        <v>93</v>
      </c>
      <c r="K121" s="475">
        <f t="shared" si="31"/>
        <v>92</v>
      </c>
      <c r="L121" s="475">
        <f t="shared" si="31"/>
        <v>91</v>
      </c>
      <c r="M121" s="476">
        <f t="shared" si="31"/>
        <v>90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7" t="s">
        <v>3438</v>
      </c>
      <c r="D122" s="3167" t="s">
        <v>3439</v>
      </c>
      <c r="E122" s="3167" t="s">
        <v>3440</v>
      </c>
      <c r="F122" s="3170" t="s">
        <v>3441</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32.020000000000003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890.45699999999999</v>
      </c>
      <c r="C2" s="1289" t="s">
        <v>879</v>
      </c>
      <c r="D2" s="1375">
        <f ca="1">C40+J29+L46</f>
        <v>8904570</v>
      </c>
      <c r="E2" s="1295" t="s">
        <v>880</v>
      </c>
      <c r="F2" s="1296"/>
      <c r="G2" s="2479"/>
      <c r="H2" s="2469"/>
      <c r="I2" s="2469"/>
      <c r="J2" s="2469"/>
      <c r="K2" s="2470"/>
      <c r="L2" s="2469"/>
      <c r="M2" s="2469"/>
    </row>
    <row r="3" spans="1:37" ht="18" customHeight="1" thickBot="1">
      <c r="A3" s="1297" t="s">
        <v>881</v>
      </c>
      <c r="B3" s="1298">
        <f ca="1">IF(ISERROR(D2/F43),0,ROUND(D2/F43,0))</f>
        <v>15255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575955</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575236</v>
      </c>
      <c r="D6" s="147" t="s">
        <v>2106</v>
      </c>
      <c r="E6" s="294" t="s">
        <v>696</v>
      </c>
      <c r="F6" s="295">
        <f ca="1">INDIRECT("'数据-取费表'!u"&amp;$G$1)</f>
        <v>3</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583.70000000000005</v>
      </c>
      <c r="G7" s="1292"/>
      <c r="H7" s="296"/>
      <c r="I7" s="3368"/>
      <c r="J7" s="298"/>
      <c r="K7" s="299"/>
      <c r="L7" s="294" t="s">
        <v>697</v>
      </c>
      <c r="M7" s="295">
        <f ca="1">F7</f>
        <v>583.70000000000005</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719</v>
      </c>
      <c r="D10" s="150" t="s">
        <v>2116</v>
      </c>
      <c r="E10" s="305" t="s">
        <v>701</v>
      </c>
      <c r="F10" s="1053" t="s">
        <v>3482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3412263</v>
      </c>
      <c r="D13" s="1018" t="s">
        <v>705</v>
      </c>
      <c r="E13" s="1018" t="s">
        <v>706</v>
      </c>
      <c r="F13" s="1019">
        <f ca="1">INDIRECT("'数据-取费表'!y"&amp;$G$1)</f>
        <v>0.96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2334800</v>
      </c>
      <c r="D14" s="1257" t="s">
        <v>708</v>
      </c>
      <c r="E14" s="1255"/>
      <c r="F14" s="311"/>
      <c r="G14" s="1292"/>
      <c r="H14" s="928" t="s">
        <v>398</v>
      </c>
      <c r="I14" s="294" t="s">
        <v>709</v>
      </c>
      <c r="J14" s="21">
        <f ca="1">C29</f>
        <v>3554441</v>
      </c>
      <c r="K14" s="12"/>
      <c r="L14" s="759"/>
      <c r="M14" s="760"/>
    </row>
    <row r="15" spans="1:37" s="1304" customFormat="1" ht="18" customHeight="1" thickBot="1">
      <c r="A15" s="928" t="s">
        <v>399</v>
      </c>
      <c r="B15" s="294" t="s">
        <v>710</v>
      </c>
      <c r="C15" s="21">
        <f ca="1">ROUND(C14*F15,0)</f>
        <v>116740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7109</v>
      </c>
      <c r="K16" s="1024" t="s">
        <v>715</v>
      </c>
      <c r="L16" s="1025"/>
      <c r="M16" s="1009"/>
    </row>
    <row r="17" spans="1:37" s="1304" customFormat="1" ht="18" customHeight="1">
      <c r="A17" s="928" t="s">
        <v>681</v>
      </c>
      <c r="B17" s="294" t="s">
        <v>716</v>
      </c>
      <c r="C17" s="21">
        <f ca="1">ROUND(F17*(F43+INDIRECT("'数据-取费表'!S"&amp;$G$1)),0)</f>
        <v>116740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46696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2614976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52300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7109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80018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-7109</v>
      </c>
      <c r="K25" s="1032" t="s">
        <v>753</v>
      </c>
      <c r="L25" s="1033"/>
      <c r="M25" s="1034"/>
    </row>
    <row r="26" spans="1:37" ht="18" customHeight="1">
      <c r="A26" s="928" t="s">
        <v>397</v>
      </c>
      <c r="B26" s="294" t="s">
        <v>754</v>
      </c>
      <c r="C26" s="21">
        <f ca="1">ROUND((C19+C20)*F26,0)</f>
        <v>533455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3554441</v>
      </c>
      <c r="D29" s="1029"/>
      <c r="E29" s="1027"/>
      <c r="F29" s="1030"/>
      <c r="G29" s="1303"/>
      <c r="H29" s="325" t="s">
        <v>396</v>
      </c>
      <c r="I29" s="326" t="s">
        <v>768</v>
      </c>
      <c r="J29" s="327">
        <f ca="1">ROUND(J26/(1+F40)^F41,0)</f>
        <v>0</v>
      </c>
      <c r="K29" s="328" t="s">
        <v>769</v>
      </c>
      <c r="L29" s="329"/>
      <c r="M29" s="330">
        <f ca="1">INDIRECT("'数据-取费表'!k"&amp;$G$1)</f>
        <v>583.70000000000005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112153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95872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30131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65741</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7109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3412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5760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463802</v>
      </c>
      <c r="D39" s="1032" t="s">
        <v>773</v>
      </c>
      <c r="E39" s="1033"/>
      <c r="F39" s="1034"/>
      <c r="G39" s="1292"/>
      <c r="H39" s="2474"/>
      <c r="I39" s="1305"/>
      <c r="J39" s="1306"/>
      <c r="K39" s="2472"/>
      <c r="L39" s="2474"/>
      <c r="M39" s="2474"/>
    </row>
    <row r="40" spans="1:18" ht="18" customHeight="1">
      <c r="A40" s="291" t="s">
        <v>395</v>
      </c>
      <c r="B40" s="292" t="s">
        <v>774</v>
      </c>
      <c r="C40" s="293">
        <f ca="1">ROUND(C39*(1-((1+F42)/(1+F40))^F41)/(F40-F42),0)</f>
        <v>8752669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32.020000000000003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14995</v>
      </c>
      <c r="D43" s="328" t="s">
        <v>777</v>
      </c>
      <c r="E43" s="329" t="s">
        <v>778</v>
      </c>
      <c r="F43" s="330">
        <f ca="1">INDIRECT("'数据-取费表'!k"&amp;$G$1)</f>
        <v>583.70000000000005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-890.95129999999995</v>
      </c>
      <c r="D45" s="3131" t="s">
        <v>3344</v>
      </c>
      <c r="E45" s="1307"/>
      <c r="F45" s="1307"/>
      <c r="O45" s="1310" t="s">
        <v>808</v>
      </c>
      <c r="P45" s="1366"/>
      <c r="Q45" s="1366"/>
      <c r="R45" s="1366"/>
    </row>
    <row r="46" spans="1:18" s="1292" customFormat="1" ht="13.5" thickBot="1">
      <c r="A46" s="1311" t="s">
        <v>809</v>
      </c>
      <c r="C46" s="1312">
        <f ca="1">ROUND(C45,0)</f>
        <v>-891</v>
      </c>
      <c r="D46" s="1313" t="str">
        <f>C2</f>
        <v>万元</v>
      </c>
      <c r="I46" s="1314" t="s">
        <v>810</v>
      </c>
      <c r="J46" s="1315"/>
      <c r="K46" s="1316"/>
      <c r="L46" s="1317">
        <f ca="1">IF(M47="住宅",0,IF(L48&gt;J51,L60,J60))</f>
        <v>151901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3473</v>
      </c>
      <c r="K47" s="1323" t="s">
        <v>816</v>
      </c>
      <c r="L47" s="1324">
        <f ca="1">INDIRECT("'数据-取费表'!d"&amp;$G$1)</f>
        <v>40</v>
      </c>
      <c r="M47" s="1288" t="str">
        <f>IF(ISNUMBER(FIND("住宅",C1)),"住宅","非住宅")</f>
        <v>非住宅</v>
      </c>
      <c r="O47" s="1325" t="s">
        <v>403</v>
      </c>
      <c r="P47" s="1326" t="s">
        <v>817</v>
      </c>
      <c r="Q47" s="1327">
        <f ca="1">C40+J29</f>
        <v>8752669</v>
      </c>
      <c r="R47" s="1327" t="s">
        <v>818</v>
      </c>
    </row>
    <row r="48" spans="1:18" s="1292" customFormat="1" ht="28.5" thickBot="1">
      <c r="A48" s="1047" t="s">
        <v>438</v>
      </c>
      <c r="B48" s="292" t="s">
        <v>692</v>
      </c>
      <c r="C48" s="1268">
        <f ca="1">C49+C53+C55</f>
        <v>0</v>
      </c>
      <c r="D48" s="1049"/>
      <c r="E48" s="1050"/>
      <c r="F48" s="908"/>
      <c r="G48" s="681"/>
      <c r="H48" s="682"/>
      <c r="I48" s="1328" t="s">
        <v>819</v>
      </c>
      <c r="J48" s="1329" t="s">
        <v>3480</v>
      </c>
      <c r="K48" s="1330" t="s">
        <v>820</v>
      </c>
      <c r="L48" s="1331">
        <f ca="1">INDIRECT("'数据-取费表'!f"&amp;$G$1)</f>
        <v>32.020000000000003</v>
      </c>
      <c r="O48" s="1325" t="s">
        <v>404</v>
      </c>
      <c r="P48" s="1326" t="s">
        <v>821</v>
      </c>
      <c r="Q48" s="1327">
        <f ca="1">J60</f>
        <v>151901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2023</v>
      </c>
      <c r="K49" s="1330" t="s">
        <v>824</v>
      </c>
      <c r="L49" s="1333"/>
      <c r="O49" s="1334" t="s">
        <v>405</v>
      </c>
      <c r="P49" s="1326" t="s">
        <v>825</v>
      </c>
      <c r="Q49" s="1327">
        <f ca="1">C29</f>
        <v>3554441</v>
      </c>
      <c r="R49" s="1327" t="s">
        <v>818</v>
      </c>
    </row>
    <row r="50" spans="1:18" s="1292" customFormat="1" ht="13.5" thickBot="1">
      <c r="A50" s="922"/>
      <c r="B50" s="925"/>
      <c r="C50" s="926"/>
      <c r="D50" s="899"/>
      <c r="E50" s="993" t="s">
        <v>697</v>
      </c>
      <c r="F50" s="994">
        <f ca="1">F7</f>
        <v>583.70000000000005</v>
      </c>
      <c r="H50" s="682"/>
      <c r="I50" s="1328" t="s">
        <v>826</v>
      </c>
      <c r="J50" s="1335">
        <f>SUMPRODUCT((I63:I65=J47)*(J62:L62=J48)*(J63:L65))</f>
        <v>60</v>
      </c>
      <c r="K50" s="1330" t="s">
        <v>827</v>
      </c>
      <c r="L50" s="1333"/>
      <c r="M50" s="1336"/>
      <c r="O50" s="1334" t="s">
        <v>406</v>
      </c>
      <c r="P50" s="1326" t="s">
        <v>828</v>
      </c>
      <c r="Q50" s="1337">
        <f ca="1">J58</f>
        <v>0.433</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4233335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32.020000000000003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32.020000000000003</v>
      </c>
      <c r="K53" s="3365" t="s">
        <v>837</v>
      </c>
      <c r="L53" s="3366"/>
      <c r="O53" s="1325" t="s">
        <v>409</v>
      </c>
      <c r="P53" s="1326" t="s">
        <v>838</v>
      </c>
      <c r="Q53" s="1327">
        <f ca="1">Q47+Q48</f>
        <v>8904570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3412263</v>
      </c>
      <c r="D56" s="1352"/>
      <c r="E56" s="1353"/>
      <c r="F56" s="1345"/>
      <c r="I56" s="1354" t="s">
        <v>842</v>
      </c>
      <c r="J56" s="1355" t="s">
        <v>3481</v>
      </c>
      <c r="K56" s="1328" t="s">
        <v>843</v>
      </c>
      <c r="L56" s="1331" t="str">
        <f ca="1">IF(L48&lt;J51,"——",L48-J51)</f>
        <v>——</v>
      </c>
      <c r="O56" s="1325" t="s">
        <v>403</v>
      </c>
      <c r="P56" s="1326" t="s">
        <v>817</v>
      </c>
      <c r="Q56" s="1327">
        <f ca="1">C40+J29</f>
        <v>8752669</v>
      </c>
      <c r="R56" s="1327" t="s">
        <v>818</v>
      </c>
    </row>
    <row r="57" spans="1:18" s="1292" customFormat="1" ht="24.75" thickBot="1">
      <c r="A57" s="1356"/>
      <c r="B57" s="896" t="s">
        <v>767</v>
      </c>
      <c r="C57" s="230">
        <f ca="1">C29</f>
        <v>3554441</v>
      </c>
      <c r="D57" s="1357"/>
      <c r="E57" s="1358"/>
      <c r="F57" s="1359"/>
      <c r="I57" s="1360" t="s">
        <v>844</v>
      </c>
      <c r="J57" s="1361">
        <f ca="1">IF(OR(M47="住宅",J51&lt;L48,J56="是"),"——",J51-L48)</f>
        <v>25.979999999999997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10521</v>
      </c>
      <c r="D58" s="906" t="s">
        <v>715</v>
      </c>
      <c r="E58" s="907"/>
      <c r="F58" s="908"/>
      <c r="I58" s="1360" t="s">
        <v>848</v>
      </c>
      <c r="J58" s="1362">
        <f ca="1">IF(J55&lt;0.4,0.4,J55)</f>
        <v>0.433</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1539073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151901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8752669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7109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3412</v>
      </c>
      <c r="D65" s="910" t="s">
        <v>743</v>
      </c>
      <c r="E65" s="896" t="s">
        <v>744</v>
      </c>
      <c r="F65" s="321">
        <f t="shared" ca="1" si="0"/>
        <v>1E-3</v>
      </c>
      <c r="I65" s="1367" t="s">
        <v>867</v>
      </c>
      <c r="J65" s="610">
        <v>40</v>
      </c>
      <c r="K65" s="610">
        <v>30</v>
      </c>
      <c r="L65" s="610">
        <v>50</v>
      </c>
      <c r="M65" s="1369">
        <v>0.02</v>
      </c>
      <c r="O65" s="1325" t="s">
        <v>403</v>
      </c>
      <c r="P65" s="1326" t="s">
        <v>868</v>
      </c>
      <c r="Q65" s="1327">
        <f ca="1">C40+J29</f>
        <v>8752669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-10521</v>
      </c>
      <c r="D67" s="909" t="s">
        <v>753</v>
      </c>
      <c r="E67" s="914"/>
      <c r="F67" s="915"/>
      <c r="O67" s="1334" t="s">
        <v>405</v>
      </c>
      <c r="P67" s="1326" t="s">
        <v>850</v>
      </c>
      <c r="Q67" s="1370">
        <f ca="1">L51</f>
        <v>4233335</v>
      </c>
      <c r="R67" s="1327" t="s">
        <v>870</v>
      </c>
    </row>
    <row r="68" spans="1:18" s="1292" customFormat="1" ht="16.5" thickBot="1">
      <c r="A68" s="893" t="s">
        <v>395</v>
      </c>
      <c r="B68" s="894" t="s">
        <v>774</v>
      </c>
      <c r="C68" s="293">
        <f ca="1">ROUND(C67*(1-((1+F70)/(1+F68))^F69)/(F68-F70),0)</f>
        <v>-156844</v>
      </c>
      <c r="D68" s="911" t="s">
        <v>758</v>
      </c>
      <c r="E68" s="896" t="s">
        <v>759</v>
      </c>
      <c r="F68" s="304">
        <f ca="1">F40</f>
        <v>5.5E-2</v>
      </c>
      <c r="O68" s="1334" t="s">
        <v>406</v>
      </c>
      <c r="P68" s="1371" t="s">
        <v>871</v>
      </c>
      <c r="Q68" s="1327">
        <f ca="1">ROUND(Q69-Q70*Q71,0)</f>
        <v>224944</v>
      </c>
      <c r="R68" s="1327" t="s">
        <v>414</v>
      </c>
    </row>
    <row r="69" spans="1:18" s="1292" customFormat="1" ht="13.5" thickBot="1">
      <c r="A69" s="897"/>
      <c r="B69" s="898"/>
      <c r="C69" s="298"/>
      <c r="D69" s="916" t="s">
        <v>762</v>
      </c>
      <c r="E69" s="896" t="s">
        <v>763</v>
      </c>
      <c r="F69" s="324">
        <f ca="1">F41</f>
        <v>32.020000000000003</v>
      </c>
      <c r="O69" s="1334" t="s">
        <v>411</v>
      </c>
      <c r="P69" s="1371" t="s">
        <v>872</v>
      </c>
      <c r="Q69" s="1327">
        <f ca="1">C39</f>
        <v>463802</v>
      </c>
      <c r="R69" s="1327" t="s">
        <v>818</v>
      </c>
    </row>
    <row r="70" spans="1:18" s="1292" customFormat="1" ht="13.5" thickBot="1">
      <c r="A70" s="900"/>
      <c r="B70" s="901"/>
      <c r="C70" s="302"/>
      <c r="D70" s="912"/>
      <c r="E70" s="896" t="s">
        <v>766</v>
      </c>
      <c r="F70" s="991"/>
      <c r="O70" s="1334" t="s">
        <v>412</v>
      </c>
      <c r="P70" s="1371" t="s">
        <v>873</v>
      </c>
      <c r="Q70" s="1327">
        <f ca="1">C13</f>
        <v>3412263</v>
      </c>
      <c r="R70" s="1327" t="s">
        <v>818</v>
      </c>
    </row>
    <row r="71" spans="1:18" s="1292" customFormat="1" ht="13.5" thickBot="1">
      <c r="A71" s="917" t="s">
        <v>396</v>
      </c>
      <c r="B71" s="918" t="s">
        <v>776</v>
      </c>
      <c r="C71" s="327">
        <f ca="1">ROUND(C68/F71,0)</f>
        <v>-269</v>
      </c>
      <c r="D71" s="919" t="s">
        <v>777</v>
      </c>
      <c r="E71" s="920" t="s">
        <v>778</v>
      </c>
      <c r="F71" s="330">
        <f ca="1">F43</f>
        <v>583.70000000000005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238858</v>
      </c>
      <c r="D75" s="1292"/>
      <c r="E75" s="1292"/>
      <c r="F75" s="1292"/>
      <c r="K75" s="1309"/>
      <c r="L75" s="1292"/>
      <c r="O75" s="1325" t="s">
        <v>409</v>
      </c>
      <c r="P75" s="1326" t="s">
        <v>838</v>
      </c>
      <c r="Q75" s="1327">
        <f ca="1">Q65+Q66</f>
        <v>8752669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0.48499999999999999</v>
      </c>
    </row>
    <row r="80" spans="1:18">
      <c r="B80" s="331" t="s">
        <v>800</v>
      </c>
      <c r="C80" s="266">
        <f ca="1">ROUND(C75/C39,3)</f>
        <v>0.51500000000000001</v>
      </c>
    </row>
    <row r="81" spans="2:3">
      <c r="B81" s="262" t="s">
        <v>801</v>
      </c>
      <c r="C81" s="230"/>
    </row>
    <row r="82" spans="2:3">
      <c r="B82" s="265" t="s">
        <v>802</v>
      </c>
      <c r="C82" s="267">
        <f ca="1">1-C83</f>
        <v>0.61</v>
      </c>
    </row>
    <row r="83" spans="2:3">
      <c r="B83" s="265" t="s">
        <v>803</v>
      </c>
      <c r="C83" s="266">
        <f ca="1">ROUND(C13/C40,3)</f>
        <v>0.39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2430F-6C12-4D73-9C1B-90F74DFA07DB}">
  <sheetPr>
    <tabColor rgb="FF92D050"/>
    <pageSetUpPr fitToPage="1"/>
  </sheetPr>
  <dimension ref="A1:AC131"/>
  <sheetViews>
    <sheetView view="pageBreakPreview" topLeftCell="A19" zoomScale="85" zoomScaleNormal="70" zoomScaleSheetLayoutView="85" workbookViewId="0">
      <selection activeCell="J66" sqref="J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3478</v>
      </c>
      <c r="F1" s="1735" t="s">
        <v>3493</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0.17510000000000001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3</v>
      </c>
      <c r="C3" s="344" t="s">
        <v>1665</v>
      </c>
      <c r="D3" s="343">
        <f>IF(D1="",'数据-汇总表'!E3,SUMIF('数据-汇总表'!$C19:$C33,D1,'数据-汇总表'!$E19:$E33))</f>
        <v>583.70000000000005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388" t="s">
        <v>1667</v>
      </c>
      <c r="D4" s="3389"/>
      <c r="E4" s="3390" t="s">
        <v>1668</v>
      </c>
      <c r="F4" s="3391"/>
      <c r="G4" s="3388" t="s">
        <v>1669</v>
      </c>
      <c r="H4" s="3389"/>
      <c r="I4" s="3388" t="s">
        <v>1670</v>
      </c>
      <c r="J4" s="3389"/>
      <c r="K4" s="537" t="s">
        <v>1671</v>
      </c>
      <c r="L4" s="2487"/>
      <c r="M4" s="2488"/>
      <c r="N4" s="2488"/>
      <c r="O4" s="2488"/>
      <c r="P4" s="3392" t="s">
        <v>1672</v>
      </c>
      <c r="Q4" s="3393"/>
      <c r="R4" s="3398" t="s">
        <v>1668</v>
      </c>
      <c r="S4" s="3399"/>
      <c r="T4" s="3398" t="s">
        <v>1669</v>
      </c>
      <c r="U4" s="3399"/>
      <c r="V4" s="3371" t="s">
        <v>1670</v>
      </c>
      <c r="W4" s="3371"/>
      <c r="X4" s="1265"/>
      <c r="Y4" s="3398" t="s">
        <v>1672</v>
      </c>
      <c r="Z4" s="3399"/>
      <c r="AA4" s="3385" t="s">
        <v>1668</v>
      </c>
      <c r="AB4" s="3371" t="s">
        <v>1669</v>
      </c>
      <c r="AC4" s="3385" t="s">
        <v>1670</v>
      </c>
    </row>
    <row r="5" spans="1:29" ht="15">
      <c r="A5" s="348"/>
      <c r="B5" s="349"/>
      <c r="C5" s="3406" t="s">
        <v>3416</v>
      </c>
      <c r="D5" s="3407"/>
      <c r="E5" s="3413" t="s">
        <v>3475</v>
      </c>
      <c r="F5" s="3414"/>
      <c r="G5" s="3406" t="s">
        <v>3492</v>
      </c>
      <c r="H5" s="3407"/>
      <c r="I5" s="3406" t="s">
        <v>3494</v>
      </c>
      <c r="J5" s="3407"/>
      <c r="K5" s="537"/>
      <c r="L5" s="2487"/>
      <c r="M5" s="2488"/>
      <c r="N5" s="2488"/>
      <c r="O5" s="2488"/>
      <c r="P5" s="3394"/>
      <c r="Q5" s="3395"/>
      <c r="R5" s="3400"/>
      <c r="S5" s="3401"/>
      <c r="T5" s="3400"/>
      <c r="U5" s="3401"/>
      <c r="V5" s="3371"/>
      <c r="W5" s="3371"/>
      <c r="X5" s="1265"/>
      <c r="Y5" s="3400"/>
      <c r="Z5" s="3401"/>
      <c r="AA5" s="3386"/>
      <c r="AB5" s="3371"/>
      <c r="AC5" s="3386"/>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396"/>
      <c r="Q6" s="3397"/>
      <c r="R6" s="3400"/>
      <c r="S6" s="3401"/>
      <c r="T6" s="3402"/>
      <c r="U6" s="3403"/>
      <c r="V6" s="3371"/>
      <c r="W6" s="3371"/>
      <c r="X6" s="1265"/>
      <c r="Y6" s="3402"/>
      <c r="Z6" s="3403"/>
      <c r="AA6" s="3387"/>
      <c r="AB6" s="3371"/>
      <c r="AC6" s="3387"/>
    </row>
    <row r="7" spans="1:29" s="102" customFormat="1" ht="15.75" thickBot="1">
      <c r="A7" s="352" t="s">
        <v>1679</v>
      </c>
      <c r="B7" s="353"/>
      <c r="C7" s="354">
        <f>'数据-取费表'!B2</f>
        <v>45814</v>
      </c>
      <c r="D7" s="355">
        <v>100</v>
      </c>
      <c r="E7" s="356">
        <f>C7</f>
        <v>45814</v>
      </c>
      <c r="F7" s="357">
        <f>SUMIF(58:58,YEAR(E7)&amp;"-"&amp;MONTH(E7),59:59)</f>
        <v>100</v>
      </c>
      <c r="G7" s="356">
        <f>C7</f>
        <v>45814</v>
      </c>
      <c r="H7" s="355">
        <f>SUMIF(58:58,YEAR(G7)&amp;"-"&amp;MONTH(G7),59:59)</f>
        <v>100</v>
      </c>
      <c r="I7" s="356">
        <f>C7</f>
        <v>45814</v>
      </c>
      <c r="J7" s="355">
        <f>SUMIF(58:58,YEAR(I7)&amp;"-"&amp;MONTH(I7),59:59)</f>
        <v>100</v>
      </c>
      <c r="K7" s="38"/>
      <c r="L7" s="2489"/>
      <c r="M7" s="2440"/>
      <c r="N7" s="2440"/>
      <c r="O7" s="2440"/>
      <c r="P7" s="3408"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50">
        <f>D7/J7</f>
        <v>1</v>
      </c>
    </row>
    <row r="8" spans="1:29" s="102" customFormat="1" ht="15.75" thickBot="1">
      <c r="A8" s="352" t="s">
        <v>1681</v>
      </c>
      <c r="B8" s="353"/>
      <c r="C8" s="358" t="s">
        <v>3452</v>
      </c>
      <c r="D8" s="355">
        <v>100</v>
      </c>
      <c r="E8" s="358" t="s">
        <v>3417</v>
      </c>
      <c r="F8" s="357">
        <f>SUMIF(61:61,E8,62:62)-SUMIF(61:61,C8,62:62)+100</f>
        <v>102</v>
      </c>
      <c r="G8" s="358" t="s">
        <v>3417</v>
      </c>
      <c r="H8" s="355">
        <f>SUMIF(61:61,G8,62:62)-SUMIF(61:61,C8,62:62)+100</f>
        <v>102</v>
      </c>
      <c r="I8" s="358" t="s">
        <v>3417</v>
      </c>
      <c r="J8" s="355">
        <f>SUMIF(61:61,I8,62:62)-SUMIF(61:61,C8,62:62)+100</f>
        <v>102</v>
      </c>
      <c r="K8" s="38"/>
      <c r="L8" s="2489"/>
      <c r="M8" s="2440"/>
      <c r="N8" s="2440"/>
      <c r="O8" s="2440"/>
      <c r="P8" s="3408" t="s">
        <v>1683</v>
      </c>
      <c r="Q8" s="3409"/>
      <c r="R8" s="664" t="s">
        <v>14</v>
      </c>
      <c r="S8" s="665">
        <f t="shared" si="0"/>
        <v>102</v>
      </c>
      <c r="T8" s="664" t="s">
        <v>14</v>
      </c>
      <c r="U8" s="665">
        <f t="shared" si="1"/>
        <v>102</v>
      </c>
      <c r="V8" s="664" t="s">
        <v>14</v>
      </c>
      <c r="W8" s="665">
        <f t="shared" si="2"/>
        <v>102</v>
      </c>
      <c r="X8" s="666"/>
      <c r="Y8" s="3408" t="s">
        <v>1683</v>
      </c>
      <c r="Z8" s="3409"/>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71" t="s">
        <v>3453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f>项目基本情况!D15</f>
        <v>32.020000000000003</v>
      </c>
      <c r="D10" s="119">
        <v>100</v>
      </c>
      <c r="E10" s="3134">
        <f>40-(2025-2013)</f>
        <v>28</v>
      </c>
      <c r="F10" s="364">
        <f>SUMIF(65:65,E10,66:66)-SUMIF(65:65,C10,66:66)+100</f>
        <v>100</v>
      </c>
      <c r="G10" s="3133">
        <f>40-(2025-2015)</f>
        <v>30</v>
      </c>
      <c r="H10" s="119">
        <f>SUMIF(65:65,G10,66:66)-SUMIF(65:65,C10,66:66)+100</f>
        <v>100</v>
      </c>
      <c r="I10" s="3133">
        <f>40-(2025-2009)</f>
        <v>24</v>
      </c>
      <c r="J10" s="119">
        <f>SUMIF(65:65,I10,66:66)-SUMIF(65:65,C10,66:66)+100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75" thickBot="1">
      <c r="A11" s="367"/>
      <c r="B11" s="364" t="s">
        <v>1689</v>
      </c>
      <c r="C11" s="368">
        <v>1.5</v>
      </c>
      <c r="D11" s="119">
        <v>100</v>
      </c>
      <c r="E11" s="369">
        <v>0.4</v>
      </c>
      <c r="F11" s="364">
        <f>LOOKUP(E11,68:68,69:69)-LOOKUP(C11,68:68,69:69)+100</f>
        <v>100</v>
      </c>
      <c r="G11" s="368">
        <v>2.6</v>
      </c>
      <c r="H11" s="119">
        <f>LOOKUP(G11,68:68,69:69)-LOOKUP(C11,68:68,69:69)+100</f>
        <v>100</v>
      </c>
      <c r="I11" s="368">
        <v>1.5</v>
      </c>
      <c r="J11" s="119">
        <f>LOOKUP(I11,68:68,69:69)-LOOKUP(C11,68:68,69:69)+100</f>
        <v>100</v>
      </c>
      <c r="K11" s="538">
        <v>0</v>
      </c>
      <c r="L11" s="2492"/>
      <c r="M11" s="2488"/>
      <c r="N11" s="2488"/>
      <c r="O11" s="2488"/>
      <c r="P11" s="338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102</v>
      </c>
      <c r="G15" s="383"/>
      <c r="H15" s="380">
        <f>SUMIF(76:76,G16,77:77)-SUMIF(76:76,C16,77:77)+100</f>
        <v>102</v>
      </c>
      <c r="I15" s="381"/>
      <c r="J15" s="380">
        <f>SUMIF(76:76,I16,77:77)-SUMIF(76:76,C16,77:77)+100</f>
        <v>102</v>
      </c>
      <c r="K15" s="540">
        <v>2</v>
      </c>
      <c r="L15" s="2493"/>
      <c r="M15" s="2488"/>
      <c r="N15" s="2488"/>
      <c r="O15" s="2488"/>
      <c r="P15" s="3375" t="s">
        <v>1691</v>
      </c>
      <c r="Q15" s="1263" t="str">
        <f t="shared" si="6"/>
        <v>商业繁华度</v>
      </c>
      <c r="R15" s="667" t="s">
        <v>14</v>
      </c>
      <c r="S15" s="668">
        <f t="shared" si="0"/>
        <v>102</v>
      </c>
      <c r="T15" s="667" t="s">
        <v>14</v>
      </c>
      <c r="U15" s="668">
        <f t="shared" si="1"/>
        <v>102</v>
      </c>
      <c r="V15" s="667" t="s">
        <v>14</v>
      </c>
      <c r="W15" s="668">
        <f t="shared" si="2"/>
        <v>102</v>
      </c>
      <c r="X15" s="1265"/>
      <c r="Y15" s="3377" t="s">
        <v>1691</v>
      </c>
      <c r="Z15" s="1264" t="str">
        <f t="shared" si="7"/>
        <v>商业繁华度</v>
      </c>
      <c r="AA15" s="1264">
        <f t="shared" si="3"/>
        <v>0.98039215686274506</v>
      </c>
      <c r="AB15" s="1264">
        <f t="shared" si="4"/>
        <v>0.98039215686274506</v>
      </c>
      <c r="AC15" s="1264">
        <f t="shared" si="5"/>
        <v>0.98039215686274506</v>
      </c>
    </row>
    <row r="16" spans="1:29" ht="15">
      <c r="A16" s="367"/>
      <c r="B16" s="385"/>
      <c r="C16" s="386" t="s">
        <v>3454</v>
      </c>
      <c r="D16" s="387"/>
      <c r="E16" s="386" t="s">
        <v>3456</v>
      </c>
      <c r="F16" s="388"/>
      <c r="G16" s="386" t="s">
        <v>3456</v>
      </c>
      <c r="H16" s="389"/>
      <c r="I16" s="386" t="s">
        <v>3456</v>
      </c>
      <c r="J16" s="387"/>
      <c r="K16" s="541"/>
      <c r="L16" s="2493"/>
      <c r="M16" s="2488"/>
      <c r="N16" s="2488"/>
      <c r="O16" s="2488"/>
      <c r="P16" s="3376"/>
      <c r="Q16" s="1263"/>
      <c r="R16" s="667"/>
      <c r="S16" s="668"/>
      <c r="T16" s="667"/>
      <c r="U16" s="668"/>
      <c r="V16" s="667"/>
      <c r="W16" s="668"/>
      <c r="X16" s="1265"/>
      <c r="Y16" s="3378"/>
      <c r="Z16" s="1264"/>
      <c r="AA16" s="1264">
        <v>1</v>
      </c>
      <c r="AB16" s="1264">
        <v>1</v>
      </c>
      <c r="AC16" s="1264">
        <v>1</v>
      </c>
    </row>
    <row r="17" spans="1:29" ht="15">
      <c r="A17" s="367"/>
      <c r="B17" s="390" t="s">
        <v>1259</v>
      </c>
      <c r="C17" s="1754">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93"/>
      <c r="M17" s="2488"/>
      <c r="N17" s="2488"/>
      <c r="O17" s="2488"/>
      <c r="P17" s="3376"/>
      <c r="Q17" s="1263" t="str">
        <f>B17</f>
        <v>交通便捷度</v>
      </c>
      <c r="R17" s="667" t="s">
        <v>14</v>
      </c>
      <c r="S17" s="668">
        <f>F17</f>
        <v>102</v>
      </c>
      <c r="T17" s="667" t="s">
        <v>14</v>
      </c>
      <c r="U17" s="668">
        <f>H17</f>
        <v>102</v>
      </c>
      <c r="V17" s="667" t="s">
        <v>14</v>
      </c>
      <c r="W17" s="668">
        <f>J17</f>
        <v>102</v>
      </c>
      <c r="X17" s="1265"/>
      <c r="Y17" s="3378"/>
      <c r="Z17" s="1264" t="str">
        <f>Q17</f>
        <v>交通便捷度</v>
      </c>
      <c r="AA17" s="1264">
        <f t="shared" si="3"/>
        <v>0.98039215686274506</v>
      </c>
      <c r="AB17" s="1264">
        <f t="shared" si="4"/>
        <v>0.98039215686274506</v>
      </c>
      <c r="AC17" s="1264">
        <f t="shared" si="5"/>
        <v>0.98039215686274506</v>
      </c>
    </row>
    <row r="18" spans="1:29" ht="15">
      <c r="A18" s="367"/>
      <c r="B18" s="395"/>
      <c r="C18" s="1755" t="s">
        <v>3454</v>
      </c>
      <c r="D18" s="389"/>
      <c r="E18" s="386" t="s">
        <v>3456</v>
      </c>
      <c r="F18" s="392"/>
      <c r="G18" s="386" t="s">
        <v>3456</v>
      </c>
      <c r="H18" s="387"/>
      <c r="I18" s="386" t="s">
        <v>3456</v>
      </c>
      <c r="J18" s="387"/>
      <c r="K18" s="541"/>
      <c r="L18" s="2493"/>
      <c r="M18" s="2488"/>
      <c r="N18" s="2488"/>
      <c r="O18" s="2488"/>
      <c r="P18" s="3376"/>
      <c r="Q18" s="1263"/>
      <c r="R18" s="667"/>
      <c r="S18" s="668"/>
      <c r="T18" s="667"/>
      <c r="U18" s="668"/>
      <c r="V18" s="667"/>
      <c r="W18" s="668"/>
      <c r="X18" s="1265"/>
      <c r="Y18" s="3378"/>
      <c r="Z18" s="1264"/>
      <c r="AA18" s="1264">
        <v>1</v>
      </c>
      <c r="AB18" s="1264">
        <v>1</v>
      </c>
      <c r="AC18" s="1264">
        <v>1</v>
      </c>
    </row>
    <row r="19" spans="1:29" ht="15">
      <c r="A19" s="367"/>
      <c r="B19" s="390" t="s">
        <v>1778</v>
      </c>
      <c r="C19" s="1754">
        <f>估价对象房地状况!C7</f>
        <v>0</v>
      </c>
      <c r="D19" s="394">
        <v>100</v>
      </c>
      <c r="E19" s="396"/>
      <c r="F19" s="397">
        <f>SUMIF(80:80,E20,81:81)-SUMIF(80:80,C20,81:81)+100</f>
        <v>102</v>
      </c>
      <c r="G19" s="398"/>
      <c r="H19" s="389">
        <f>SUMIF(80:80,G20,81:81)-SUMIF(80:80,C20,81:81)+100</f>
        <v>102</v>
      </c>
      <c r="I19" s="396"/>
      <c r="J19" s="389">
        <f>SUMIF(80:80,I20,81:81)-SUMIF(80:80,C20,81:81)+100</f>
        <v>102</v>
      </c>
      <c r="K19" s="540">
        <v>2</v>
      </c>
      <c r="L19" s="2493"/>
      <c r="M19" s="2488"/>
      <c r="N19" s="2488"/>
      <c r="O19" s="2488"/>
      <c r="P19" s="3376"/>
      <c r="Q19" s="1263" t="str">
        <f>B19</f>
        <v>公共配套设施</v>
      </c>
      <c r="R19" s="667" t="s">
        <v>14</v>
      </c>
      <c r="S19" s="668">
        <f>F19</f>
        <v>102</v>
      </c>
      <c r="T19" s="667" t="s">
        <v>14</v>
      </c>
      <c r="U19" s="668">
        <f>H19</f>
        <v>102</v>
      </c>
      <c r="V19" s="667" t="s">
        <v>14</v>
      </c>
      <c r="W19" s="668">
        <f>J19</f>
        <v>102</v>
      </c>
      <c r="X19" s="1265"/>
      <c r="Y19" s="3378"/>
      <c r="Z19" s="1264" t="str">
        <f>Q19</f>
        <v>公共配套设施</v>
      </c>
      <c r="AA19" s="1264">
        <f t="shared" si="3"/>
        <v>0.98039215686274506</v>
      </c>
      <c r="AB19" s="1264">
        <f t="shared" si="4"/>
        <v>0.98039215686274506</v>
      </c>
      <c r="AC19" s="1264">
        <f t="shared" si="5"/>
        <v>0.98039215686274506</v>
      </c>
    </row>
    <row r="20" spans="1:29" ht="15">
      <c r="A20" s="367"/>
      <c r="B20" s="395"/>
      <c r="C20" s="386" t="s">
        <v>3454</v>
      </c>
      <c r="D20" s="387"/>
      <c r="E20" s="386" t="s">
        <v>3456</v>
      </c>
      <c r="F20" s="388"/>
      <c r="G20" s="386" t="s">
        <v>3456</v>
      </c>
      <c r="H20" s="387"/>
      <c r="I20" s="386" t="s">
        <v>3456</v>
      </c>
      <c r="J20" s="387"/>
      <c r="K20" s="541"/>
      <c r="L20" s="2493"/>
      <c r="M20" s="2488"/>
      <c r="N20" s="2488"/>
      <c r="O20" s="2488"/>
      <c r="P20" s="3376"/>
      <c r="Q20" s="1263"/>
      <c r="R20" s="667"/>
      <c r="S20" s="668"/>
      <c r="T20" s="667"/>
      <c r="U20" s="668"/>
      <c r="V20" s="667"/>
      <c r="W20" s="668"/>
      <c r="X20" s="1265"/>
      <c r="Y20" s="337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3455</v>
      </c>
      <c r="D22" s="387"/>
      <c r="E22" s="1755" t="s">
        <v>3455</v>
      </c>
      <c r="F22" s="388"/>
      <c r="G22" s="1755" t="s">
        <v>3455</v>
      </c>
      <c r="H22" s="387"/>
      <c r="I22" s="1755" t="s">
        <v>3455</v>
      </c>
      <c r="J22" s="387"/>
      <c r="K22" s="1064"/>
      <c r="L22" s="2493"/>
      <c r="M22" s="2488"/>
      <c r="N22" s="2488"/>
      <c r="O22" s="2488"/>
      <c r="P22" s="3376"/>
      <c r="Q22" s="1263"/>
      <c r="R22" s="667"/>
      <c r="S22" s="668"/>
      <c r="T22" s="667"/>
      <c r="U22" s="668"/>
      <c r="V22" s="667"/>
      <c r="W22" s="668"/>
      <c r="X22" s="1265"/>
      <c r="Y22" s="3378"/>
      <c r="Z22" s="1264"/>
      <c r="AA22" s="1264">
        <v>1</v>
      </c>
      <c r="AB22" s="1264">
        <v>1</v>
      </c>
      <c r="AC22" s="1264">
        <v>1</v>
      </c>
    </row>
    <row r="23" spans="1:29" ht="15">
      <c r="A23" s="367"/>
      <c r="B23" s="390" t="s">
        <v>1261</v>
      </c>
      <c r="C23" s="1806">
        <f>估价对象房地状况!C9</f>
        <v>0</v>
      </c>
      <c r="D23" s="389">
        <v>100</v>
      </c>
      <c r="E23" s="391"/>
      <c r="F23" s="392">
        <f>SUMIF(84:84,E24,85:85)-SUMIF(84:84,C24,85:85)+100</f>
        <v>102</v>
      </c>
      <c r="G23" s="393"/>
      <c r="H23" s="389">
        <f>SUMIF(84:84,G24,85:85)-SUMIF(84:84,C24,85:85)+100</f>
        <v>102</v>
      </c>
      <c r="I23" s="391"/>
      <c r="J23" s="389">
        <f>SUMIF(84:84,I24,85:85)-SUMIF(84:84,C24,85:85)+100</f>
        <v>102</v>
      </c>
      <c r="K23" s="540">
        <v>2</v>
      </c>
      <c r="L23" s="2493"/>
      <c r="M23" s="2488"/>
      <c r="N23" s="2488"/>
      <c r="O23" s="2488"/>
      <c r="P23" s="3376"/>
      <c r="Q23" s="1263" t="str">
        <f>B23</f>
        <v>自然及人文环境</v>
      </c>
      <c r="R23" s="667" t="s">
        <v>14</v>
      </c>
      <c r="S23" s="668">
        <f>F23</f>
        <v>102</v>
      </c>
      <c r="T23" s="667" t="s">
        <v>14</v>
      </c>
      <c r="U23" s="668">
        <f>H23</f>
        <v>102</v>
      </c>
      <c r="V23" s="667" t="s">
        <v>14</v>
      </c>
      <c r="W23" s="668">
        <f>J23</f>
        <v>102</v>
      </c>
      <c r="X23" s="1265"/>
      <c r="Y23" s="3378"/>
      <c r="Z23" s="1264" t="str">
        <f>Q23</f>
        <v>自然及人文环境</v>
      </c>
      <c r="AA23" s="1264">
        <f t="shared" si="3"/>
        <v>0.98039215686274506</v>
      </c>
      <c r="AB23" s="1264">
        <f t="shared" si="4"/>
        <v>0.98039215686274506</v>
      </c>
      <c r="AC23" s="1264">
        <f t="shared" si="5"/>
        <v>0.98039215686274506</v>
      </c>
    </row>
    <row r="24" spans="1:29" ht="15">
      <c r="A24" s="367"/>
      <c r="B24" s="395"/>
      <c r="C24" s="386" t="s">
        <v>3454</v>
      </c>
      <c r="D24" s="387"/>
      <c r="E24" s="386" t="s">
        <v>3456</v>
      </c>
      <c r="F24" s="388"/>
      <c r="G24" s="386" t="s">
        <v>3456</v>
      </c>
      <c r="H24" s="387"/>
      <c r="I24" s="386" t="s">
        <v>3456</v>
      </c>
      <c r="J24" s="387"/>
      <c r="K24" s="541"/>
      <c r="L24" s="2493"/>
      <c r="M24" s="2488"/>
      <c r="N24" s="2488"/>
      <c r="O24" s="2488"/>
      <c r="P24" s="3376"/>
      <c r="Q24" s="1263"/>
      <c r="R24" s="667"/>
      <c r="S24" s="668"/>
      <c r="T24" s="667"/>
      <c r="U24" s="668"/>
      <c r="V24" s="667"/>
      <c r="W24" s="668"/>
      <c r="X24" s="1265"/>
      <c r="Y24" s="3378"/>
      <c r="Z24" s="1264"/>
      <c r="AA24" s="1264">
        <v>1</v>
      </c>
      <c r="AB24" s="1264">
        <v>1</v>
      </c>
      <c r="AC24" s="1264">
        <v>1</v>
      </c>
    </row>
    <row r="25" spans="1:29" ht="15">
      <c r="A25" s="367"/>
      <c r="B25" s="364" t="s">
        <v>1780</v>
      </c>
      <c r="C25" s="542" t="s">
        <v>3457</v>
      </c>
      <c r="D25" s="374">
        <v>100</v>
      </c>
      <c r="E25" s="542" t="s">
        <v>3458</v>
      </c>
      <c r="F25" s="400">
        <f>SUMIF(86:86,E25,87:87)-SUMIF(86:86,C25,87:87)+100</f>
        <v>102</v>
      </c>
      <c r="G25" s="542" t="s">
        <v>3458</v>
      </c>
      <c r="H25" s="374">
        <f>SUMIF(86:86,G25,87:87)-SUMIF(86:86,C25,87:87)+100</f>
        <v>102</v>
      </c>
      <c r="I25" s="542" t="s">
        <v>3458</v>
      </c>
      <c r="J25" s="374">
        <f>SUMIF(86:86,I25,87:87)-SUMIF(86:86,C25,87:87)+100</f>
        <v>102</v>
      </c>
      <c r="K25" s="538">
        <v>2</v>
      </c>
      <c r="L25" s="2493"/>
      <c r="M25" s="2488"/>
      <c r="N25" s="2488"/>
      <c r="O25" s="2488"/>
      <c r="P25" s="3376"/>
      <c r="Q25" s="1263" t="str">
        <f t="shared" ref="Q25:Q46" si="11">B25</f>
        <v>临街状况</v>
      </c>
      <c r="R25" s="667" t="s">
        <v>14</v>
      </c>
      <c r="S25" s="668">
        <f>F25</f>
        <v>102</v>
      </c>
      <c r="T25" s="667" t="s">
        <v>14</v>
      </c>
      <c r="U25" s="668">
        <f>H25</f>
        <v>102</v>
      </c>
      <c r="V25" s="667" t="s">
        <v>14</v>
      </c>
      <c r="W25" s="668">
        <f>J25</f>
        <v>102</v>
      </c>
      <c r="X25" s="1265"/>
      <c r="Y25" s="3378"/>
      <c r="Z25" s="1264" t="str">
        <f>Q25</f>
        <v>临街状况</v>
      </c>
      <c r="AA25" s="1264">
        <f t="shared" si="3"/>
        <v>0.98039215686274506</v>
      </c>
      <c r="AB25" s="1264">
        <f t="shared" si="4"/>
        <v>0.98039215686274506</v>
      </c>
      <c r="AC25" s="1264">
        <f t="shared" si="5"/>
        <v>0.98039215686274506</v>
      </c>
    </row>
    <row r="26" spans="1:29" ht="15">
      <c r="A26" s="367"/>
      <c r="B26" s="1066" t="s">
        <v>1781</v>
      </c>
      <c r="C26" s="3172" t="s">
        <v>3459</v>
      </c>
      <c r="D26" s="374">
        <v>100</v>
      </c>
      <c r="E26" s="3172" t="s">
        <v>3460</v>
      </c>
      <c r="F26" s="400">
        <f>SUMIF(88:88,E26,89:89)-SUMIF(88:88,C26,89:89)+100</f>
        <v>102</v>
      </c>
      <c r="G26" s="3172" t="s">
        <v>3460</v>
      </c>
      <c r="H26" s="374">
        <f>SUMIF(88:88,G26,89:89)-SUMIF(88:88,C26,89:89)+100</f>
        <v>102</v>
      </c>
      <c r="I26" s="3172" t="s">
        <v>3460</v>
      </c>
      <c r="J26" s="374">
        <f>SUMIF(88:88,I26,89:89)-SUMIF(88:88,C26,89:89)+100</f>
        <v>102</v>
      </c>
      <c r="K26" s="539"/>
      <c r="L26" s="2493"/>
      <c r="M26" s="2488"/>
      <c r="N26" s="2488"/>
      <c r="O26" s="2488"/>
      <c r="P26" s="3376"/>
      <c r="Q26" s="1263" t="str">
        <f t="shared" si="11"/>
        <v>平面位置/可视性</v>
      </c>
      <c r="R26" s="667" t="s">
        <v>14</v>
      </c>
      <c r="S26" s="668">
        <f>F26</f>
        <v>102</v>
      </c>
      <c r="T26" s="667" t="s">
        <v>14</v>
      </c>
      <c r="U26" s="668">
        <f>H26</f>
        <v>102</v>
      </c>
      <c r="V26" s="667" t="s">
        <v>14</v>
      </c>
      <c r="W26" s="668">
        <f>J26</f>
        <v>102</v>
      </c>
      <c r="X26" s="1265"/>
      <c r="Y26" s="3378"/>
      <c r="Z26" s="1264" t="str">
        <f>Q26</f>
        <v>平面位置/可视性</v>
      </c>
      <c r="AA26" s="1264">
        <f t="shared" si="3"/>
        <v>0.98039215686274506</v>
      </c>
      <c r="AB26" s="1264">
        <f t="shared" si="4"/>
        <v>0.98039215686274506</v>
      </c>
      <c r="AC26" s="1264">
        <f t="shared" si="5"/>
        <v>0.98039215686274506</v>
      </c>
    </row>
    <row r="27" spans="1:29" s="102" customFormat="1" ht="15">
      <c r="A27" s="370"/>
      <c r="B27" s="390" t="s">
        <v>1782</v>
      </c>
      <c r="C27" s="1807" t="s">
        <v>3454</v>
      </c>
      <c r="D27" s="401">
        <v>100</v>
      </c>
      <c r="E27" s="1807" t="s">
        <v>3462</v>
      </c>
      <c r="F27" s="395">
        <f>SUMIF(90:90,E27,91:91)-SUMIF(90:90,C27,91:91)+100</f>
        <v>102</v>
      </c>
      <c r="G27" s="1807" t="s">
        <v>3462</v>
      </c>
      <c r="H27" s="401">
        <f>SUMIF(90:90,G27,91:91)-SUMIF(90:90,C27,91:91)+100</f>
        <v>102</v>
      </c>
      <c r="I27" s="1807" t="s">
        <v>3462</v>
      </c>
      <c r="J27" s="401">
        <f>SUMIF(90:90,I27,91:91)-SUMIF(90:90,C27,91:91)+100</f>
        <v>102</v>
      </c>
      <c r="K27" s="538">
        <v>2</v>
      </c>
      <c r="L27" s="2489"/>
      <c r="M27" s="2440"/>
      <c r="N27" s="2440"/>
      <c r="O27" s="2440"/>
      <c r="P27" s="3376"/>
      <c r="Q27" s="530" t="str">
        <f t="shared" si="11"/>
        <v>人流量</v>
      </c>
      <c r="R27" s="664" t="s">
        <v>14</v>
      </c>
      <c r="S27" s="665">
        <f>F27</f>
        <v>102</v>
      </c>
      <c r="T27" s="664" t="s">
        <v>14</v>
      </c>
      <c r="U27" s="665">
        <f>H27</f>
        <v>102</v>
      </c>
      <c r="V27" s="664" t="s">
        <v>14</v>
      </c>
      <c r="W27" s="665">
        <f>J27</f>
        <v>102</v>
      </c>
      <c r="X27" s="666"/>
      <c r="Y27" s="3378"/>
      <c r="Z27" s="50" t="str">
        <f>Q27</f>
        <v>人流量</v>
      </c>
      <c r="AA27" s="1264">
        <f>D27/F27</f>
        <v>0.98039215686274506</v>
      </c>
      <c r="AB27" s="1264">
        <f>D27/H27</f>
        <v>0.98039215686274506</v>
      </c>
      <c r="AC27" s="1264">
        <f>D27/J27</f>
        <v>0.98039215686274506</v>
      </c>
    </row>
    <row r="28" spans="1:29" ht="15.75" thickBot="1">
      <c r="A28" s="367"/>
      <c r="B28" s="364" t="s">
        <v>1783</v>
      </c>
      <c r="C28" s="542" t="s">
        <v>3461</v>
      </c>
      <c r="D28" s="374">
        <v>100</v>
      </c>
      <c r="E28" s="542" t="s">
        <v>3461</v>
      </c>
      <c r="F28" s="400">
        <f>SUMIF(92:92,E28,93:93)-SUMIF(92:92,C28,93:93)+100</f>
        <v>100</v>
      </c>
      <c r="G28" s="542" t="s">
        <v>3461</v>
      </c>
      <c r="H28" s="374">
        <f>SUMIF(92:92,G28,93:93)-SUMIF(92:92,C28,93:93)+100</f>
        <v>100</v>
      </c>
      <c r="I28" s="542" t="s">
        <v>3461</v>
      </c>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75" hidden="1" thickBot="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75" hidden="1" thickBot="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3173" t="s">
        <v>3435</v>
      </c>
      <c r="D32" s="405">
        <v>100</v>
      </c>
      <c r="E32" s="1764" t="s">
        <v>3469</v>
      </c>
      <c r="F32" s="400">
        <f>SUMIF(100:100,E32,101:101)-SUMIF(100:100,C32,101:101)+100</f>
        <v>100</v>
      </c>
      <c r="G32" s="1765" t="s">
        <v>3469</v>
      </c>
      <c r="H32" s="374">
        <f>SUMIF(100:100,G32,101:101)-SUMIF(100:100,C32,101:101)+100</f>
        <v>100</v>
      </c>
      <c r="I32" s="3173" t="s">
        <v>3469</v>
      </c>
      <c r="J32" s="405">
        <f>SUMIF(100:100,I32,101:101)-SUMIF(100:100,C32,101:101)+100</f>
        <v>100</v>
      </c>
      <c r="K32" s="538">
        <v>2</v>
      </c>
      <c r="L32" s="2493"/>
      <c r="M32" s="2488"/>
      <c r="N32" s="2488"/>
      <c r="O32" s="2488"/>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f>'[2]数据-汇总表'!E31</f>
        <v>583.70000000000005</v>
      </c>
      <c r="D33" s="119">
        <v>100</v>
      </c>
      <c r="E33" s="369">
        <v>136</v>
      </c>
      <c r="F33" s="364">
        <f>LOOKUP(E33,103:103,104:104)-LOOKUP(C33,103:103,104:104)+100</f>
        <v>102</v>
      </c>
      <c r="G33" s="369">
        <v>137</v>
      </c>
      <c r="H33" s="119">
        <f>LOOKUP(G33,103:103,104:104)-LOOKUP(C33,103:103,104:104)+100</f>
        <v>102</v>
      </c>
      <c r="I33" s="368">
        <v>700</v>
      </c>
      <c r="J33" s="119">
        <f>LOOKUP(I33,103:103,104:104)-LOOKUP(C33,103:103,104:104)+100</f>
        <v>100</v>
      </c>
      <c r="K33" s="539"/>
      <c r="L33" s="2492"/>
      <c r="M33" s="2494"/>
      <c r="N33" s="2494"/>
      <c r="O33" s="2494"/>
      <c r="P33" s="3380"/>
      <c r="Q33" s="531" t="str">
        <f t="shared" si="11"/>
        <v>项目建筑规模</v>
      </c>
      <c r="R33" s="669" t="s">
        <v>14</v>
      </c>
      <c r="S33" s="670">
        <f t="shared" si="12"/>
        <v>102</v>
      </c>
      <c r="T33" s="669" t="s">
        <v>14</v>
      </c>
      <c r="U33" s="670">
        <f t="shared" si="13"/>
        <v>102</v>
      </c>
      <c r="V33" s="669" t="s">
        <v>14</v>
      </c>
      <c r="W33" s="670">
        <f t="shared" si="14"/>
        <v>100</v>
      </c>
      <c r="X33" s="671"/>
      <c r="Y33" s="3382"/>
      <c r="Z33" s="672" t="str">
        <f t="shared" si="15"/>
        <v>项目建筑规模</v>
      </c>
      <c r="AA33" s="1264">
        <f t="shared" si="3"/>
        <v>0.98039215686274506</v>
      </c>
      <c r="AB33" s="1264">
        <f t="shared" si="4"/>
        <v>0.98039215686274506</v>
      </c>
      <c r="AC33" s="1264">
        <f t="shared" si="5"/>
        <v>1</v>
      </c>
    </row>
    <row r="34" spans="1:29" ht="15">
      <c r="A34" s="409"/>
      <c r="B34" s="364" t="s">
        <v>1698</v>
      </c>
      <c r="C34" s="399" t="s">
        <v>3463</v>
      </c>
      <c r="D34" s="374">
        <v>100</v>
      </c>
      <c r="E34" s="3174" t="s">
        <v>3437</v>
      </c>
      <c r="F34" s="400">
        <f>SUMIF(105:105,E34,106:106)-SUMIF(105:105,C34,106:106)+100</f>
        <v>99</v>
      </c>
      <c r="G34" s="3176" t="s">
        <v>3437</v>
      </c>
      <c r="H34" s="374">
        <f>SUMIF(105:105,G34,106:106)-SUMIF(105:105,C34,106:106)+100</f>
        <v>99</v>
      </c>
      <c r="I34" s="399" t="s">
        <v>3473</v>
      </c>
      <c r="J34" s="374">
        <f>SUMIF(105:105,I34,106:106)-SUMIF(105:105,C34,106:106)+100</f>
        <v>99</v>
      </c>
      <c r="K34" s="538">
        <v>1</v>
      </c>
      <c r="L34" s="2493"/>
      <c r="M34" s="2488"/>
      <c r="N34" s="2488"/>
      <c r="O34" s="2488"/>
      <c r="P34" s="3380"/>
      <c r="Q34" s="1263" t="str">
        <f t="shared" si="11"/>
        <v>建筑结构</v>
      </c>
      <c r="R34" s="667" t="s">
        <v>14</v>
      </c>
      <c r="S34" s="668">
        <f t="shared" si="12"/>
        <v>99</v>
      </c>
      <c r="T34" s="667" t="s">
        <v>14</v>
      </c>
      <c r="U34" s="668">
        <f t="shared" si="13"/>
        <v>99</v>
      </c>
      <c r="V34" s="667" t="s">
        <v>14</v>
      </c>
      <c r="W34" s="668">
        <f t="shared" si="14"/>
        <v>99</v>
      </c>
      <c r="X34" s="1265"/>
      <c r="Y34" s="3382"/>
      <c r="Z34" s="1264" t="str">
        <f t="shared" si="15"/>
        <v>建筑结构</v>
      </c>
      <c r="AA34" s="1264">
        <f t="shared" si="3"/>
        <v>1.0101010101010102</v>
      </c>
      <c r="AB34" s="1264">
        <f t="shared" si="4"/>
        <v>1.0101010101010102</v>
      </c>
      <c r="AC34" s="1264">
        <f t="shared" si="5"/>
        <v>1.0101010101010102</v>
      </c>
    </row>
    <row r="35" spans="1:29" ht="15">
      <c r="A35" s="409"/>
      <c r="B35" s="364" t="s">
        <v>1785</v>
      </c>
      <c r="C35" s="1760" t="s">
        <v>3464</v>
      </c>
      <c r="D35" s="374">
        <v>100</v>
      </c>
      <c r="E35" s="3175" t="s">
        <v>3439</v>
      </c>
      <c r="F35" s="400">
        <f>SUMIF(107:107,E35,108:108)-SUMIF(107:107,C35,108:108)+100</f>
        <v>100</v>
      </c>
      <c r="G35" s="3177" t="s">
        <v>3439</v>
      </c>
      <c r="H35" s="374">
        <f>SUMIF(107:107,G35,108:108)-SUMIF(107:107,C35,108:108)+100</f>
        <v>100</v>
      </c>
      <c r="I35" s="1760" t="s">
        <v>3464</v>
      </c>
      <c r="J35" s="374">
        <f>SUMIF(107:107,I35,108:108)-SUMIF(107:107,C35,108:108)+100</f>
        <v>100</v>
      </c>
      <c r="K35" s="538">
        <v>1</v>
      </c>
      <c r="L35" s="2493"/>
      <c r="M35" s="2488"/>
      <c r="N35" s="2488"/>
      <c r="O35" s="2488"/>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0.96</v>
      </c>
      <c r="D36" s="374">
        <v>100</v>
      </c>
      <c r="E36" s="411">
        <f>ROUND(1-(1-0%)*(2025-2015)/60,2)</f>
        <v>0.83</v>
      </c>
      <c r="F36" s="400">
        <f>LOOKUP(E36,110:110,111:111)-LOOKUP(C36,110:110,111:111)+100</f>
        <v>99</v>
      </c>
      <c r="G36" s="3178">
        <f>ROUND(1-(1-0%)*(2025-2017)/60,2)</f>
        <v>0.87</v>
      </c>
      <c r="H36" s="400">
        <f>LOOKUP(G36,110:110,111:111)-LOOKUP(C36,110:110,111:111)+100</f>
        <v>99</v>
      </c>
      <c r="I36" s="411">
        <f>ROUND(1-(1-0%)*(2025-2011)/60,2)</f>
        <v>0.77</v>
      </c>
      <c r="J36" s="374">
        <f>LOOKUP(I36,110:110,111:111)-LOOKUP(C36,110:110,111:111)+100</f>
        <v>98</v>
      </c>
      <c r="K36" s="538">
        <v>1</v>
      </c>
      <c r="L36" s="2493"/>
      <c r="M36" s="2488"/>
      <c r="N36" s="2488"/>
      <c r="O36" s="2488"/>
      <c r="P36" s="3380"/>
      <c r="Q36" s="1263" t="str">
        <f t="shared" si="11"/>
        <v>成新度</v>
      </c>
      <c r="R36" s="667" t="s">
        <v>14</v>
      </c>
      <c r="S36" s="668">
        <f t="shared" si="12"/>
        <v>99</v>
      </c>
      <c r="T36" s="667" t="s">
        <v>14</v>
      </c>
      <c r="U36" s="668">
        <f t="shared" si="13"/>
        <v>99</v>
      </c>
      <c r="V36" s="667" t="s">
        <v>14</v>
      </c>
      <c r="W36" s="668">
        <f t="shared" si="14"/>
        <v>98</v>
      </c>
      <c r="X36" s="1265"/>
      <c r="Y36" s="3382"/>
      <c r="Z36" s="1264" t="str">
        <f t="shared" si="15"/>
        <v>成新度</v>
      </c>
      <c r="AA36" s="1264">
        <f t="shared" si="3"/>
        <v>1.0101010101010102</v>
      </c>
      <c r="AB36" s="1264">
        <f t="shared" si="4"/>
        <v>1.0101010101010102</v>
      </c>
      <c r="AC36" s="1264">
        <f t="shared" si="5"/>
        <v>1.0204081632653061</v>
      </c>
    </row>
    <row r="37" spans="1:29" s="102" customFormat="1" ht="15">
      <c r="A37" s="410"/>
      <c r="B37" s="364" t="s">
        <v>1787</v>
      </c>
      <c r="C37" s="1760" t="s">
        <v>3455</v>
      </c>
      <c r="D37" s="119">
        <v>100</v>
      </c>
      <c r="E37" s="3175" t="s">
        <v>3455</v>
      </c>
      <c r="F37" s="400">
        <f>SUMIF(112:112,E37,113:113)-SUMIF(112:112,C37,113:113)+100</f>
        <v>100</v>
      </c>
      <c r="G37" s="3177" t="s">
        <v>3443</v>
      </c>
      <c r="H37" s="374">
        <f>SUMIF(112:112,G37,113:113)-SUMIF(112:112,C37,113:113)+100</f>
        <v>99</v>
      </c>
      <c r="I37" s="1760" t="s">
        <v>3474</v>
      </c>
      <c r="J37" s="374">
        <f>SUMIF(112:112,I37,113:113)-SUMIF(112:112,C37,113:113)+100</f>
        <v>99</v>
      </c>
      <c r="K37" s="538">
        <v>1</v>
      </c>
      <c r="L37" s="2489"/>
      <c r="M37" s="2440"/>
      <c r="N37" s="2440"/>
      <c r="O37" s="2440"/>
      <c r="P37" s="3380"/>
      <c r="Q37" s="530" t="str">
        <f t="shared" si="11"/>
        <v>市政基础设施</v>
      </c>
      <c r="R37" s="664" t="s">
        <v>14</v>
      </c>
      <c r="S37" s="665">
        <f t="shared" si="12"/>
        <v>100</v>
      </c>
      <c r="T37" s="664" t="s">
        <v>14</v>
      </c>
      <c r="U37" s="665">
        <f t="shared" si="13"/>
        <v>99</v>
      </c>
      <c r="V37" s="664" t="s">
        <v>14</v>
      </c>
      <c r="W37" s="665">
        <f t="shared" si="14"/>
        <v>99</v>
      </c>
      <c r="X37" s="666"/>
      <c r="Y37" s="3382"/>
      <c r="Z37" s="50" t="str">
        <f t="shared" si="15"/>
        <v>市政基础设施</v>
      </c>
      <c r="AA37" s="50">
        <f t="shared" si="3"/>
        <v>1</v>
      </c>
      <c r="AB37" s="50">
        <f t="shared" si="4"/>
        <v>1.0101010101010102</v>
      </c>
      <c r="AC37" s="50">
        <f t="shared" si="5"/>
        <v>1.0101010101010102</v>
      </c>
    </row>
    <row r="38" spans="1:29" ht="15">
      <c r="A38" s="409"/>
      <c r="B38" s="364" t="s">
        <v>1788</v>
      </c>
      <c r="C38" s="1760" t="s">
        <v>3465</v>
      </c>
      <c r="D38" s="374">
        <v>100</v>
      </c>
      <c r="E38" s="1760" t="s">
        <v>3465</v>
      </c>
      <c r="F38" s="400">
        <f>SUMIF(114:114,E38,115:115)-SUMIF(114:114,C38,115:115)+100</f>
        <v>100</v>
      </c>
      <c r="G38" s="1760" t="s">
        <v>3472</v>
      </c>
      <c r="H38" s="374">
        <f>SUMIF(114:114,G38,115:115)-SUMIF(114:114,C38,115:115)+100</f>
        <v>99</v>
      </c>
      <c r="I38" s="1760" t="s">
        <v>3472</v>
      </c>
      <c r="J38" s="374">
        <f>SUMIF(114:114,I38,115:115)-SUMIF(114:114,C38,115:115)+100</f>
        <v>99</v>
      </c>
      <c r="K38" s="538">
        <v>1</v>
      </c>
      <c r="L38" s="2493"/>
      <c r="M38" s="2488"/>
      <c r="N38" s="2488"/>
      <c r="O38" s="2488"/>
      <c r="P38" s="3380" t="s">
        <v>1696</v>
      </c>
      <c r="Q38" s="1263" t="str">
        <f t="shared" si="11"/>
        <v>业态</v>
      </c>
      <c r="R38" s="667" t="s">
        <v>14</v>
      </c>
      <c r="S38" s="668">
        <f t="shared" si="12"/>
        <v>100</v>
      </c>
      <c r="T38" s="667" t="s">
        <v>14</v>
      </c>
      <c r="U38" s="668">
        <f t="shared" si="13"/>
        <v>99</v>
      </c>
      <c r="V38" s="667" t="s">
        <v>14</v>
      </c>
      <c r="W38" s="668">
        <f t="shared" si="14"/>
        <v>99</v>
      </c>
      <c r="X38" s="1265"/>
      <c r="Y38" s="3382" t="s">
        <v>1696</v>
      </c>
      <c r="Z38" s="1264" t="str">
        <f t="shared" si="15"/>
        <v>业态</v>
      </c>
      <c r="AA38" s="1264">
        <f t="shared" si="3"/>
        <v>1</v>
      </c>
      <c r="AB38" s="1264">
        <f t="shared" si="4"/>
        <v>1.0101010101010102</v>
      </c>
      <c r="AC38" s="1264">
        <f t="shared" si="5"/>
        <v>1.0101010101010102</v>
      </c>
    </row>
    <row r="39" spans="1:29" ht="15">
      <c r="A39" s="409"/>
      <c r="B39" s="364" t="s">
        <v>1789</v>
      </c>
      <c r="C39" s="1760" t="s">
        <v>3466</v>
      </c>
      <c r="D39" s="374">
        <v>100</v>
      </c>
      <c r="E39" s="1760" t="s">
        <v>3470</v>
      </c>
      <c r="F39" s="400">
        <f>SUMIF(116:116,E39,117:117)-SUMIF(116:116,C39,117:117)+100</f>
        <v>99</v>
      </c>
      <c r="G39" s="1760" t="s">
        <v>3470</v>
      </c>
      <c r="H39" s="374">
        <f>SUMIF(116:116,G39,117:117)-SUMIF(116:116,C39,117:117)+100</f>
        <v>99</v>
      </c>
      <c r="I39" s="1760" t="s">
        <v>3470</v>
      </c>
      <c r="J39" s="374">
        <f>SUMIF(116:116,I39,117:117)-SUMIF(116:116,C39,117:117)+100</f>
        <v>99</v>
      </c>
      <c r="K39" s="538">
        <v>1</v>
      </c>
      <c r="L39" s="2493"/>
      <c r="M39" s="2488"/>
      <c r="N39" s="2488"/>
      <c r="O39" s="2488"/>
      <c r="P39" s="3380"/>
      <c r="Q39" s="1263" t="str">
        <f t="shared" si="11"/>
        <v>层高</v>
      </c>
      <c r="R39" s="667" t="s">
        <v>14</v>
      </c>
      <c r="S39" s="668">
        <f t="shared" si="12"/>
        <v>99</v>
      </c>
      <c r="T39" s="667" t="s">
        <v>14</v>
      </c>
      <c r="U39" s="668">
        <f t="shared" si="13"/>
        <v>99</v>
      </c>
      <c r="V39" s="667" t="s">
        <v>14</v>
      </c>
      <c r="W39" s="668">
        <f t="shared" si="14"/>
        <v>99</v>
      </c>
      <c r="X39" s="1265"/>
      <c r="Y39" s="3382"/>
      <c r="Z39" s="1264" t="str">
        <f t="shared" si="15"/>
        <v>层高</v>
      </c>
      <c r="AA39" s="1264">
        <f t="shared" si="3"/>
        <v>1.0101010101010102</v>
      </c>
      <c r="AB39" s="1264">
        <f t="shared" si="4"/>
        <v>1.0101010101010102</v>
      </c>
      <c r="AC39" s="1264">
        <f t="shared" si="5"/>
        <v>1.0101010101010102</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t="s">
        <v>3467</v>
      </c>
      <c r="D41" s="374">
        <v>100</v>
      </c>
      <c r="E41" s="542" t="s">
        <v>3467</v>
      </c>
      <c r="F41" s="400">
        <f>SUMIF(120:120,E41,121:121)-SUMIF(120:120,C41,121:121)+100</f>
        <v>100</v>
      </c>
      <c r="G41" s="542" t="s">
        <v>3467</v>
      </c>
      <c r="H41" s="374">
        <f>SUMIF(120:120,G41,121:121)-SUMIF(120:120,C41,121:121)+100</f>
        <v>100</v>
      </c>
      <c r="I41" s="3179" t="s">
        <v>3450</v>
      </c>
      <c r="J41" s="374">
        <f>SUMIF(120:120,I41,121:121)-SUMIF(120:120,C41,121:121)+100</f>
        <v>100</v>
      </c>
      <c r="K41" s="538">
        <v>1</v>
      </c>
      <c r="L41" s="2492"/>
      <c r="M41" s="2494"/>
      <c r="N41" s="2494"/>
      <c r="O41" s="2494"/>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t="s">
        <v>3468</v>
      </c>
      <c r="D42" s="374">
        <v>100</v>
      </c>
      <c r="E42" s="3175" t="s">
        <v>3471</v>
      </c>
      <c r="F42" s="400">
        <f>SUMIF(122:122,E42,123:123)-SUMIF(122:122,C42,123:123)+100</f>
        <v>103</v>
      </c>
      <c r="G42" s="3175" t="s">
        <v>3464</v>
      </c>
      <c r="H42" s="374">
        <f>SUMIF(122:122,G42,123:123)-SUMIF(122:122,C42,123:123)+100</f>
        <v>102</v>
      </c>
      <c r="I42" s="3175" t="s">
        <v>3468</v>
      </c>
      <c r="J42" s="374">
        <f>SUMIF(122:122,I42,123:123)-SUMIF(122:122,C42,123:123)+100</f>
        <v>100</v>
      </c>
      <c r="K42" s="538">
        <v>1</v>
      </c>
      <c r="L42" s="2493"/>
      <c r="M42" s="2488"/>
      <c r="N42" s="2488"/>
      <c r="O42" s="2488"/>
      <c r="P42" s="3380"/>
      <c r="Q42" s="1263" t="str">
        <f t="shared" si="11"/>
        <v>内部装修</v>
      </c>
      <c r="R42" s="667" t="s">
        <v>14</v>
      </c>
      <c r="S42" s="668">
        <f t="shared" si="12"/>
        <v>103</v>
      </c>
      <c r="T42" s="667" t="s">
        <v>14</v>
      </c>
      <c r="U42" s="668">
        <f t="shared" si="13"/>
        <v>102</v>
      </c>
      <c r="V42" s="667" t="s">
        <v>14</v>
      </c>
      <c r="W42" s="668">
        <f t="shared" si="14"/>
        <v>100</v>
      </c>
      <c r="X42" s="1265"/>
      <c r="Y42" s="3382"/>
      <c r="Z42" s="1264" t="str">
        <f t="shared" si="15"/>
        <v>内部装修</v>
      </c>
      <c r="AA42" s="1264">
        <f t="shared" si="3"/>
        <v>0.970873786407767</v>
      </c>
      <c r="AB42" s="1264">
        <f t="shared" si="4"/>
        <v>0.98039215686274506</v>
      </c>
      <c r="AC42" s="1264">
        <f t="shared" si="5"/>
        <v>1</v>
      </c>
    </row>
    <row r="43" spans="1:29" ht="15.75" thickBot="1">
      <c r="A43" s="409"/>
      <c r="B43" s="364" t="s">
        <v>1707</v>
      </c>
      <c r="C43" s="1760" t="s">
        <v>3456</v>
      </c>
      <c r="D43" s="374">
        <v>100</v>
      </c>
      <c r="E43" s="3175" t="s">
        <v>3422</v>
      </c>
      <c r="F43" s="400">
        <f>SUMIF(124:124,E43,125:125)-SUMIF(124:124,C43,125:125)+100</f>
        <v>100</v>
      </c>
      <c r="G43" s="3175" t="s">
        <v>3422</v>
      </c>
      <c r="H43" s="374">
        <f>SUMIF(124:124,G43,125:125)-SUMIF(124:124,C43,125:125)+100</f>
        <v>100</v>
      </c>
      <c r="I43" s="3175" t="s">
        <v>3422</v>
      </c>
      <c r="J43" s="374">
        <f>SUMIF(124:124,I43,125:125)-SUMIF(124:124,C43,125:125)+100</f>
        <v>100</v>
      </c>
      <c r="K43" s="538">
        <v>1</v>
      </c>
      <c r="L43" s="2493"/>
      <c r="M43" s="2488"/>
      <c r="N43" s="2488"/>
      <c r="O43" s="2488"/>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75" hidden="1" thickBot="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75"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v>3.43</v>
      </c>
      <c r="F47" s="420"/>
      <c r="G47" s="421">
        <v>3.4</v>
      </c>
      <c r="H47" s="422"/>
      <c r="I47" s="419">
        <v>3.5</v>
      </c>
      <c r="J47" s="422"/>
      <c r="K47" s="674"/>
      <c r="L47" s="2495"/>
      <c r="M47" s="2488"/>
      <c r="N47" s="2488"/>
      <c r="O47" s="2488"/>
      <c r="P47" s="3370" t="str">
        <f>A47</f>
        <v>成交单价（元/平方米）</v>
      </c>
      <c r="Q47" s="3370"/>
      <c r="R47" s="3371">
        <f>E47</f>
        <v>3.43</v>
      </c>
      <c r="S47" s="3371"/>
      <c r="T47" s="3371">
        <f>G47</f>
        <v>3.4</v>
      </c>
      <c r="U47" s="3371"/>
      <c r="V47" s="3371">
        <f>I47</f>
        <v>3.5</v>
      </c>
      <c r="W47" s="3371"/>
      <c r="X47" s="385"/>
      <c r="Y47" s="673"/>
      <c r="Z47" s="385"/>
      <c r="AA47" s="385"/>
      <c r="AB47" s="385"/>
      <c r="AC47" s="385"/>
    </row>
    <row r="48" spans="1:29" ht="15.75" thickBot="1">
      <c r="A48" s="423" t="s">
        <v>1709</v>
      </c>
      <c r="B48" s="424"/>
      <c r="C48" s="1082">
        <f>R49</f>
        <v>3</v>
      </c>
      <c r="D48" s="2141" t="s">
        <v>2138</v>
      </c>
      <c r="E48" s="1083">
        <f>R48</f>
        <v>2.9</v>
      </c>
      <c r="F48" s="2142"/>
      <c r="G48" s="1082">
        <f>T48</f>
        <v>2.9</v>
      </c>
      <c r="H48" s="2142"/>
      <c r="I48" s="1083">
        <f>V48</f>
        <v>3.2</v>
      </c>
      <c r="J48" s="2142"/>
      <c r="K48" s="2144">
        <f>F48+H48+J48</f>
        <v>0</v>
      </c>
      <c r="L48" s="2495"/>
      <c r="M48" s="2488"/>
      <c r="N48" s="2488"/>
      <c r="O48" s="2488"/>
      <c r="P48" s="3370" t="str">
        <f>A48</f>
        <v>比较价值（元/平方米）</v>
      </c>
      <c r="Q48" s="3370"/>
      <c r="R48" s="3371">
        <f>IF(F1="售价",ROUND(PRODUCT(R47,AA7:AA46),0),ROUND(PRODUCT(R47,AA7:AA46),1))</f>
        <v>2.9</v>
      </c>
      <c r="S48" s="3371"/>
      <c r="T48" s="3371">
        <f>IF(F1="售价",ROUND(PRODUCT(T47,AB7:AB46),0),ROUND(PRODUCT(T47,AB7:AB46),1))</f>
        <v>2.9</v>
      </c>
      <c r="U48" s="3371"/>
      <c r="V48" s="3371">
        <f>IF(F1="售价",ROUND(PRODUCT(V47,AC7:AC46),0),ROUND(PRODUCT(V47,AC7:AC46),1))</f>
        <v>3.2</v>
      </c>
      <c r="W48" s="3371"/>
      <c r="X48" s="385"/>
      <c r="Y48" s="385"/>
      <c r="Z48" s="385"/>
      <c r="AA48" s="385"/>
      <c r="AB48" s="385"/>
      <c r="AC48" s="385"/>
    </row>
    <row r="49" spans="1:29" ht="15.75" thickBot="1">
      <c r="A49" s="427" t="s">
        <v>1710</v>
      </c>
      <c r="B49" s="428"/>
      <c r="C49" s="351">
        <f>R49</f>
        <v>3</v>
      </c>
      <c r="D49" s="351"/>
      <c r="E49" s="351"/>
      <c r="F49" s="351"/>
      <c r="G49" s="351"/>
      <c r="H49" s="351"/>
      <c r="I49" s="351"/>
      <c r="J49" s="351"/>
      <c r="K49" s="675"/>
      <c r="L49" s="2495"/>
      <c r="M49" s="2488"/>
      <c r="N49" s="2488"/>
      <c r="O49" s="2488"/>
      <c r="P49" s="3372" t="str">
        <f>A49</f>
        <v>估价对象XX用房的比较价值（楼面单价，元/平方米）</v>
      </c>
      <c r="Q49" s="3373"/>
      <c r="R49" s="3374">
        <f>IF(F1="售价",ROUND(IF(D48="简单平均",AVERAGE(R48:V48),R48*F48+T48*H48+V48*J48),0),ROUND(IF(D48="简单平均",AVERAGE(R48:V48),R48*F48+T48*H48+V48*J48),1))</f>
        <v>3</v>
      </c>
      <c r="S49" s="3374"/>
      <c r="T49" s="3374"/>
      <c r="U49" s="3374"/>
      <c r="V49" s="3374"/>
      <c r="W49" s="337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0.1827586206896552</v>
      </c>
      <c r="F52" s="435" t="str">
        <f>IF(OR(E52&gt;=0.3,E52&lt;=-0.3),"超过30%","")</f>
        <v/>
      </c>
      <c r="G52" s="434">
        <f>IF(G47&lt;G48,G48/G47-1,G47/G48-1)</f>
        <v>0.17241379310344818</v>
      </c>
      <c r="H52" s="435" t="str">
        <f>IF(OR(G52&gt;=0.3,G52&lt;=-0.3),"超过30%","")</f>
        <v/>
      </c>
      <c r="I52" s="434">
        <f>IF(I47&lt;I48,I48/I47-1,I47/I48-1)</f>
        <v>9.375E-2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v>
      </c>
      <c r="F53" s="435" t="str">
        <f>IF(OR(E53&gt;=0.2,E53&lt;=-0.2),"超过20%","")</f>
        <v/>
      </c>
      <c r="G53" s="434">
        <f>IF(G48&lt;I48,I48/G48-1,G48/I48-1)</f>
        <v>0.10344827586206895</v>
      </c>
      <c r="H53" s="435" t="str">
        <f>IF(OR(G53&gt;=0.2,G53&lt;=-0.2),"超过20%","")</f>
        <v/>
      </c>
      <c r="I53" s="434">
        <f>IF(I48&lt;E48,E48/I48-1,I48/E48-1)</f>
        <v>0.10344827586206895</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8.8235294117646745E-3</v>
      </c>
      <c r="F54" s="435" t="str">
        <f>IF(OR(E54&gt;=0.3,E54&lt;=-0.3),"超过30%","")</f>
        <v/>
      </c>
      <c r="G54" s="434">
        <f>IF(G47&lt;I47,I47/G47-1,G47/I47-1)</f>
        <v>2.941176470588247E-2</v>
      </c>
      <c r="H54" s="435" t="str">
        <f>IF(OR(G54&gt;=0.3,G54&lt;=-0.3),"超过30%","")</f>
        <v/>
      </c>
      <c r="I54" s="434">
        <f>IF(I47&lt;E47,E47/I47-1,I47/E47-1)</f>
        <v>2.0408163265306145E-2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166"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v>4</v>
      </c>
      <c r="H68" s="480">
        <v>5</v>
      </c>
      <c r="I68" s="480">
        <v>6</v>
      </c>
      <c r="J68" s="480">
        <v>7</v>
      </c>
      <c r="K68" s="481">
        <v>8</v>
      </c>
      <c r="L68" s="482">
        <v>9</v>
      </c>
      <c r="M68" s="483">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67" t="s">
        <v>3419</v>
      </c>
      <c r="D86" s="3167" t="s">
        <v>3420</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67" t="s">
        <v>3421</v>
      </c>
      <c r="D88" s="3167" t="s">
        <v>3422</v>
      </c>
      <c r="E88" s="3167" t="s">
        <v>3423</v>
      </c>
      <c r="F88" s="3168" t="s">
        <v>3424</v>
      </c>
      <c r="G88" s="3167" t="s">
        <v>3425</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7" t="s">
        <v>3426</v>
      </c>
      <c r="D90" s="3167" t="s">
        <v>3427</v>
      </c>
      <c r="E90" s="3167" t="s">
        <v>3423</v>
      </c>
      <c r="F90" s="3167" t="s">
        <v>3428</v>
      </c>
      <c r="G90" s="3167" t="s">
        <v>3429</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167" t="s">
        <v>3430</v>
      </c>
      <c r="D92" s="3167" t="s">
        <v>3431</v>
      </c>
      <c r="E92" s="3167" t="s">
        <v>3432</v>
      </c>
      <c r="F92" s="3167" t="s">
        <v>3433</v>
      </c>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85</v>
      </c>
      <c r="E93" s="467">
        <v>70</v>
      </c>
      <c r="F93" s="467">
        <v>80</v>
      </c>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9" t="s">
        <v>3434</v>
      </c>
      <c r="D100" s="3169" t="s">
        <v>2773</v>
      </c>
      <c r="E100" s="3169" t="s">
        <v>3435</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0(含)-30</v>
      </c>
      <c r="D102" s="509" t="str">
        <f t="shared" ref="D102:L102" si="24">D103&amp;"(含)"&amp;"-"&amp;E103</f>
        <v>30(含)-50</v>
      </c>
      <c r="E102" s="509" t="str">
        <f t="shared" si="24"/>
        <v>50(含)-100</v>
      </c>
      <c r="F102" s="509" t="str">
        <f t="shared" si="24"/>
        <v>100(含)-200</v>
      </c>
      <c r="G102" s="509" t="str">
        <f t="shared" si="24"/>
        <v>200(含)-500</v>
      </c>
      <c r="H102" s="509" t="str">
        <f t="shared" si="24"/>
        <v>500(含)-1000</v>
      </c>
      <c r="I102" s="509" t="str">
        <f t="shared" si="24"/>
        <v>1000(含)-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30</v>
      </c>
      <c r="E103" s="6">
        <v>50</v>
      </c>
      <c r="F103" s="6">
        <v>100</v>
      </c>
      <c r="G103" s="6">
        <v>200</v>
      </c>
      <c r="H103" s="6">
        <v>500</v>
      </c>
      <c r="I103" s="6">
        <v>1000</v>
      </c>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7" t="s">
        <v>3436</v>
      </c>
      <c r="D105" s="3167" t="s">
        <v>3437</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7" t="s">
        <v>3438</v>
      </c>
      <c r="D107" s="3167" t="s">
        <v>3439</v>
      </c>
      <c r="E107" s="3167" t="s">
        <v>3440</v>
      </c>
      <c r="F107" s="3170" t="s">
        <v>3441</v>
      </c>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67" t="s">
        <v>3442</v>
      </c>
      <c r="D112" s="3167" t="s">
        <v>3443</v>
      </c>
      <c r="E112" s="3167" t="s">
        <v>3444</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7" t="s">
        <v>3445</v>
      </c>
      <c r="D114" s="3167" t="s">
        <v>3446</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6">
        <f t="shared" si="30"/>
        <v>90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7" t="s">
        <v>3447</v>
      </c>
      <c r="D116" s="3167" t="s">
        <v>3448</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70" t="s">
        <v>3449</v>
      </c>
      <c r="D120" s="3170" t="s">
        <v>3450</v>
      </c>
      <c r="E120" s="3170" t="s">
        <v>3423</v>
      </c>
      <c r="F120" s="3170" t="s">
        <v>3451</v>
      </c>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99</v>
      </c>
      <c r="E121" s="475">
        <f t="shared" ref="E121:M121" si="31">D121-$K41</f>
        <v>98</v>
      </c>
      <c r="F121" s="475">
        <f t="shared" si="31"/>
        <v>97</v>
      </c>
      <c r="G121" s="475">
        <f t="shared" si="31"/>
        <v>96</v>
      </c>
      <c r="H121" s="475">
        <f t="shared" si="31"/>
        <v>95</v>
      </c>
      <c r="I121" s="475">
        <f t="shared" si="31"/>
        <v>94</v>
      </c>
      <c r="J121" s="475">
        <f t="shared" si="31"/>
        <v>93</v>
      </c>
      <c r="K121" s="475">
        <f t="shared" si="31"/>
        <v>92</v>
      </c>
      <c r="L121" s="475">
        <f t="shared" si="31"/>
        <v>91</v>
      </c>
      <c r="M121" s="476">
        <f t="shared" si="31"/>
        <v>90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7" t="s">
        <v>3438</v>
      </c>
      <c r="D122" s="3167" t="s">
        <v>3439</v>
      </c>
      <c r="E122" s="3167" t="s">
        <v>3440</v>
      </c>
      <c r="F122" s="3170" t="s">
        <v>3441</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10A54AA4-B557-490C-B108-023BCBD4C27D}">
      <formula1>"项目模式,单套模式"</formula1>
    </dataValidation>
    <dataValidation type="list" allowBlank="1" showInputMessage="1" showErrorMessage="1" sqref="D48" xr:uid="{923338C9-6498-456E-A2C7-919346685580}">
      <formula1>"简单平均,加权平均"</formula1>
    </dataValidation>
    <dataValidation type="list" allowBlank="1" showInputMessage="1" showErrorMessage="1" sqref="F2" xr:uid="{0AFEE81F-AF62-4C19-BBA7-02A184A97436}">
      <formula1>估价方法</formula1>
    </dataValidation>
    <dataValidation type="list" allowBlank="1" showInputMessage="1" showErrorMessage="1" sqref="C2" xr:uid="{A03F87DC-DBD0-4380-AB19-25CBB04A0F2E}">
      <formula1>"需扣减承租人权益,——"</formula1>
    </dataValidation>
    <dataValidation type="list" allowBlank="1" showInputMessage="1" showErrorMessage="1" sqref="F1" xr:uid="{D5884D7F-5F01-483D-AD3D-F6ABC272340D}">
      <formula1>"售价,租金"</formula1>
    </dataValidation>
    <dataValidation type="list" allowBlank="1" showInputMessage="1" showErrorMessage="1" sqref="C22 E22 G22 I22" xr:uid="{44D23D84-FF70-4AFD-9348-4C24F38C9833}">
      <formula1>基础设施水平</formula1>
    </dataValidation>
    <dataValidation type="list" allowBlank="1" showInputMessage="1" showErrorMessage="1" sqref="C16 E16 G16 I16" xr:uid="{0724F935-1C04-4D1D-AED8-8F8EEAEA968E}">
      <formula1>商业繁华度</formula1>
    </dataValidation>
    <dataValidation type="list" allowBlank="1" showInputMessage="1" showErrorMessage="1" sqref="C8 E8 G8 I8" xr:uid="{DB158531-7533-4333-B867-21CBB95E8BA3}">
      <formula1>商业交易情况</formula1>
    </dataValidation>
    <dataValidation type="list" allowBlank="1" showInputMessage="1" showErrorMessage="1" sqref="C39 E39 G39 I39" xr:uid="{0E9B6AD0-CEB0-4571-909F-C1CA42325F77}">
      <formula1>商业层高</formula1>
    </dataValidation>
    <dataValidation type="list" allowBlank="1" showInputMessage="1" showErrorMessage="1" sqref="C38 E38 G38 I38" xr:uid="{79BC99B5-ABE1-4DD4-84B7-756C20924843}">
      <formula1>商业业态</formula1>
    </dataValidation>
    <dataValidation type="list" allowBlank="1" showInputMessage="1" showErrorMessage="1" sqref="E9 G9 I9" xr:uid="{529B1AEF-0ECA-4A71-B55A-4A3600B7F119}">
      <formula1>商业用途</formula1>
    </dataValidation>
    <dataValidation type="list" allowBlank="1" showInputMessage="1" showErrorMessage="1" sqref="C42 E42 G42 I42" xr:uid="{F5056A55-B2BD-4210-82D2-160B443AA5D8}">
      <formula1>商业内部装修</formula1>
    </dataValidation>
    <dataValidation type="list" allowBlank="1" showInputMessage="1" showErrorMessage="1" sqref="C41 E41 G41 I41" xr:uid="{2DEBCB5E-F470-422F-B231-E3278F65381A}">
      <formula1>商业进深比</formula1>
    </dataValidation>
    <dataValidation type="list" allowBlank="1" showInputMessage="1" showErrorMessage="1" sqref="C37 E37 G37 I37" xr:uid="{8F5AE66C-8207-4D2E-8639-01317762AE39}">
      <formula1>商业基础设施水平</formula1>
    </dataValidation>
    <dataValidation type="list" allowBlank="1" showInputMessage="1" showErrorMessage="1" sqref="C35 E35 G35 I35" xr:uid="{63EB6A26-BE64-4E1C-8D1E-CEA94BA079EF}">
      <formula1>商业公共部分装修</formula1>
    </dataValidation>
    <dataValidation type="list" allowBlank="1" showInputMessage="1" showErrorMessage="1" sqref="C34 E34 G34 I34" xr:uid="{CD49D32C-01AD-4F37-8345-2A894F29915E}">
      <formula1>商业建筑结构</formula1>
    </dataValidation>
    <dataValidation type="list" allowBlank="1" showInputMessage="1" showErrorMessage="1" sqref="C32 E32 G32 I32" xr:uid="{11106803-7F0E-43AC-A818-D03A8FC9F82D}">
      <formula1>商业类型</formula1>
    </dataValidation>
    <dataValidation type="list" allowBlank="1" showInputMessage="1" showErrorMessage="1" sqref="C28 E28 G28 I28" xr:uid="{39E4E193-8E84-4200-BB5C-532DCC586854}">
      <formula1>商业楼层</formula1>
    </dataValidation>
    <dataValidation type="list" allowBlank="1" showInputMessage="1" showErrorMessage="1" sqref="C27 E27 G27 I27" xr:uid="{0F567F21-DFB8-43D5-870C-FB0BE551F9F7}">
      <formula1>商业人流量</formula1>
    </dataValidation>
    <dataValidation type="list" allowBlank="1" showInputMessage="1" showErrorMessage="1" sqref="C25 E25 G25 I25" xr:uid="{098C31D7-FFC4-4EA7-B7F9-8F955445D285}">
      <formula1>商业临街状况</formula1>
    </dataValidation>
    <dataValidation type="list" allowBlank="1" showInputMessage="1" showErrorMessage="1" sqref="E24 G24 I24 C24" xr:uid="{3BEE5D05-3C3B-4CA0-91BF-40A414667EE5}">
      <formula1>环境</formula1>
    </dataValidation>
    <dataValidation type="list" allowBlank="1" showInputMessage="1" showErrorMessage="1" sqref="E18 G18 I18 C18" xr:uid="{0FF788CA-7784-4418-B085-5DFA5F215779}">
      <formula1>交通便捷度</formula1>
    </dataValidation>
    <dataValidation type="list" allowBlank="1" showInputMessage="1" showErrorMessage="1" sqref="E20 I20 G20 C20" xr:uid="{95951EC8-0E90-482D-A6BF-1AD65F1E35A4}">
      <formula1>公共配套设施</formula1>
    </dataValidation>
    <dataValidation type="list" allowBlank="1" showInputMessage="1" showErrorMessage="1" sqref="C43 E43 G43 I43" xr:uid="{D789E3AF-DA5D-47FA-8BFB-4DB0A9081474}">
      <formula1>内部装修维护情况</formula1>
    </dataValidation>
    <dataValidation type="list" allowBlank="1" showInputMessage="1" showErrorMessage="1" sqref="D1" xr:uid="{B08A1E88-430D-4D69-A9A8-8A5EA5E02C9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44B5-395B-44AA-B581-2425016B0D32}">
  <dimension ref="L1:O45"/>
  <sheetViews>
    <sheetView workbookViewId="0">
      <selection activeCell="P81" sqref="P81"/>
    </sheetView>
  </sheetViews>
  <sheetFormatPr defaultRowHeight="13.5"/>
  <cols>
    <col min="13" max="13" width="13" bestFit="1" customWidth="1"/>
  </cols>
  <sheetData>
    <row r="1" spans="12:15">
      <c r="M1" s="1405" t="s">
        <v>3485</v>
      </c>
      <c r="N1" s="1405" t="s">
        <v>3381</v>
      </c>
      <c r="O1" s="1405" t="s">
        <v>3380</v>
      </c>
    </row>
    <row r="2" spans="12:15">
      <c r="M2" s="1405" t="s">
        <v>3486</v>
      </c>
      <c r="N2">
        <v>36847</v>
      </c>
      <c r="O2">
        <v>157.41</v>
      </c>
    </row>
    <row r="3" spans="12:15">
      <c r="M3" s="1405" t="s">
        <v>3487</v>
      </c>
      <c r="N3">
        <v>32076</v>
      </c>
      <c r="O3">
        <v>26.5</v>
      </c>
    </row>
    <row r="4" spans="12:15">
      <c r="M4" s="1405" t="s">
        <v>3488</v>
      </c>
      <c r="N4">
        <v>34400</v>
      </c>
      <c r="O4">
        <v>363.38</v>
      </c>
    </row>
    <row r="8" spans="12:15">
      <c r="L8" t="s">
        <v>3489</v>
      </c>
    </row>
    <row r="24" spans="12:12">
      <c r="L24" t="s">
        <v>3490</v>
      </c>
    </row>
    <row r="45" spans="12:12">
      <c r="L45" t="s">
        <v>3491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7E97-E9BF-416A-80B3-95A319BB5E85}">
  <dimension ref="L8:O46"/>
  <sheetViews>
    <sheetView topLeftCell="A34" workbookViewId="0">
      <selection activeCell="N54" sqref="N54"/>
    </sheetView>
  </sheetViews>
  <sheetFormatPr defaultRowHeight="13.5"/>
  <sheetData>
    <row r="8" spans="12:15">
      <c r="M8" s="1405" t="s">
        <v>654</v>
      </c>
      <c r="N8" s="1405" t="s">
        <v>3381</v>
      </c>
      <c r="O8" s="1405" t="s">
        <v>3380</v>
      </c>
    </row>
    <row r="9" spans="12:15">
      <c r="M9" s="1405" t="s">
        <v>3486</v>
      </c>
      <c r="N9">
        <v>3.63</v>
      </c>
      <c r="O9" s="1405">
        <v>136</v>
      </c>
    </row>
    <row r="10" spans="12:15">
      <c r="M10" s="1405" t="s">
        <v>3495</v>
      </c>
      <c r="N10">
        <v>3.4</v>
      </c>
      <c r="O10">
        <v>137</v>
      </c>
    </row>
    <row r="11" spans="12:15">
      <c r="M11" s="1405" t="s">
        <v>3496</v>
      </c>
      <c r="N11">
        <v>3.5</v>
      </c>
      <c r="O11">
        <v>700</v>
      </c>
    </row>
    <row r="16" spans="12:15">
      <c r="L16" t="s">
        <v>3497</v>
      </c>
    </row>
    <row r="26" spans="12:12">
      <c r="L26" t="s">
        <v>3498</v>
      </c>
    </row>
    <row r="46" spans="12:12">
      <c r="L46" t="s">
        <v>3499</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21" t="s">
        <v>2308</v>
      </c>
      <c r="K2" s="342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23" t="s">
        <v>2318</v>
      </c>
      <c r="K3" s="342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23" t="s">
        <v>2320</v>
      </c>
      <c r="K4" s="342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29" t="s">
        <v>2324</v>
      </c>
      <c r="B6" s="3430"/>
      <c r="C6" s="3431"/>
      <c r="D6" s="2622"/>
      <c r="E6" s="2623"/>
      <c r="F6" s="2624"/>
      <c r="G6" s="2625"/>
      <c r="H6" s="2600"/>
      <c r="I6" s="2601"/>
      <c r="J6" s="3415">
        <v>1</v>
      </c>
      <c r="K6" s="341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15"/>
      <c r="K7" s="341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32" t="s">
        <v>2338</v>
      </c>
      <c r="C8" s="3433"/>
      <c r="D8" s="2641" t="s">
        <v>2339</v>
      </c>
      <c r="E8" s="2642" t="s">
        <v>2340</v>
      </c>
      <c r="F8" s="2643" t="s">
        <v>2341</v>
      </c>
      <c r="G8" s="2644"/>
      <c r="H8" s="2600"/>
      <c r="I8" s="2601"/>
      <c r="J8" s="3415"/>
      <c r="K8" s="341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32" t="s">
        <v>2344</v>
      </c>
      <c r="C9" s="3433"/>
      <c r="D9" s="2641">
        <f>ROUND(D6*E9,0)</f>
        <v>0</v>
      </c>
      <c r="E9" s="2645"/>
      <c r="F9" s="2646" t="s">
        <v>2345</v>
      </c>
      <c r="G9" s="2625"/>
      <c r="H9" s="2600"/>
      <c r="I9" s="2601"/>
      <c r="J9" s="3415"/>
      <c r="K9" s="3417"/>
      <c r="L9" s="2635" t="s">
        <v>2346</v>
      </c>
      <c r="M9" s="2636"/>
      <c r="N9" s="2612"/>
      <c r="O9" s="2637"/>
      <c r="P9" s="2637"/>
      <c r="Q9" s="2638">
        <v>365</v>
      </c>
      <c r="R9" s="2639">
        <f t="shared" si="0"/>
        <v>0</v>
      </c>
      <c r="S9" s="2593"/>
      <c r="T9" s="2593"/>
      <c r="U9" s="2593"/>
      <c r="V9" s="2601"/>
    </row>
    <row r="10" spans="1:22" s="2605" customFormat="1" ht="13.15" customHeight="1">
      <c r="A10" s="2640">
        <v>2</v>
      </c>
      <c r="B10" s="3432" t="s">
        <v>2347</v>
      </c>
      <c r="C10" s="3433"/>
      <c r="D10" s="2641">
        <f>ROUND(D6*E10,0)</f>
        <v>0</v>
      </c>
      <c r="E10" s="2645"/>
      <c r="F10" s="2646" t="s">
        <v>2348</v>
      </c>
      <c r="G10" s="2625"/>
      <c r="H10" s="2600"/>
      <c r="I10" s="2601"/>
      <c r="J10" s="3415"/>
      <c r="K10" s="3417"/>
      <c r="L10" s="2635" t="s">
        <v>2349</v>
      </c>
      <c r="M10" s="2636"/>
      <c r="N10" s="2612"/>
      <c r="O10" s="2637"/>
      <c r="P10" s="2637"/>
      <c r="Q10" s="2638">
        <v>365</v>
      </c>
      <c r="R10" s="2639">
        <f t="shared" si="0"/>
        <v>0</v>
      </c>
      <c r="S10" s="2593"/>
      <c r="T10" s="2593"/>
      <c r="U10" s="2593"/>
      <c r="V10" s="2601"/>
    </row>
    <row r="11" spans="1:22" s="2605" customFormat="1" ht="13.15" customHeight="1">
      <c r="A11" s="2640">
        <v>3</v>
      </c>
      <c r="B11" s="3432" t="s">
        <v>2350</v>
      </c>
      <c r="C11" s="3433"/>
      <c r="D11" s="2641">
        <f>D12+D14+D15+D16</f>
        <v>0</v>
      </c>
      <c r="E11" s="2647" t="e">
        <f>D11/D6</f>
        <v>#DIV/0!</v>
      </c>
      <c r="F11" s="2643"/>
      <c r="G11" s="2644"/>
      <c r="H11" s="2600"/>
      <c r="I11" s="2601"/>
      <c r="J11" s="3415"/>
      <c r="K11" s="341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25" t="s">
        <v>2353</v>
      </c>
      <c r="C12" s="3426"/>
      <c r="D12" s="2649">
        <f>ROUND(D13*1.2%*(1-30%),0)</f>
        <v>0</v>
      </c>
      <c r="E12" s="2650">
        <v>1.2E-2</v>
      </c>
      <c r="F12" s="2643" t="s">
        <v>2354</v>
      </c>
      <c r="G12" s="2644"/>
      <c r="H12" s="2600"/>
      <c r="I12" s="2601"/>
      <c r="J12" s="3415"/>
      <c r="K12" s="341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15"/>
      <c r="K13" s="341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25" t="s">
        <v>2359</v>
      </c>
      <c r="C14" s="3426"/>
      <c r="D14" s="2649">
        <f>ROUND(E14*B5/10000,0)</f>
        <v>0</v>
      </c>
      <c r="E14" s="2638"/>
      <c r="F14" s="2643" t="s">
        <v>2360</v>
      </c>
      <c r="G14" s="2644"/>
      <c r="H14" s="2600"/>
      <c r="I14" s="2601"/>
      <c r="J14" s="3415"/>
      <c r="K14" s="341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25" t="s">
        <v>2363</v>
      </c>
      <c r="C15" s="3426"/>
      <c r="D15" s="2649">
        <f>ROUND(D6*E15,0)</f>
        <v>0</v>
      </c>
      <c r="E15" s="2650">
        <v>5.5E-2</v>
      </c>
      <c r="F15" s="2643" t="s">
        <v>2364</v>
      </c>
      <c r="G15" s="2625"/>
      <c r="H15" s="2600"/>
      <c r="I15" s="2601"/>
      <c r="J15" s="3415">
        <v>2</v>
      </c>
      <c r="K15" s="341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25" t="s">
        <v>2372</v>
      </c>
      <c r="C16" s="3426"/>
      <c r="D16" s="2660">
        <f>D6*E16</f>
        <v>0</v>
      </c>
      <c r="E16" s="2661"/>
      <c r="F16" s="2646" t="s">
        <v>2373</v>
      </c>
      <c r="G16" s="2625"/>
      <c r="H16" s="2600"/>
      <c r="I16" s="2601"/>
      <c r="J16" s="3415"/>
      <c r="K16" s="341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7" t="s">
        <v>2375</v>
      </c>
      <c r="C17" s="3428"/>
      <c r="D17" s="2663">
        <f>ROUND(D6*E17,0)</f>
        <v>0</v>
      </c>
      <c r="E17" s="2664"/>
      <c r="F17" s="2665" t="s">
        <v>2376</v>
      </c>
      <c r="G17" s="2625"/>
      <c r="H17" s="2600"/>
      <c r="I17" s="2601"/>
      <c r="J17" s="3415"/>
      <c r="K17" s="341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15"/>
      <c r="K18" s="341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15"/>
      <c r="K19" s="341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5">
        <v>3</v>
      </c>
      <c r="K20" s="341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15"/>
      <c r="K21" s="341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15"/>
      <c r="K22" s="341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15"/>
      <c r="K23" s="341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15"/>
      <c r="K24" s="341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1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2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21" t="s">
        <v>2308</v>
      </c>
      <c r="K32" s="342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23" t="s">
        <v>2318</v>
      </c>
      <c r="K33" s="342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23" t="s">
        <v>2320</v>
      </c>
      <c r="K34" s="342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15">
        <v>1</v>
      </c>
      <c r="K36" s="341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15"/>
      <c r="K37" s="341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5"/>
      <c r="K38" s="341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15"/>
      <c r="K39" s="341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15"/>
      <c r="K40" s="341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2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890.45699999999999</v>
      </c>
      <c r="C2" s="1729" t="s">
        <v>1651</v>
      </c>
      <c r="D2" s="1730" t="s">
        <v>1652</v>
      </c>
      <c r="E2" s="2393">
        <f>SUM(E6:E13)</f>
        <v>583.70000000000005</v>
      </c>
      <c r="F2" s="2480"/>
      <c r="G2" s="459"/>
      <c r="H2" s="459"/>
      <c r="I2" s="459"/>
      <c r="J2" s="459"/>
      <c r="K2" s="459"/>
      <c r="L2" s="459"/>
      <c r="M2" s="459"/>
      <c r="N2" s="459"/>
      <c r="O2" s="459"/>
      <c r="P2" s="459"/>
      <c r="Q2" s="459"/>
      <c r="R2" s="459"/>
      <c r="S2" s="459"/>
    </row>
    <row r="3" spans="1:22" ht="15.75">
      <c r="A3" s="1728" t="s">
        <v>686</v>
      </c>
      <c r="B3" s="2387">
        <f ca="1">ROUND(B2*10000/E2,0)</f>
        <v>15255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4" t="s">
        <v>1654</v>
      </c>
      <c r="C5" s="343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890.45699999999999</v>
      </c>
      <c r="C6" s="1729" t="s">
        <v>1651</v>
      </c>
      <c r="D6" s="2480"/>
      <c r="E6" s="2392">
        <f>IF(OR(A6=0,F6="否"),0,'数据-取费表'!K6+'数据-取费表'!S6)</f>
        <v>583.70000000000005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估价对象为北京市房地产，为所有。根据《国有土地使用证》[]，估价对象（分摊）出让国有建设用地使用权面积为0平方米，建筑面积为583.7平方米。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估价对象为北京市房地产,属开发建设的，该项目尚在开发建设中。根据《国有土地使用证》[]，估价对象（分摊）出让国有建设用地使用权面积为0平方米，规划建筑面积为583.7平方米。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583.70000000000005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8" t="s">
        <v>1667</v>
      </c>
      <c r="D4" s="3389"/>
      <c r="E4" s="3390" t="s">
        <v>1668</v>
      </c>
      <c r="F4" s="3391"/>
      <c r="G4" s="3388" t="s">
        <v>1669</v>
      </c>
      <c r="H4" s="3389"/>
      <c r="I4" s="3388" t="s">
        <v>1670</v>
      </c>
      <c r="J4" s="3389"/>
      <c r="K4" s="1744" t="s">
        <v>1671</v>
      </c>
      <c r="L4" s="2487"/>
      <c r="M4" s="2488"/>
      <c r="N4" s="2488"/>
      <c r="O4" s="2488"/>
      <c r="P4" s="3392" t="s">
        <v>1672</v>
      </c>
      <c r="Q4" s="3393"/>
      <c r="R4" s="3398" t="s">
        <v>1668</v>
      </c>
      <c r="S4" s="3399"/>
      <c r="T4" s="3398" t="s">
        <v>1669</v>
      </c>
      <c r="U4" s="3399"/>
      <c r="V4" s="3371" t="s">
        <v>1670</v>
      </c>
      <c r="W4" s="3371"/>
      <c r="X4" s="1265"/>
      <c r="Y4" s="3398" t="s">
        <v>1672</v>
      </c>
      <c r="Z4" s="3399"/>
      <c r="AA4" s="3385" t="s">
        <v>1668</v>
      </c>
      <c r="AB4" s="3385" t="s">
        <v>1669</v>
      </c>
      <c r="AC4" s="3385" t="s">
        <v>1670</v>
      </c>
    </row>
    <row r="5" spans="1:29" ht="15">
      <c r="A5" s="348"/>
      <c r="B5" s="349"/>
      <c r="C5" s="3436" t="s">
        <v>1673</v>
      </c>
      <c r="D5" s="3407"/>
      <c r="E5" s="3437" t="s">
        <v>1674</v>
      </c>
      <c r="F5" s="3414"/>
      <c r="G5" s="3436" t="s">
        <v>1675</v>
      </c>
      <c r="H5" s="3407"/>
      <c r="I5" s="3436" t="s">
        <v>1676</v>
      </c>
      <c r="J5" s="3407"/>
      <c r="K5" s="1745"/>
      <c r="L5" s="2487"/>
      <c r="M5" s="2488"/>
      <c r="N5" s="2488"/>
      <c r="O5" s="2488"/>
      <c r="P5" s="3394"/>
      <c r="Q5" s="3395"/>
      <c r="R5" s="3400"/>
      <c r="S5" s="3401"/>
      <c r="T5" s="3400"/>
      <c r="U5" s="3401"/>
      <c r="V5" s="3371"/>
      <c r="W5" s="3371"/>
      <c r="X5" s="1265"/>
      <c r="Y5" s="3400"/>
      <c r="Z5" s="3401"/>
      <c r="AA5" s="3386"/>
      <c r="AB5" s="3386"/>
      <c r="AC5" s="3386"/>
    </row>
    <row r="6" spans="1:29" ht="15.75" thickBot="1">
      <c r="A6" s="350"/>
      <c r="B6" s="351"/>
      <c r="C6" s="3404" t="s">
        <v>1677</v>
      </c>
      <c r="D6" s="3405"/>
      <c r="E6" s="3411" t="s">
        <v>1677</v>
      </c>
      <c r="F6" s="3412"/>
      <c r="G6" s="3404" t="s">
        <v>1677</v>
      </c>
      <c r="H6" s="3405"/>
      <c r="I6" s="3404" t="s">
        <v>1677</v>
      </c>
      <c r="J6" s="3405"/>
      <c r="K6" s="1745" t="s">
        <v>1678</v>
      </c>
      <c r="L6" s="2487"/>
      <c r="M6" s="2488"/>
      <c r="N6" s="2488"/>
      <c r="O6" s="2488"/>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8" t="s">
        <v>1680</v>
      </c>
      <c r="Q7" s="3410"/>
      <c r="R7" s="664" t="s">
        <v>20</v>
      </c>
      <c r="S7" s="665">
        <f t="shared" ref="S7:S15" si="0">F7</f>
        <v>0</v>
      </c>
      <c r="T7" s="664" t="s">
        <v>20</v>
      </c>
      <c r="U7" s="665">
        <f t="shared" ref="U7:U15" si="1">H7</f>
        <v>0</v>
      </c>
      <c r="V7" s="664" t="s">
        <v>20</v>
      </c>
      <c r="W7" s="665">
        <f t="shared" ref="W7:W15" si="2">J7</f>
        <v>0</v>
      </c>
      <c r="X7" s="666"/>
      <c r="Y7" s="3408" t="s">
        <v>1680</v>
      </c>
      <c r="Z7" s="340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8" t="s">
        <v>1683</v>
      </c>
      <c r="Q8" s="3409"/>
      <c r="R8" s="664" t="s">
        <v>20</v>
      </c>
      <c r="S8" s="665">
        <f t="shared" si="0"/>
        <v>100</v>
      </c>
      <c r="T8" s="664" t="s">
        <v>20</v>
      </c>
      <c r="U8" s="665">
        <f t="shared" si="1"/>
        <v>100</v>
      </c>
      <c r="V8" s="664" t="s">
        <v>20</v>
      </c>
      <c r="W8" s="665">
        <f t="shared" si="2"/>
        <v>100</v>
      </c>
      <c r="X8" s="666"/>
      <c r="Y8" s="3408"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4"/>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4"/>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4"/>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4"/>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7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7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7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7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583.70000000000005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444" t="s">
        <v>1775</v>
      </c>
      <c r="Q4" s="3445"/>
      <c r="R4" s="3448" t="s">
        <v>1771</v>
      </c>
      <c r="S4" s="3449"/>
      <c r="T4" s="3448" t="s">
        <v>1772</v>
      </c>
      <c r="U4" s="3449"/>
      <c r="V4" s="3450" t="s">
        <v>1773</v>
      </c>
      <c r="W4" s="3450"/>
      <c r="X4" s="1809"/>
      <c r="Y4" s="3448" t="s">
        <v>1775</v>
      </c>
      <c r="Z4" s="3449"/>
      <c r="AA4" s="3452" t="s">
        <v>1771</v>
      </c>
      <c r="AB4" s="3452" t="s">
        <v>1772</v>
      </c>
      <c r="AC4" s="3441" t="s">
        <v>1773</v>
      </c>
    </row>
    <row r="5" spans="1:29" ht="15">
      <c r="A5" s="348"/>
      <c r="B5" s="349"/>
      <c r="C5" s="3436" t="s">
        <v>1673</v>
      </c>
      <c r="D5" s="3407"/>
      <c r="E5" s="3437" t="s">
        <v>1674</v>
      </c>
      <c r="F5" s="3414"/>
      <c r="G5" s="3436" t="s">
        <v>1675</v>
      </c>
      <c r="H5" s="3407"/>
      <c r="I5" s="3436" t="s">
        <v>1676</v>
      </c>
      <c r="J5" s="3407"/>
      <c r="K5" s="537"/>
      <c r="L5" s="2487"/>
      <c r="M5" s="2488"/>
      <c r="N5" s="2488"/>
      <c r="O5" s="2488"/>
      <c r="P5" s="3446"/>
      <c r="Q5" s="3395"/>
      <c r="R5" s="3400"/>
      <c r="S5" s="3401"/>
      <c r="T5" s="3400"/>
      <c r="U5" s="3401"/>
      <c r="V5" s="3371"/>
      <c r="W5" s="3371"/>
      <c r="X5" s="1265"/>
      <c r="Y5" s="3400"/>
      <c r="Z5" s="3401"/>
      <c r="AA5" s="3386"/>
      <c r="AB5" s="3386"/>
      <c r="AC5" s="3442"/>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447"/>
      <c r="Q6" s="3397"/>
      <c r="R6" s="3400"/>
      <c r="S6" s="3401"/>
      <c r="T6" s="3402"/>
      <c r="U6" s="3403"/>
      <c r="V6" s="3371"/>
      <c r="W6" s="3371"/>
      <c r="X6" s="1265"/>
      <c r="Y6" s="3402"/>
      <c r="Z6" s="3403"/>
      <c r="AA6" s="3387"/>
      <c r="AB6" s="3387"/>
      <c r="AC6" s="3443"/>
    </row>
    <row r="7" spans="1:29" s="102" customFormat="1" ht="15.75" thickBot="1">
      <c r="A7" s="352" t="s">
        <v>1679</v>
      </c>
      <c r="B7" s="353"/>
      <c r="C7" s="354">
        <f>'数据-取费表'!B2</f>
        <v>45814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1"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1" t="s">
        <v>1683</v>
      </c>
      <c r="Q8" s="3409"/>
      <c r="R8" s="664" t="s">
        <v>14</v>
      </c>
      <c r="S8" s="665">
        <f t="shared" si="0"/>
        <v>100</v>
      </c>
      <c r="T8" s="664" t="s">
        <v>14</v>
      </c>
      <c r="U8" s="665">
        <f t="shared" si="1"/>
        <v>100</v>
      </c>
      <c r="V8" s="664" t="s">
        <v>14</v>
      </c>
      <c r="W8" s="665">
        <f t="shared" si="2"/>
        <v>100</v>
      </c>
      <c r="X8" s="666"/>
      <c r="Y8" s="3408" t="s">
        <v>1683</v>
      </c>
      <c r="Z8" s="340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6"/>
      <c r="Q16" s="1263"/>
      <c r="R16" s="667"/>
      <c r="S16" s="668"/>
      <c r="T16" s="667"/>
      <c r="U16" s="668"/>
      <c r="V16" s="667"/>
      <c r="W16" s="668"/>
      <c r="X16" s="1265"/>
      <c r="Y16" s="337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6"/>
      <c r="Q18" s="1263"/>
      <c r="R18" s="667"/>
      <c r="S18" s="668"/>
      <c r="T18" s="667"/>
      <c r="U18" s="668"/>
      <c r="V18" s="667"/>
      <c r="W18" s="668"/>
      <c r="X18" s="1265"/>
      <c r="Y18" s="337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6"/>
      <c r="Q20" s="1263"/>
      <c r="R20" s="667"/>
      <c r="S20" s="668"/>
      <c r="T20" s="667"/>
      <c r="U20" s="668"/>
      <c r="V20" s="667"/>
      <c r="W20" s="668"/>
      <c r="X20" s="1265"/>
      <c r="Y20" s="337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7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6"/>
      <c r="Q24" s="1263"/>
      <c r="R24" s="667"/>
      <c r="S24" s="668"/>
      <c r="T24" s="667"/>
      <c r="U24" s="668"/>
      <c r="V24" s="667"/>
      <c r="W24" s="668"/>
      <c r="X24" s="1265"/>
      <c r="Y24" s="337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6"/>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4" t="str">
        <f>A48</f>
        <v>成交单价（元/平方米）</v>
      </c>
      <c r="Q48" s="3370"/>
      <c r="R48" s="3371">
        <f>E48</f>
        <v>0</v>
      </c>
      <c r="S48" s="3371"/>
      <c r="T48" s="3371">
        <f>G48</f>
        <v>0</v>
      </c>
      <c r="U48" s="3371"/>
      <c r="V48" s="3371">
        <f>I48</f>
        <v>0</v>
      </c>
      <c r="W48" s="337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4"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583.70000000000005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ht="15">
      <c r="A5" s="348"/>
      <c r="B5" s="349"/>
      <c r="C5" s="3436" t="s">
        <v>1673</v>
      </c>
      <c r="D5" s="3407"/>
      <c r="E5" s="3437" t="s">
        <v>1674</v>
      </c>
      <c r="F5" s="3414"/>
      <c r="G5" s="3436" t="s">
        <v>1675</v>
      </c>
      <c r="H5" s="3407"/>
      <c r="I5" s="3436" t="s">
        <v>1676</v>
      </c>
      <c r="J5" s="3407"/>
      <c r="K5" s="537"/>
      <c r="L5" s="860"/>
      <c r="M5" s="861"/>
      <c r="N5" s="861"/>
      <c r="O5" s="861"/>
      <c r="P5" s="3394"/>
      <c r="Q5" s="3395"/>
      <c r="R5" s="3400"/>
      <c r="S5" s="3401"/>
      <c r="T5" s="3400"/>
      <c r="U5" s="3401"/>
      <c r="V5" s="3371"/>
      <c r="W5" s="3371"/>
      <c r="X5" s="1265"/>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860"/>
      <c r="M6" s="861"/>
      <c r="N6" s="861"/>
      <c r="O6" s="861"/>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SUMIF(52:52,YEAR(E7)&amp;"-"&amp;MONTH(E7),53:53)</f>
        <v>0</v>
      </c>
      <c r="G7" s="356"/>
      <c r="H7" s="355">
        <f>SUMIF(52:52,YEAR(G7)&amp;"-"&amp;MONTH(G7),53:53)</f>
        <v>0</v>
      </c>
      <c r="I7" s="356"/>
      <c r="J7" s="355">
        <f>SUMIF(52:52,YEAR(I7)&amp;"-"&amp;MONTH(I7),53:53)</f>
        <v>0</v>
      </c>
      <c r="K7" s="38"/>
      <c r="L7" s="862"/>
      <c r="M7" s="863"/>
      <c r="N7" s="863"/>
      <c r="O7" s="863"/>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8" t="s">
        <v>1683</v>
      </c>
      <c r="Q8" s="3409"/>
      <c r="R8" s="664" t="s">
        <v>14</v>
      </c>
      <c r="S8" s="665">
        <f t="shared" si="0"/>
        <v>100</v>
      </c>
      <c r="T8" s="664" t="s">
        <v>14</v>
      </c>
      <c r="U8" s="665">
        <f t="shared" si="1"/>
        <v>100</v>
      </c>
      <c r="V8" s="664" t="s">
        <v>14</v>
      </c>
      <c r="W8" s="665">
        <f t="shared" si="2"/>
        <v>100</v>
      </c>
      <c r="X8" s="666"/>
      <c r="Y8" s="3408"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ht="15">
      <c r="A5" s="348"/>
      <c r="B5" s="349"/>
      <c r="C5" s="3436" t="s">
        <v>1673</v>
      </c>
      <c r="D5" s="3407"/>
      <c r="E5" s="3437" t="s">
        <v>1674</v>
      </c>
      <c r="F5" s="3414"/>
      <c r="G5" s="3436" t="s">
        <v>1675</v>
      </c>
      <c r="H5" s="3407"/>
      <c r="I5" s="3436" t="s">
        <v>1676</v>
      </c>
      <c r="J5" s="3407"/>
      <c r="K5" s="537"/>
      <c r="L5" s="2487"/>
      <c r="M5" s="2488"/>
      <c r="N5" s="2488"/>
      <c r="O5" s="2488"/>
      <c r="P5" s="3394"/>
      <c r="Q5" s="3395"/>
      <c r="R5" s="3400"/>
      <c r="S5" s="3401"/>
      <c r="T5" s="3400"/>
      <c r="U5" s="3401"/>
      <c r="V5" s="3371"/>
      <c r="W5" s="3371"/>
      <c r="X5" s="1265"/>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8" t="s">
        <v>1683</v>
      </c>
      <c r="Q8" s="3409"/>
      <c r="R8" s="664" t="s">
        <v>14</v>
      </c>
      <c r="S8" s="665">
        <f t="shared" si="0"/>
        <v>100</v>
      </c>
      <c r="T8" s="664" t="s">
        <v>14</v>
      </c>
      <c r="U8" s="665">
        <f t="shared" si="1"/>
        <v>100</v>
      </c>
      <c r="V8" s="664" t="s">
        <v>14</v>
      </c>
      <c r="W8" s="665">
        <f t="shared" si="2"/>
        <v>100</v>
      </c>
      <c r="X8" s="666"/>
      <c r="Y8" s="3408" t="s">
        <v>1683</v>
      </c>
      <c r="Z8" s="340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0"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0"/>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8"/>
      <c r="Q15" s="1263"/>
      <c r="R15" s="667"/>
      <c r="S15" s="668"/>
      <c r="T15" s="667"/>
      <c r="U15" s="668"/>
      <c r="V15" s="667"/>
      <c r="W15" s="668"/>
      <c r="X15" s="1265"/>
      <c r="Y15" s="337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8"/>
      <c r="Q17" s="1263"/>
      <c r="R17" s="667"/>
      <c r="S17" s="668"/>
      <c r="T17" s="667"/>
      <c r="U17" s="668"/>
      <c r="V17" s="667"/>
      <c r="W17" s="668"/>
      <c r="X17" s="1265"/>
      <c r="Y17" s="337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8"/>
      <c r="Q19" s="1263"/>
      <c r="R19" s="667"/>
      <c r="S19" s="668"/>
      <c r="T19" s="667"/>
      <c r="U19" s="668"/>
      <c r="V19" s="667"/>
      <c r="W19" s="668"/>
      <c r="X19" s="1265"/>
      <c r="Y19" s="337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70" t="str">
        <f>A37</f>
        <v>成交单价</v>
      </c>
      <c r="Q37" s="337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2" t="str">
        <f>A39</f>
        <v>估价对象XX用房的比较价值（楼面单价，元/平方米）</v>
      </c>
      <c r="Q39" s="3373"/>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ht="15">
      <c r="A5" s="348"/>
      <c r="B5" s="349"/>
      <c r="C5" s="3436" t="s">
        <v>1673</v>
      </c>
      <c r="D5" s="3407"/>
      <c r="E5" s="3437" t="s">
        <v>1674</v>
      </c>
      <c r="F5" s="3414"/>
      <c r="G5" s="3436" t="s">
        <v>1675</v>
      </c>
      <c r="H5" s="3407"/>
      <c r="I5" s="3436" t="s">
        <v>1676</v>
      </c>
      <c r="J5" s="3407"/>
      <c r="K5" s="537"/>
      <c r="L5" s="2487"/>
      <c r="M5" s="2488"/>
      <c r="N5" s="2488"/>
      <c r="O5" s="2488"/>
      <c r="P5" s="3394"/>
      <c r="Q5" s="3395"/>
      <c r="R5" s="3400"/>
      <c r="S5" s="3401"/>
      <c r="T5" s="3400"/>
      <c r="U5" s="3401"/>
      <c r="V5" s="3371"/>
      <c r="W5" s="3371"/>
      <c r="X5" s="1265"/>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8" t="s">
        <v>1683</v>
      </c>
      <c r="Q8" s="3409"/>
      <c r="R8" s="664" t="s">
        <v>14</v>
      </c>
      <c r="S8" s="665">
        <f t="shared" si="0"/>
        <v>100</v>
      </c>
      <c r="T8" s="664" t="s">
        <v>14</v>
      </c>
      <c r="U8" s="665">
        <f t="shared" si="1"/>
        <v>100</v>
      </c>
      <c r="V8" s="664" t="s">
        <v>14</v>
      </c>
      <c r="W8" s="665">
        <f t="shared" si="2"/>
        <v>100</v>
      </c>
      <c r="X8" s="666"/>
      <c r="Y8" s="3408"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0"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0"/>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8"/>
      <c r="Q15" s="1263"/>
      <c r="R15" s="667"/>
      <c r="S15" s="668"/>
      <c r="T15" s="667"/>
      <c r="U15" s="668"/>
      <c r="V15" s="667"/>
      <c r="W15" s="668"/>
      <c r="X15" s="1265"/>
      <c r="Y15" s="337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8"/>
      <c r="Q17" s="1263"/>
      <c r="R17" s="667"/>
      <c r="S17" s="668"/>
      <c r="T17" s="667"/>
      <c r="U17" s="668"/>
      <c r="V17" s="667"/>
      <c r="W17" s="668"/>
      <c r="X17" s="1265"/>
      <c r="Y17" s="337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8"/>
      <c r="Q19" s="1263"/>
      <c r="R19" s="667"/>
      <c r="S19" s="668"/>
      <c r="T19" s="667"/>
      <c r="U19" s="668"/>
      <c r="V19" s="667"/>
      <c r="W19" s="668"/>
      <c r="X19" s="1265"/>
      <c r="Y19" s="337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2" t="str">
        <f>A37</f>
        <v>估价对象XX用房的比较价值（楼面单价，元/平方米）</v>
      </c>
      <c r="Q37" s="3373"/>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ht="15">
      <c r="A5" s="348"/>
      <c r="B5" s="349"/>
      <c r="C5" s="3436" t="s">
        <v>1673</v>
      </c>
      <c r="D5" s="3407"/>
      <c r="E5" s="3437" t="s">
        <v>1674</v>
      </c>
      <c r="F5" s="3414"/>
      <c r="G5" s="3436" t="s">
        <v>1675</v>
      </c>
      <c r="H5" s="3407"/>
      <c r="I5" s="3436" t="s">
        <v>1676</v>
      </c>
      <c r="J5" s="3407"/>
      <c r="K5" s="537"/>
      <c r="L5" s="2487"/>
      <c r="M5" s="2488"/>
      <c r="N5" s="2488"/>
      <c r="O5" s="2488"/>
      <c r="P5" s="3394"/>
      <c r="Q5" s="3395"/>
      <c r="R5" s="3400"/>
      <c r="S5" s="3401"/>
      <c r="T5" s="3400"/>
      <c r="U5" s="3401"/>
      <c r="V5" s="3371"/>
      <c r="W5" s="3371"/>
      <c r="X5" s="1265"/>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7"/>
      <c r="M6" s="2488"/>
      <c r="N6" s="2488"/>
      <c r="O6" s="2488"/>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8" t="s">
        <v>1683</v>
      </c>
      <c r="Q8" s="3409"/>
      <c r="R8" s="664" t="s">
        <v>14</v>
      </c>
      <c r="S8" s="665">
        <f t="shared" si="0"/>
        <v>0</v>
      </c>
      <c r="T8" s="664" t="s">
        <v>14</v>
      </c>
      <c r="U8" s="665">
        <f t="shared" si="1"/>
        <v>0</v>
      </c>
      <c r="V8" s="664" t="s">
        <v>14</v>
      </c>
      <c r="W8" s="665">
        <f t="shared" si="2"/>
        <v>0</v>
      </c>
      <c r="X8" s="666"/>
      <c r="Y8" s="3408" t="s">
        <v>1683</v>
      </c>
      <c r="Z8" s="340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109</v>
      </c>
      <c r="G10" s="402"/>
      <c r="H10" s="119">
        <f>ROUND(100/'数据-取费表'!G16,0)</f>
        <v>109</v>
      </c>
      <c r="I10" s="402"/>
      <c r="J10" s="119">
        <f>ROUND(100/'数据-取费表'!G16,0)</f>
        <v>109</v>
      </c>
      <c r="K10" s="592"/>
      <c r="L10" s="2490"/>
      <c r="M10" s="2491"/>
      <c r="N10" s="2491"/>
      <c r="O10" s="2542"/>
      <c r="P10" s="3370"/>
      <c r="Q10" s="530" t="str">
        <f t="shared" si="6"/>
        <v>土地使用年限（年）</v>
      </c>
      <c r="R10" s="664" t="s">
        <v>14</v>
      </c>
      <c r="S10" s="665">
        <f t="shared" si="0"/>
        <v>109</v>
      </c>
      <c r="T10" s="664" t="s">
        <v>14</v>
      </c>
      <c r="U10" s="665">
        <f t="shared" si="1"/>
        <v>109</v>
      </c>
      <c r="V10" s="664" t="s">
        <v>14</v>
      </c>
      <c r="W10" s="665">
        <f t="shared" si="2"/>
        <v>109</v>
      </c>
      <c r="X10" s="666"/>
      <c r="Y10" s="3269"/>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0"/>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0"/>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8"/>
      <c r="Q16" s="1263"/>
      <c r="R16" s="667"/>
      <c r="S16" s="668"/>
      <c r="T16" s="667"/>
      <c r="U16" s="668"/>
      <c r="V16" s="667"/>
      <c r="W16" s="668"/>
      <c r="X16" s="1265"/>
      <c r="Y16" s="337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8"/>
      <c r="Q18" s="1263"/>
      <c r="R18" s="667"/>
      <c r="S18" s="668"/>
      <c r="T18" s="667"/>
      <c r="U18" s="668"/>
      <c r="V18" s="667"/>
      <c r="W18" s="668"/>
      <c r="X18" s="1265"/>
      <c r="Y18" s="337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8"/>
      <c r="Q20" s="1263"/>
      <c r="R20" s="667"/>
      <c r="S20" s="668"/>
      <c r="T20" s="667"/>
      <c r="U20" s="668"/>
      <c r="V20" s="667"/>
      <c r="W20" s="668"/>
      <c r="X20" s="1265"/>
      <c r="Y20" s="337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8"/>
      <c r="Q24" s="1263"/>
      <c r="R24" s="667"/>
      <c r="S24" s="668"/>
      <c r="T24" s="667"/>
      <c r="U24" s="668"/>
      <c r="V24" s="667"/>
      <c r="W24" s="668"/>
      <c r="X24" s="1265"/>
      <c r="Y24" s="337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8"/>
      <c r="Q26" s="1263"/>
      <c r="R26" s="667"/>
      <c r="S26" s="668"/>
      <c r="T26" s="667"/>
      <c r="U26" s="668"/>
      <c r="V26" s="667"/>
      <c r="W26" s="668"/>
      <c r="X26" s="1265"/>
      <c r="Y26" s="337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8"/>
      <c r="Q28" s="530"/>
      <c r="R28" s="664"/>
      <c r="S28" s="665"/>
      <c r="T28" s="664"/>
      <c r="U28" s="665"/>
      <c r="V28" s="664"/>
      <c r="W28" s="665"/>
      <c r="X28" s="666"/>
      <c r="Y28" s="337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3"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0" t="str">
        <f>A46</f>
        <v>成交单价</v>
      </c>
      <c r="Q46" s="337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0" t="str">
        <f>A47</f>
        <v>比较价值（元/平方米）</v>
      </c>
      <c r="Q47" s="3370"/>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2" t="str">
        <f>A48</f>
        <v>估价对象XX用房的比较价值（楼面单价，元/平方米）</v>
      </c>
      <c r="Q48" s="3373"/>
      <c r="R48" s="3456" t="e">
        <f>ROUND(IF(D47="简单平均",AVERAGE(R47:W47),R47*F47+T47*H47+V47*J47),0)</f>
        <v>#DIV/0!</v>
      </c>
      <c r="S48" s="3456"/>
      <c r="T48" s="3456"/>
      <c r="U48" s="3456"/>
      <c r="V48" s="3456"/>
      <c r="W48" s="34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8" t="s">
        <v>1887</v>
      </c>
      <c r="H55" s="345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583.70000000000005</v>
      </c>
      <c r="F56" s="833" t="e">
        <f t="shared" ref="F56:F64" si="15">ROUND(B56*E56/10000,0)</f>
        <v>#DIV/0!</v>
      </c>
      <c r="G56" s="3384"/>
      <c r="H56" s="337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583.70000000000005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ht="15">
      <c r="A5" s="348"/>
      <c r="B5" s="349"/>
      <c r="C5" s="3436" t="s">
        <v>1673</v>
      </c>
      <c r="D5" s="3407"/>
      <c r="E5" s="3437" t="s">
        <v>1674</v>
      </c>
      <c r="F5" s="3414"/>
      <c r="G5" s="3436" t="s">
        <v>1675</v>
      </c>
      <c r="H5" s="3407"/>
      <c r="I5" s="3436" t="s">
        <v>1676</v>
      </c>
      <c r="J5" s="3407"/>
      <c r="K5" s="537"/>
      <c r="L5" s="2487"/>
      <c r="M5" s="2488"/>
      <c r="N5" s="2488"/>
      <c r="O5" s="2488"/>
      <c r="P5" s="3394"/>
      <c r="Q5" s="3395"/>
      <c r="R5" s="3400"/>
      <c r="S5" s="3401"/>
      <c r="T5" s="3400"/>
      <c r="U5" s="3401"/>
      <c r="V5" s="3371"/>
      <c r="W5" s="3371"/>
      <c r="X5" s="1265"/>
      <c r="Y5" s="3400"/>
      <c r="Z5" s="3401"/>
      <c r="AA5" s="3386"/>
      <c r="AB5" s="3386"/>
      <c r="AC5" s="3386"/>
    </row>
    <row r="6" spans="1:29" ht="15.75" thickBot="1">
      <c r="A6" s="350"/>
      <c r="B6" s="351"/>
      <c r="C6" s="3458" t="s">
        <v>1919</v>
      </c>
      <c r="D6" s="3459"/>
      <c r="E6" s="3460" t="s">
        <v>1919</v>
      </c>
      <c r="F6" s="3461"/>
      <c r="G6" s="3458" t="s">
        <v>1919</v>
      </c>
      <c r="H6" s="3459"/>
      <c r="I6" s="3458" t="s">
        <v>1919</v>
      </c>
      <c r="J6" s="3459"/>
      <c r="K6" s="537" t="s">
        <v>1678</v>
      </c>
      <c r="L6" s="2487"/>
      <c r="M6" s="2488"/>
      <c r="N6" s="2488"/>
      <c r="O6" s="2488"/>
      <c r="P6" s="3396"/>
      <c r="Q6" s="3397"/>
      <c r="R6" s="3400"/>
      <c r="S6" s="3401"/>
      <c r="T6" s="3402"/>
      <c r="U6" s="3403"/>
      <c r="V6" s="3371"/>
      <c r="W6" s="3371"/>
      <c r="X6" s="1265"/>
      <c r="Y6" s="3402"/>
      <c r="Z6" s="3403"/>
      <c r="AA6" s="3387"/>
      <c r="AB6" s="3387"/>
      <c r="AC6" s="3387"/>
    </row>
    <row r="7" spans="1:29" s="102" customFormat="1" ht="15.75" thickBot="1">
      <c r="A7" s="352" t="s">
        <v>1679</v>
      </c>
      <c r="B7" s="353"/>
      <c r="C7" s="354">
        <f>'数据-取费表'!B2</f>
        <v>45814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8" t="s">
        <v>1683</v>
      </c>
      <c r="Q8" s="3409"/>
      <c r="R8" s="664" t="s">
        <v>14</v>
      </c>
      <c r="S8" s="665">
        <f t="shared" si="0"/>
        <v>0</v>
      </c>
      <c r="T8" s="664" t="s">
        <v>14</v>
      </c>
      <c r="U8" s="665">
        <f t="shared" si="1"/>
        <v>0</v>
      </c>
      <c r="V8" s="664" t="s">
        <v>14</v>
      </c>
      <c r="W8" s="665">
        <f t="shared" si="2"/>
        <v>0</v>
      </c>
      <c r="X8" s="666"/>
      <c r="Y8" s="3408" t="s">
        <v>1683</v>
      </c>
      <c r="Z8" s="340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109</v>
      </c>
      <c r="G10" s="371"/>
      <c r="H10" s="119">
        <f>ROUND(100/'数据-取费表'!G16,0)</f>
        <v>109</v>
      </c>
      <c r="I10" s="371"/>
      <c r="J10" s="119">
        <f>ROUND(100/'数据-取费表'!G16,0)</f>
        <v>109</v>
      </c>
      <c r="K10" s="592"/>
      <c r="L10" s="2490"/>
      <c r="M10" s="2491"/>
      <c r="N10" s="2491"/>
      <c r="O10" s="2542"/>
      <c r="P10" s="3370"/>
      <c r="Q10" s="530" t="str">
        <f t="shared" si="6"/>
        <v>土地使用年限（年）</v>
      </c>
      <c r="R10" s="664" t="s">
        <v>14</v>
      </c>
      <c r="S10" s="665">
        <f t="shared" si="0"/>
        <v>109</v>
      </c>
      <c r="T10" s="664" t="s">
        <v>14</v>
      </c>
      <c r="U10" s="665">
        <f t="shared" si="1"/>
        <v>109</v>
      </c>
      <c r="V10" s="664" t="s">
        <v>14</v>
      </c>
      <c r="W10" s="665">
        <f t="shared" si="2"/>
        <v>109</v>
      </c>
      <c r="X10" s="666"/>
      <c r="Y10" s="3269"/>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0"/>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8"/>
      <c r="Q16" s="1263"/>
      <c r="R16" s="667"/>
      <c r="S16" s="668"/>
      <c r="T16" s="667"/>
      <c r="U16" s="668"/>
      <c r="V16" s="667"/>
      <c r="W16" s="668"/>
      <c r="X16" s="1265"/>
      <c r="Y16" s="337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8"/>
      <c r="Q20" s="1263"/>
      <c r="R20" s="667"/>
      <c r="S20" s="668"/>
      <c r="T20" s="667"/>
      <c r="U20" s="668"/>
      <c r="V20" s="667"/>
      <c r="W20" s="668"/>
      <c r="X20" s="1265"/>
      <c r="Y20" s="337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8"/>
      <c r="Q22" s="1263"/>
      <c r="R22" s="667"/>
      <c r="S22" s="668"/>
      <c r="T22" s="667"/>
      <c r="U22" s="668"/>
      <c r="V22" s="667"/>
      <c r="W22" s="668"/>
      <c r="X22" s="1265"/>
      <c r="Y22" s="337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8"/>
      <c r="Q24" s="530"/>
      <c r="R24" s="664"/>
      <c r="S24" s="665"/>
      <c r="T24" s="664"/>
      <c r="U24" s="665"/>
      <c r="V24" s="664"/>
      <c r="W24" s="665"/>
      <c r="X24" s="666"/>
      <c r="Y24" s="337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3"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0" t="str">
        <f>A41</f>
        <v>成交单价</v>
      </c>
      <c r="Q41" s="337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0" t="str">
        <f>A42</f>
        <v>比较价值（元/平方米）</v>
      </c>
      <c r="Q42" s="3370"/>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2" t="str">
        <f>A43</f>
        <v>估价对象XX用房的比较价值（楼面单价，元/平方米）</v>
      </c>
      <c r="Q43" s="3373"/>
      <c r="R43" s="3456" t="e">
        <f>ROUND(IF(D42="简单平均",AVERAGE(R42:W42),R42*F42+T42*H42+V42*J42),0)</f>
        <v>#DIV/0!</v>
      </c>
      <c r="S43" s="3456"/>
      <c r="T43" s="3456"/>
      <c r="U43" s="3456"/>
      <c r="V43" s="3456"/>
      <c r="W43" s="34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8" t="s">
        <v>1887</v>
      </c>
      <c r="H50" s="345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583.70000000000005</v>
      </c>
      <c r="F51" s="611" t="e">
        <f t="shared" ref="F51:F60" si="15">ROUND(B51*E51/10000,0)</f>
        <v>#DIV/0!</v>
      </c>
      <c r="G51" s="3384"/>
      <c r="H51" s="337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9" t="s">
        <v>3245</v>
      </c>
      <c r="B20" s="159" t="s">
        <v>1994</v>
      </c>
      <c r="C20" s="3032" t="e">
        <f>ROUND(IF(F21="与级别开发程度一致",0,(G21-E21)/C21),0)</f>
        <v>#DIV/0!</v>
      </c>
      <c r="D20" s="3047" t="s">
        <v>1998</v>
      </c>
      <c r="E20" s="3048"/>
      <c r="F20" s="3485" t="s">
        <v>1995</v>
      </c>
      <c r="G20" s="34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8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45814</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81" t="s">
        <v>3285</v>
      </c>
      <c r="B103" s="3481"/>
      <c r="C103" s="3481"/>
      <c r="D103" s="3481"/>
      <c r="E103" s="3481"/>
      <c r="F103" s="3481"/>
      <c r="G103" s="3481"/>
      <c r="H103" s="3481"/>
      <c r="I103" s="3481"/>
      <c r="J103" s="3481"/>
      <c r="K103" s="1667"/>
      <c r="L103" s="1667"/>
      <c r="M103" s="1667"/>
      <c r="N103" s="1667"/>
    </row>
    <row r="104" spans="1:14">
      <c r="A104" s="3482" t="s">
        <v>3286</v>
      </c>
      <c r="B104" s="3482" t="s">
        <v>3287</v>
      </c>
      <c r="C104" s="3091" t="s">
        <v>3288</v>
      </c>
      <c r="D104" s="3092"/>
      <c r="E104" s="3092"/>
      <c r="F104" s="3092"/>
      <c r="G104" s="3092"/>
      <c r="H104" s="3092"/>
      <c r="I104" s="3092"/>
      <c r="J104" s="3093"/>
      <c r="K104" s="3094"/>
      <c r="L104" s="3094"/>
      <c r="M104" s="3094"/>
      <c r="N104" s="3094"/>
    </row>
    <row r="105" spans="1:14">
      <c r="A105" s="3482"/>
      <c r="B105" s="348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6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71" t="s">
        <v>3302</v>
      </c>
      <c r="B113" s="3471"/>
      <c r="C113" s="3471"/>
      <c r="D113" s="3471"/>
      <c r="E113" s="3471"/>
      <c r="F113" s="3471"/>
      <c r="G113" s="3471"/>
      <c r="H113" s="3471"/>
      <c r="I113" s="3471"/>
      <c r="J113" s="34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917</v>
      </c>
      <c r="C4" s="3184"/>
      <c r="D4" s="3184"/>
      <c r="E4" s="1391"/>
    </row>
    <row r="5" spans="1:5" ht="16.5" thickTop="1">
      <c r="B5" s="3182" t="s">
        <v>909</v>
      </c>
      <c r="C5" s="1392" t="s">
        <v>910</v>
      </c>
      <c r="D5" s="797" t="e">
        <f ca="1">结果表!H101</f>
        <v>#REF!</v>
      </c>
    </row>
    <row r="6" spans="1:5" ht="15.75">
      <c r="B6" s="3182"/>
      <c r="C6" s="1392" t="s">
        <v>911</v>
      </c>
      <c r="D6" s="797" t="e">
        <f ca="1">NUMBERSTRING(INT(D5*10000),2)&amp;"元整"</f>
        <v>#REF!</v>
      </c>
    </row>
    <row r="7" spans="1:5" ht="15.75">
      <c r="B7" s="3187"/>
      <c r="C7" s="1393" t="s">
        <v>912</v>
      </c>
      <c r="D7" s="798" t="e">
        <f ca="1">结果表!H102</f>
        <v>#REF!</v>
      </c>
    </row>
    <row r="8" spans="1:5" ht="15.75">
      <c r="B8" s="3188" t="str">
        <f>结果表!E103</f>
        <v>2.估价师知悉的法定优先受偿款</v>
      </c>
      <c r="C8" s="1394" t="s">
        <v>913</v>
      </c>
      <c r="D8" s="798">
        <f>结果表!H103</f>
        <v>0</v>
      </c>
    </row>
    <row r="9" spans="1:5" ht="15.75">
      <c r="B9" s="319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1" t="str">
        <f>结果表!E107</f>
        <v>3.房地产抵押价值</v>
      </c>
      <c r="C13" s="1397" t="s">
        <v>910</v>
      </c>
      <c r="D13" s="800" t="e">
        <f ca="1">结果表!H107</f>
        <v>#REF!</v>
      </c>
    </row>
    <row r="14" spans="1:5" ht="15.75">
      <c r="B14" s="3182"/>
      <c r="C14" s="1392" t="s">
        <v>911</v>
      </c>
      <c r="D14" s="797" t="e">
        <f ca="1">NUMBERSTRING(INT(D13*10000),2)&amp;"元整"</f>
        <v>#REF!</v>
      </c>
    </row>
    <row r="15" spans="1:5" ht="15">
      <c r="B15" s="3187"/>
      <c r="C15" s="1393" t="s">
        <v>921</v>
      </c>
      <c r="D15" s="806" t="e">
        <f ca="1">结果表!H108</f>
        <v>#REF!</v>
      </c>
    </row>
    <row r="16" spans="1:5" ht="15">
      <c r="B16" s="3188" t="str">
        <f>结果表!E109</f>
        <v>——</v>
      </c>
      <c r="C16" s="1397" t="s">
        <v>922</v>
      </c>
      <c r="D16" s="1398" t="str">
        <f>结果表!H109</f>
        <v>——</v>
      </c>
    </row>
    <row r="17" spans="1:5" ht="15.75">
      <c r="B17" s="3189"/>
      <c r="C17" s="1392" t="s">
        <v>923</v>
      </c>
      <c r="D17" s="797" t="e">
        <f>NUMBERSTRING(INT(D16*10000),2)&amp;"元整"</f>
        <v>#VALUE!</v>
      </c>
    </row>
    <row r="18" spans="1:5" ht="15">
      <c r="B18" s="3190"/>
      <c r="C18" s="1393" t="s">
        <v>912</v>
      </c>
      <c r="D18" s="806" t="str">
        <f>结果表!H110</f>
        <v>——</v>
      </c>
    </row>
    <row r="19" spans="1:5" ht="15.75">
      <c r="B19" s="3181" t="str">
        <f>结果表!E111</f>
        <v>——</v>
      </c>
      <c r="C19" s="1397" t="s">
        <v>910</v>
      </c>
      <c r="D19" s="798" t="str">
        <f>结果表!H111</f>
        <v>——</v>
      </c>
    </row>
    <row r="20" spans="1:5" ht="15.75">
      <c r="B20" s="3182"/>
      <c r="C20" s="1392" t="s">
        <v>923</v>
      </c>
      <c r="D20" s="797" t="e">
        <f>NUMBERSTRING(INT(D19*10000),2)&amp;"元整"</f>
        <v>#VALUE!</v>
      </c>
    </row>
    <row r="21" spans="1:5" ht="15.75" thickBot="1">
      <c r="B21" s="318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6" t="s">
        <v>2598</v>
      </c>
      <c r="B20" s="3491" t="s">
        <v>2619</v>
      </c>
      <c r="C20" s="2843" t="s">
        <v>2430</v>
      </c>
      <c r="D20" s="2844"/>
      <c r="E20" s="2845">
        <v>1</v>
      </c>
      <c r="F20" s="2846" t="s">
        <v>2431</v>
      </c>
      <c r="G20" s="2846"/>
    </row>
    <row r="21" spans="1:13" ht="19.5" customHeight="1">
      <c r="A21" s="3497"/>
      <c r="B21" s="3490"/>
      <c r="C21" s="2847" t="s">
        <v>2432</v>
      </c>
      <c r="D21" s="2848"/>
      <c r="E21" s="2849">
        <v>1</v>
      </c>
      <c r="F21" s="2846" t="s">
        <v>2433</v>
      </c>
      <c r="G21" s="2846"/>
    </row>
    <row r="22" spans="1:13" ht="19.5" customHeight="1">
      <c r="A22" s="3497"/>
      <c r="B22" s="3490"/>
      <c r="C22" s="2847" t="s">
        <v>2434</v>
      </c>
      <c r="D22" s="2848"/>
      <c r="E22" s="2849">
        <v>0.9</v>
      </c>
      <c r="F22" s="2846" t="s">
        <v>2435</v>
      </c>
      <c r="G22" s="2846"/>
    </row>
    <row r="23" spans="1:13" ht="19.5" customHeight="1">
      <c r="A23" s="3497"/>
      <c r="B23" s="3490"/>
      <c r="C23" s="2847" t="s">
        <v>2436</v>
      </c>
      <c r="D23" s="2848"/>
      <c r="E23" s="2849">
        <v>0.9</v>
      </c>
      <c r="F23" s="2846" t="s">
        <v>2437</v>
      </c>
      <c r="G23" s="2846"/>
    </row>
    <row r="24" spans="1:13" ht="19.5" customHeight="1">
      <c r="A24" s="3497"/>
      <c r="B24" s="3490"/>
      <c r="C24" s="2847" t="s">
        <v>2438</v>
      </c>
      <c r="D24" s="2848"/>
      <c r="E24" s="2849">
        <v>0.8</v>
      </c>
      <c r="F24" s="2846" t="s">
        <v>2439</v>
      </c>
      <c r="G24" s="2846"/>
    </row>
    <row r="25" spans="1:13" ht="19.5" customHeight="1" thickBot="1">
      <c r="A25" s="3498"/>
      <c r="B25" s="349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93" t="s">
        <v>2622</v>
      </c>
      <c r="B27" s="3491" t="s">
        <v>2603</v>
      </c>
      <c r="C27" s="2843" t="s">
        <v>2443</v>
      </c>
      <c r="D27" s="2844"/>
      <c r="E27" s="2845">
        <v>1</v>
      </c>
      <c r="F27" s="2846" t="s">
        <v>2444</v>
      </c>
      <c r="G27" s="2846"/>
    </row>
    <row r="28" spans="1:13" ht="19.5" customHeight="1">
      <c r="A28" s="3494"/>
      <c r="B28" s="3490"/>
      <c r="C28" s="2847" t="s">
        <v>2445</v>
      </c>
      <c r="D28" s="2848"/>
      <c r="E28" s="2849">
        <v>1</v>
      </c>
      <c r="F28" s="2846" t="s">
        <v>2446</v>
      </c>
      <c r="G28" s="2846"/>
    </row>
    <row r="29" spans="1:13" ht="19.5" customHeight="1">
      <c r="A29" s="3494"/>
      <c r="B29" s="3490"/>
      <c r="C29" s="2847" t="s">
        <v>2447</v>
      </c>
      <c r="D29" s="2848"/>
      <c r="E29" s="2849">
        <v>0.8</v>
      </c>
      <c r="F29" s="2846" t="s">
        <v>2448</v>
      </c>
      <c r="G29" s="2846"/>
    </row>
    <row r="30" spans="1:13" ht="19.5" customHeight="1">
      <c r="A30" s="3494"/>
      <c r="B30" s="3490"/>
      <c r="C30" s="2847" t="s">
        <v>2449</v>
      </c>
      <c r="D30" s="2848"/>
      <c r="E30" s="2849">
        <v>0.8</v>
      </c>
      <c r="F30" s="2846" t="s">
        <v>2450</v>
      </c>
      <c r="G30" s="2846"/>
    </row>
    <row r="31" spans="1:13" ht="19.5" customHeight="1">
      <c r="A31" s="3494"/>
      <c r="B31" s="3490"/>
      <c r="C31" s="2847" t="s">
        <v>2451</v>
      </c>
      <c r="D31" s="2848"/>
      <c r="E31" s="2849">
        <v>0.8</v>
      </c>
      <c r="F31" s="2846" t="s">
        <v>2452</v>
      </c>
      <c r="G31" s="2846"/>
    </row>
    <row r="32" spans="1:13" ht="19.5" customHeight="1">
      <c r="A32" s="3494"/>
      <c r="B32" s="3490"/>
      <c r="C32" s="2847" t="s">
        <v>2453</v>
      </c>
      <c r="D32" s="2848"/>
      <c r="E32" s="2849">
        <v>0.7</v>
      </c>
      <c r="F32" s="2846" t="s">
        <v>2454</v>
      </c>
      <c r="G32" s="2846"/>
    </row>
    <row r="33" spans="1:7" ht="19.5" customHeight="1">
      <c r="A33" s="3494"/>
      <c r="B33" s="3490"/>
      <c r="C33" s="2847" t="s">
        <v>2455</v>
      </c>
      <c r="D33" s="2848"/>
      <c r="E33" s="2849">
        <v>0.8</v>
      </c>
      <c r="F33" s="2846" t="s">
        <v>2456</v>
      </c>
      <c r="G33" s="2846"/>
    </row>
    <row r="34" spans="1:7" ht="19.5" customHeight="1">
      <c r="A34" s="3494"/>
      <c r="B34" s="3490"/>
      <c r="C34" s="2847" t="s">
        <v>2457</v>
      </c>
      <c r="D34" s="2848"/>
      <c r="E34" s="2849">
        <v>0.6</v>
      </c>
      <c r="F34" s="2846" t="s">
        <v>2458</v>
      </c>
      <c r="G34" s="2846"/>
    </row>
    <row r="35" spans="1:7" ht="19.5" customHeight="1">
      <c r="A35" s="3494"/>
      <c r="B35" s="3490"/>
      <c r="C35" s="2847" t="s">
        <v>2459</v>
      </c>
      <c r="D35" s="2848"/>
      <c r="E35" s="2849">
        <v>0.2</v>
      </c>
      <c r="F35" s="2846" t="s">
        <v>2460</v>
      </c>
      <c r="G35" s="2846"/>
    </row>
    <row r="36" spans="1:7" ht="19.5" customHeight="1">
      <c r="A36" s="3494"/>
      <c r="B36" s="3490"/>
      <c r="C36" s="2847" t="s">
        <v>2461</v>
      </c>
      <c r="D36" s="2848"/>
      <c r="E36" s="2849">
        <v>0.2</v>
      </c>
      <c r="F36" s="2846" t="s">
        <v>2462</v>
      </c>
      <c r="G36" s="2846"/>
    </row>
    <row r="37" spans="1:7" ht="19.5" customHeight="1">
      <c r="A37" s="3494"/>
      <c r="B37" s="3488" t="s">
        <v>2623</v>
      </c>
      <c r="C37" s="2847" t="s">
        <v>2463</v>
      </c>
      <c r="D37" s="2848"/>
      <c r="E37" s="2849">
        <v>0.6</v>
      </c>
      <c r="F37" s="2846" t="s">
        <v>2464</v>
      </c>
      <c r="G37" s="2846"/>
    </row>
    <row r="38" spans="1:7" ht="19.5" customHeight="1">
      <c r="A38" s="3494"/>
      <c r="B38" s="3490"/>
      <c r="C38" s="2847" t="s">
        <v>2465</v>
      </c>
      <c r="D38" s="2848"/>
      <c r="E38" s="2849">
        <v>0.6</v>
      </c>
      <c r="F38" s="2846" t="s">
        <v>2466</v>
      </c>
      <c r="G38" s="2846"/>
    </row>
    <row r="39" spans="1:7" ht="19.5" customHeight="1" thickBot="1">
      <c r="A39" s="3495"/>
      <c r="B39" s="349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96" t="s">
        <v>2601</v>
      </c>
      <c r="B41" s="3491" t="s">
        <v>2625</v>
      </c>
      <c r="C41" s="2843" t="s">
        <v>2470</v>
      </c>
      <c r="D41" s="2844"/>
      <c r="E41" s="2845">
        <v>1</v>
      </c>
      <c r="F41" s="2846" t="s">
        <v>2471</v>
      </c>
      <c r="G41" s="2846"/>
    </row>
    <row r="42" spans="1:7" ht="19.5" customHeight="1">
      <c r="A42" s="3497"/>
      <c r="B42" s="3490"/>
      <c r="C42" s="2847" t="s">
        <v>2472</v>
      </c>
      <c r="D42" s="2848"/>
      <c r="E42" s="2849">
        <v>1</v>
      </c>
      <c r="F42" s="2846" t="s">
        <v>2473</v>
      </c>
      <c r="G42" s="2846"/>
    </row>
    <row r="43" spans="1:7" ht="19.5" customHeight="1">
      <c r="A43" s="3497"/>
      <c r="B43" s="3489"/>
      <c r="C43" s="2847" t="s">
        <v>2474</v>
      </c>
      <c r="D43" s="2848"/>
      <c r="E43" s="2849">
        <v>1.5</v>
      </c>
      <c r="F43" s="2846" t="s">
        <v>2475</v>
      </c>
      <c r="G43" s="2846"/>
    </row>
    <row r="44" spans="1:7" ht="19.5" customHeight="1">
      <c r="A44" s="3497"/>
      <c r="B44" s="2858" t="s">
        <v>2626</v>
      </c>
      <c r="C44" s="2847" t="s">
        <v>2627</v>
      </c>
      <c r="D44" s="2848"/>
      <c r="E44" s="2849">
        <v>2</v>
      </c>
      <c r="F44" s="2846" t="s">
        <v>2476</v>
      </c>
      <c r="G44" s="2846"/>
    </row>
    <row r="45" spans="1:7" ht="19.5" customHeight="1">
      <c r="A45" s="3497"/>
      <c r="B45" s="3488" t="s">
        <v>2628</v>
      </c>
      <c r="C45" s="2847" t="s">
        <v>2477</v>
      </c>
      <c r="D45" s="2848"/>
      <c r="E45" s="2849">
        <v>1</v>
      </c>
      <c r="F45" s="2846" t="s">
        <v>2478</v>
      </c>
      <c r="G45" s="2846"/>
    </row>
    <row r="46" spans="1:7" ht="19.5" customHeight="1">
      <c r="A46" s="3497"/>
      <c r="B46" s="3490"/>
      <c r="C46" s="2847" t="s">
        <v>2479</v>
      </c>
      <c r="D46" s="2848"/>
      <c r="E46" s="2849">
        <v>1</v>
      </c>
      <c r="F46" s="2846" t="s">
        <v>2480</v>
      </c>
      <c r="G46" s="2846"/>
    </row>
    <row r="47" spans="1:7" ht="19.5" customHeight="1">
      <c r="A47" s="3497"/>
      <c r="B47" s="3490"/>
      <c r="C47" s="2847" t="s">
        <v>2481</v>
      </c>
      <c r="D47" s="2848"/>
      <c r="E47" s="2849">
        <v>1</v>
      </c>
      <c r="F47" s="2846" t="s">
        <v>2482</v>
      </c>
      <c r="G47" s="2846"/>
    </row>
    <row r="48" spans="1:7" ht="19.5" customHeight="1">
      <c r="A48" s="3497"/>
      <c r="B48" s="3490"/>
      <c r="C48" s="2847" t="s">
        <v>2483</v>
      </c>
      <c r="D48" s="2848"/>
      <c r="E48" s="2849">
        <v>1</v>
      </c>
      <c r="F48" s="2846" t="s">
        <v>2484</v>
      </c>
      <c r="G48" s="2846"/>
    </row>
    <row r="49" spans="1:7" ht="19.5" customHeight="1">
      <c r="A49" s="3497"/>
      <c r="B49" s="3490"/>
      <c r="C49" s="2847" t="s">
        <v>2485</v>
      </c>
      <c r="D49" s="2848"/>
      <c r="E49" s="2849">
        <v>1</v>
      </c>
      <c r="F49" s="2846" t="s">
        <v>2486</v>
      </c>
      <c r="G49" s="2846"/>
    </row>
    <row r="50" spans="1:7" ht="19.5" customHeight="1">
      <c r="A50" s="3497"/>
      <c r="B50" s="3490"/>
      <c r="C50" s="2847" t="s">
        <v>2487</v>
      </c>
      <c r="D50" s="2848"/>
      <c r="E50" s="2849">
        <v>1</v>
      </c>
      <c r="F50" s="2846" t="s">
        <v>2488</v>
      </c>
      <c r="G50" s="2846"/>
    </row>
    <row r="51" spans="1:7" ht="19.5" customHeight="1" thickBot="1">
      <c r="A51" s="3498"/>
      <c r="B51" s="349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8" t="s">
        <v>2642</v>
      </c>
      <c r="C73" s="2832" t="s">
        <v>2643</v>
      </c>
      <c r="D73" s="2832" t="s">
        <v>2644</v>
      </c>
      <c r="E73" s="2858">
        <v>0.2</v>
      </c>
      <c r="F73" s="2858">
        <v>25</v>
      </c>
    </row>
    <row r="74" spans="1:7" ht="24">
      <c r="A74" s="2858">
        <v>2</v>
      </c>
      <c r="B74" s="3490"/>
      <c r="C74" s="2832" t="s">
        <v>2645</v>
      </c>
      <c r="D74" s="2832" t="s">
        <v>2646</v>
      </c>
      <c r="E74" s="2858">
        <v>0.2</v>
      </c>
      <c r="F74" s="2858">
        <v>25</v>
      </c>
    </row>
    <row r="75" spans="1:7" ht="24">
      <c r="A75" s="2858">
        <v>3</v>
      </c>
      <c r="B75" s="3490"/>
      <c r="C75" s="2832" t="s">
        <v>2647</v>
      </c>
      <c r="D75" s="2832" t="s">
        <v>2648</v>
      </c>
      <c r="E75" s="2858">
        <v>0.2</v>
      </c>
      <c r="F75" s="2858">
        <v>25</v>
      </c>
    </row>
    <row r="76" spans="1:7" ht="13.5">
      <c r="A76" s="2858">
        <v>4</v>
      </c>
      <c r="B76" s="3490"/>
      <c r="C76" s="2832" t="s">
        <v>2649</v>
      </c>
      <c r="D76" s="2832" t="s">
        <v>2650</v>
      </c>
      <c r="E76" s="2858">
        <v>0.15</v>
      </c>
      <c r="F76" s="2858">
        <v>20</v>
      </c>
    </row>
    <row r="77" spans="1:7" ht="24">
      <c r="A77" s="2858">
        <v>5</v>
      </c>
      <c r="B77" s="3490"/>
      <c r="C77" s="2832" t="s">
        <v>2651</v>
      </c>
      <c r="D77" s="2832" t="s">
        <v>2652</v>
      </c>
      <c r="E77" s="2858">
        <v>0.15</v>
      </c>
      <c r="F77" s="2858">
        <v>20</v>
      </c>
    </row>
    <row r="78" spans="1:7" ht="24">
      <c r="A78" s="2858">
        <v>6</v>
      </c>
      <c r="B78" s="3490"/>
      <c r="C78" s="2832" t="s">
        <v>2653</v>
      </c>
      <c r="D78" s="2832" t="s">
        <v>2654</v>
      </c>
      <c r="E78" s="2858">
        <v>0.15</v>
      </c>
      <c r="F78" s="2858">
        <v>20</v>
      </c>
    </row>
    <row r="79" spans="1:7" ht="24">
      <c r="A79" s="2858">
        <v>7</v>
      </c>
      <c r="B79" s="3490"/>
      <c r="C79" s="2832" t="s">
        <v>2655</v>
      </c>
      <c r="D79" s="2832" t="s">
        <v>2656</v>
      </c>
      <c r="E79" s="2858">
        <v>0.15</v>
      </c>
      <c r="F79" s="2858">
        <v>20</v>
      </c>
    </row>
    <row r="80" spans="1:7" ht="24">
      <c r="A80" s="2858">
        <v>8</v>
      </c>
      <c r="B80" s="3490"/>
      <c r="C80" s="2832" t="s">
        <v>2657</v>
      </c>
      <c r="D80" s="2832" t="s">
        <v>2658</v>
      </c>
      <c r="E80" s="2858">
        <v>0.1</v>
      </c>
      <c r="F80" s="2858">
        <v>15</v>
      </c>
    </row>
    <row r="81" spans="1:6" ht="24">
      <c r="A81" s="2858">
        <v>9</v>
      </c>
      <c r="B81" s="3490"/>
      <c r="C81" s="2832" t="s">
        <v>2659</v>
      </c>
      <c r="D81" s="2832" t="s">
        <v>2660</v>
      </c>
      <c r="E81" s="2858">
        <v>0.1</v>
      </c>
      <c r="F81" s="2858">
        <v>15</v>
      </c>
    </row>
    <row r="82" spans="1:6" ht="24">
      <c r="A82" s="2858">
        <v>10</v>
      </c>
      <c r="B82" s="3490"/>
      <c r="C82" s="2832" t="s">
        <v>2661</v>
      </c>
      <c r="D82" s="2832" t="s">
        <v>2662</v>
      </c>
      <c r="E82" s="2858">
        <v>0.1</v>
      </c>
      <c r="F82" s="2858">
        <v>15</v>
      </c>
    </row>
    <row r="83" spans="1:6" ht="24">
      <c r="A83" s="2858">
        <v>11</v>
      </c>
      <c r="B83" s="3490"/>
      <c r="C83" s="2832" t="s">
        <v>2663</v>
      </c>
      <c r="D83" s="2832" t="s">
        <v>2664</v>
      </c>
      <c r="E83" s="2858">
        <v>0.1</v>
      </c>
      <c r="F83" s="2858">
        <v>15</v>
      </c>
    </row>
    <row r="84" spans="1:6" ht="24">
      <c r="A84" s="2858">
        <v>12</v>
      </c>
      <c r="B84" s="3490"/>
      <c r="C84" s="2832" t="s">
        <v>2665</v>
      </c>
      <c r="D84" s="2832" t="s">
        <v>2666</v>
      </c>
      <c r="E84" s="2858">
        <v>0.1</v>
      </c>
      <c r="F84" s="2858">
        <v>15</v>
      </c>
    </row>
    <row r="85" spans="1:6" ht="13.5">
      <c r="A85" s="2858">
        <v>13</v>
      </c>
      <c r="B85" s="3490"/>
      <c r="C85" s="2832" t="s">
        <v>2667</v>
      </c>
      <c r="D85" s="2832" t="s">
        <v>2668</v>
      </c>
      <c r="E85" s="2858">
        <v>0.1</v>
      </c>
      <c r="F85" s="2858">
        <v>15</v>
      </c>
    </row>
    <row r="86" spans="1:6" ht="13.5">
      <c r="A86" s="2858">
        <v>14</v>
      </c>
      <c r="B86" s="3490"/>
      <c r="C86" s="2832" t="s">
        <v>2669</v>
      </c>
      <c r="D86" s="2832" t="s">
        <v>2670</v>
      </c>
      <c r="E86" s="2858">
        <v>0.1</v>
      </c>
      <c r="F86" s="2858">
        <v>15</v>
      </c>
    </row>
    <row r="87" spans="1:6" ht="13.5">
      <c r="A87" s="2858">
        <v>15</v>
      </c>
      <c r="B87" s="3490"/>
      <c r="C87" s="2832" t="s">
        <v>2671</v>
      </c>
      <c r="D87" s="2832" t="s">
        <v>2672</v>
      </c>
      <c r="E87" s="2858">
        <v>0.1</v>
      </c>
      <c r="F87" s="2858">
        <v>15</v>
      </c>
    </row>
    <row r="88" spans="1:6" ht="24">
      <c r="A88" s="2858">
        <v>16</v>
      </c>
      <c r="B88" s="3490"/>
      <c r="C88" s="2832" t="s">
        <v>2673</v>
      </c>
      <c r="D88" s="2832" t="s">
        <v>2674</v>
      </c>
      <c r="E88" s="2858">
        <v>0.1</v>
      </c>
      <c r="F88" s="2858">
        <v>15</v>
      </c>
    </row>
    <row r="89" spans="1:6" ht="24">
      <c r="A89" s="2858">
        <v>17</v>
      </c>
      <c r="B89" s="3489"/>
      <c r="C89" s="2832" t="s">
        <v>2675</v>
      </c>
      <c r="D89" s="2832" t="s">
        <v>2676</v>
      </c>
      <c r="E89" s="2858">
        <v>0.1</v>
      </c>
      <c r="F89" s="2858">
        <v>15</v>
      </c>
    </row>
    <row r="90" spans="1:6" ht="13.5">
      <c r="A90" s="2858">
        <v>18</v>
      </c>
      <c r="B90" s="3488" t="s">
        <v>2677</v>
      </c>
      <c r="C90" s="2832" t="s">
        <v>2678</v>
      </c>
      <c r="D90" s="2832" t="s">
        <v>2679</v>
      </c>
      <c r="E90" s="2858">
        <v>0.2</v>
      </c>
      <c r="F90" s="2858">
        <v>25</v>
      </c>
    </row>
    <row r="91" spans="1:6" ht="24">
      <c r="A91" s="2858">
        <v>19</v>
      </c>
      <c r="B91" s="3490"/>
      <c r="C91" s="2832" t="s">
        <v>2680</v>
      </c>
      <c r="D91" s="2832" t="s">
        <v>2681</v>
      </c>
      <c r="E91" s="2858">
        <v>0.2</v>
      </c>
      <c r="F91" s="2858">
        <v>25</v>
      </c>
    </row>
    <row r="92" spans="1:6" ht="13.5">
      <c r="A92" s="2858">
        <v>20</v>
      </c>
      <c r="B92" s="3490"/>
      <c r="C92" s="2832" t="s">
        <v>2682</v>
      </c>
      <c r="D92" s="2832" t="s">
        <v>2683</v>
      </c>
      <c r="E92" s="2858">
        <v>0.15</v>
      </c>
      <c r="F92" s="2858">
        <v>20</v>
      </c>
    </row>
    <row r="93" spans="1:6" ht="13.5">
      <c r="A93" s="2858">
        <v>21</v>
      </c>
      <c r="B93" s="3490"/>
      <c r="C93" s="2832" t="s">
        <v>2684</v>
      </c>
      <c r="D93" s="2832" t="s">
        <v>2685</v>
      </c>
      <c r="E93" s="2858">
        <v>0.15</v>
      </c>
      <c r="F93" s="2858">
        <v>20</v>
      </c>
    </row>
    <row r="94" spans="1:6" ht="13.5">
      <c r="A94" s="2858">
        <v>22</v>
      </c>
      <c r="B94" s="3490"/>
      <c r="C94" s="2832" t="s">
        <v>2686</v>
      </c>
      <c r="D94" s="2832" t="s">
        <v>2687</v>
      </c>
      <c r="E94" s="2858">
        <v>0.15</v>
      </c>
      <c r="F94" s="2858">
        <v>20</v>
      </c>
    </row>
    <row r="95" spans="1:6" ht="36">
      <c r="A95" s="2858">
        <v>23</v>
      </c>
      <c r="B95" s="3490"/>
      <c r="C95" s="2832" t="s">
        <v>2688</v>
      </c>
      <c r="D95" s="2832" t="s">
        <v>2689</v>
      </c>
      <c r="E95" s="2858">
        <v>0.15</v>
      </c>
      <c r="F95" s="2858">
        <v>20</v>
      </c>
    </row>
    <row r="96" spans="1:6" ht="13.5">
      <c r="A96" s="2858">
        <v>24</v>
      </c>
      <c r="B96" s="3490"/>
      <c r="C96" s="2832" t="s">
        <v>2690</v>
      </c>
      <c r="D96" s="2832" t="s">
        <v>2691</v>
      </c>
      <c r="E96" s="2858">
        <v>0.1</v>
      </c>
      <c r="F96" s="2858">
        <v>15</v>
      </c>
    </row>
    <row r="97" spans="1:6" ht="13.5">
      <c r="A97" s="2858">
        <v>25</v>
      </c>
      <c r="B97" s="3490"/>
      <c r="C97" s="2832" t="s">
        <v>2692</v>
      </c>
      <c r="D97" s="2832" t="s">
        <v>2693</v>
      </c>
      <c r="E97" s="2858">
        <v>0.1</v>
      </c>
      <c r="F97" s="2858">
        <v>15</v>
      </c>
    </row>
    <row r="98" spans="1:6" ht="24">
      <c r="A98" s="2858">
        <v>26</v>
      </c>
      <c r="B98" s="3490"/>
      <c r="C98" s="2832" t="s">
        <v>2694</v>
      </c>
      <c r="D98" s="2832" t="s">
        <v>2695</v>
      </c>
      <c r="E98" s="2858">
        <v>0.1</v>
      </c>
      <c r="F98" s="2858">
        <v>15</v>
      </c>
    </row>
    <row r="99" spans="1:6" ht="24">
      <c r="A99" s="2858">
        <v>27</v>
      </c>
      <c r="B99" s="3490"/>
      <c r="C99" s="2832" t="s">
        <v>2696</v>
      </c>
      <c r="D99" s="2832" t="s">
        <v>2697</v>
      </c>
      <c r="E99" s="2858">
        <v>0.1</v>
      </c>
      <c r="F99" s="2858">
        <v>15</v>
      </c>
    </row>
    <row r="100" spans="1:6" ht="13.5">
      <c r="A100" s="2858">
        <v>28</v>
      </c>
      <c r="B100" s="3490"/>
      <c r="C100" s="2832" t="s">
        <v>2698</v>
      </c>
      <c r="D100" s="2832" t="s">
        <v>2699</v>
      </c>
      <c r="E100" s="2858">
        <v>0.1</v>
      </c>
      <c r="F100" s="2858">
        <v>15</v>
      </c>
    </row>
    <row r="101" spans="1:6" ht="13.5">
      <c r="A101" s="2858">
        <v>29</v>
      </c>
      <c r="B101" s="3490"/>
      <c r="C101" s="2832" t="s">
        <v>2700</v>
      </c>
      <c r="D101" s="2832" t="s">
        <v>2701</v>
      </c>
      <c r="E101" s="2858">
        <v>0.1</v>
      </c>
      <c r="F101" s="2858">
        <v>15</v>
      </c>
    </row>
    <row r="102" spans="1:6" ht="13.5">
      <c r="A102" s="2858">
        <v>30</v>
      </c>
      <c r="B102" s="3490"/>
      <c r="C102" s="2832" t="s">
        <v>2702</v>
      </c>
      <c r="D102" s="2832" t="s">
        <v>2703</v>
      </c>
      <c r="E102" s="2858">
        <v>0.1</v>
      </c>
      <c r="F102" s="2858">
        <v>15</v>
      </c>
    </row>
    <row r="103" spans="1:6" ht="24">
      <c r="A103" s="2858">
        <v>31</v>
      </c>
      <c r="B103" s="3490"/>
      <c r="C103" s="2832" t="s">
        <v>2704</v>
      </c>
      <c r="D103" s="2832" t="s">
        <v>2705</v>
      </c>
      <c r="E103" s="2858">
        <v>0.1</v>
      </c>
      <c r="F103" s="2858">
        <v>15</v>
      </c>
    </row>
    <row r="104" spans="1:6" ht="24">
      <c r="A104" s="2858">
        <v>32</v>
      </c>
      <c r="B104" s="3490"/>
      <c r="C104" s="2832" t="s">
        <v>2706</v>
      </c>
      <c r="D104" s="2832" t="s">
        <v>2707</v>
      </c>
      <c r="E104" s="2858">
        <v>0.1</v>
      </c>
      <c r="F104" s="2858">
        <v>15</v>
      </c>
    </row>
    <row r="105" spans="1:6" ht="24">
      <c r="A105" s="2858">
        <v>33</v>
      </c>
      <c r="B105" s="3490"/>
      <c r="C105" s="2832" t="s">
        <v>2708</v>
      </c>
      <c r="D105" s="2832" t="s">
        <v>2709</v>
      </c>
      <c r="E105" s="2858">
        <v>0.1</v>
      </c>
      <c r="F105" s="2858">
        <v>15</v>
      </c>
    </row>
    <row r="106" spans="1:6" ht="24">
      <c r="A106" s="2858">
        <v>34</v>
      </c>
      <c r="B106" s="3489"/>
      <c r="C106" s="2832" t="s">
        <v>2710</v>
      </c>
      <c r="D106" s="2832" t="s">
        <v>2711</v>
      </c>
      <c r="E106" s="2858">
        <v>0.1</v>
      </c>
      <c r="F106" s="2858">
        <v>15</v>
      </c>
    </row>
    <row r="107" spans="1:6" ht="24">
      <c r="A107" s="2858">
        <v>35</v>
      </c>
      <c r="B107" s="3488" t="s">
        <v>2712</v>
      </c>
      <c r="C107" s="2858" t="s">
        <v>2713</v>
      </c>
      <c r="D107" s="2832" t="s">
        <v>2714</v>
      </c>
      <c r="E107" s="2858">
        <v>0.15</v>
      </c>
      <c r="F107" s="2858">
        <v>20</v>
      </c>
    </row>
    <row r="108" spans="1:6" ht="13.5">
      <c r="A108" s="2858">
        <v>36</v>
      </c>
      <c r="B108" s="3490"/>
      <c r="C108" s="2858" t="s">
        <v>2715</v>
      </c>
      <c r="D108" s="2832" t="s">
        <v>2716</v>
      </c>
      <c r="E108" s="2858">
        <v>0.15</v>
      </c>
      <c r="F108" s="2858">
        <v>20</v>
      </c>
    </row>
    <row r="109" spans="1:6" ht="13.5">
      <c r="A109" s="2858">
        <v>37</v>
      </c>
      <c r="B109" s="3490"/>
      <c r="C109" s="2858" t="s">
        <v>2717</v>
      </c>
      <c r="D109" s="2832" t="s">
        <v>2718</v>
      </c>
      <c r="E109" s="2858">
        <v>0.15</v>
      </c>
      <c r="F109" s="2858">
        <v>20</v>
      </c>
    </row>
    <row r="110" spans="1:6" ht="13.5">
      <c r="A110" s="2858">
        <v>38</v>
      </c>
      <c r="B110" s="3490"/>
      <c r="C110" s="2858" t="s">
        <v>2719</v>
      </c>
      <c r="D110" s="2832" t="s">
        <v>2720</v>
      </c>
      <c r="E110" s="2858">
        <v>0.1</v>
      </c>
      <c r="F110" s="2858">
        <v>15</v>
      </c>
    </row>
    <row r="111" spans="1:6" ht="24">
      <c r="A111" s="2858">
        <v>39</v>
      </c>
      <c r="B111" s="3490"/>
      <c r="C111" s="2858" t="s">
        <v>2721</v>
      </c>
      <c r="D111" s="2832" t="s">
        <v>2722</v>
      </c>
      <c r="E111" s="2858">
        <v>0.1</v>
      </c>
      <c r="F111" s="2858">
        <v>15</v>
      </c>
    </row>
    <row r="112" spans="1:6" ht="24">
      <c r="A112" s="2858">
        <v>40</v>
      </c>
      <c r="B112" s="3489"/>
      <c r="C112" s="2858" t="s">
        <v>2723</v>
      </c>
      <c r="D112" s="2832" t="s">
        <v>2724</v>
      </c>
      <c r="E112" s="2858">
        <v>0.1</v>
      </c>
      <c r="F112" s="2858">
        <v>15</v>
      </c>
    </row>
    <row r="113" spans="1:6" ht="13.5">
      <c r="A113" s="2858">
        <v>41</v>
      </c>
      <c r="B113" s="3487" t="s">
        <v>2725</v>
      </c>
      <c r="C113" s="2858" t="s">
        <v>2726</v>
      </c>
      <c r="D113" s="2832" t="s">
        <v>2727</v>
      </c>
      <c r="E113" s="2858">
        <v>0.1</v>
      </c>
      <c r="F113" s="2858">
        <v>15</v>
      </c>
    </row>
    <row r="114" spans="1:6" ht="13.5">
      <c r="A114" s="2858">
        <v>42</v>
      </c>
      <c r="B114" s="3487"/>
      <c r="C114" s="2858" t="s">
        <v>2728</v>
      </c>
      <c r="D114" s="2832" t="s">
        <v>2729</v>
      </c>
      <c r="E114" s="2858">
        <v>0.1</v>
      </c>
      <c r="F114" s="2858">
        <v>15</v>
      </c>
    </row>
    <row r="115" spans="1:6" ht="24">
      <c r="A115" s="2858">
        <v>43</v>
      </c>
      <c r="B115" s="3487"/>
      <c r="C115" s="2858" t="s">
        <v>2730</v>
      </c>
      <c r="D115" s="2832" t="s">
        <v>2731</v>
      </c>
      <c r="E115" s="2858">
        <v>0.1</v>
      </c>
      <c r="F115" s="2858">
        <v>15</v>
      </c>
    </row>
    <row r="116" spans="1:6" ht="13.5">
      <c r="A116" s="2858">
        <v>44</v>
      </c>
      <c r="B116" s="3488" t="s">
        <v>2732</v>
      </c>
      <c r="C116" s="2858" t="s">
        <v>2733</v>
      </c>
      <c r="D116" s="2832" t="s">
        <v>2734</v>
      </c>
      <c r="E116" s="2858">
        <v>0.1</v>
      </c>
      <c r="F116" s="2858">
        <v>15</v>
      </c>
    </row>
    <row r="117" spans="1:6" ht="24">
      <c r="A117" s="2858">
        <v>45</v>
      </c>
      <c r="B117" s="3489"/>
      <c r="C117" s="2832" t="s">
        <v>2735</v>
      </c>
      <c r="D117" s="2832" t="s">
        <v>2736</v>
      </c>
      <c r="E117" s="2858">
        <v>0.1</v>
      </c>
      <c r="F117" s="2858">
        <v>15</v>
      </c>
    </row>
    <row r="118" spans="1:6" ht="24">
      <c r="A118" s="2858">
        <v>46</v>
      </c>
      <c r="B118" s="3488" t="s">
        <v>2737</v>
      </c>
      <c r="C118" s="2858" t="s">
        <v>2738</v>
      </c>
      <c r="D118" s="2832" t="s">
        <v>2739</v>
      </c>
      <c r="E118" s="2858">
        <v>0.1</v>
      </c>
      <c r="F118" s="2858">
        <v>15</v>
      </c>
    </row>
    <row r="119" spans="1:6" ht="24">
      <c r="A119" s="2858">
        <v>47</v>
      </c>
      <c r="B119" s="3489"/>
      <c r="C119" s="2858" t="s">
        <v>2740</v>
      </c>
      <c r="D119" s="2832" t="s">
        <v>2741</v>
      </c>
      <c r="E119" s="2858">
        <v>0.1</v>
      </c>
      <c r="F119" s="2858">
        <v>15</v>
      </c>
    </row>
    <row r="120" spans="1:6" ht="13.5">
      <c r="A120" s="2858">
        <v>48</v>
      </c>
      <c r="B120" s="3488" t="s">
        <v>2742</v>
      </c>
      <c r="C120" s="2858" t="s">
        <v>2743</v>
      </c>
      <c r="D120" s="2832" t="s">
        <v>2744</v>
      </c>
      <c r="E120" s="2858">
        <v>0.1</v>
      </c>
      <c r="F120" s="2858">
        <v>15</v>
      </c>
    </row>
    <row r="121" spans="1:6" ht="13.5">
      <c r="A121" s="2858">
        <v>49</v>
      </c>
      <c r="B121" s="3489"/>
      <c r="C121" s="2858" t="s">
        <v>2745</v>
      </c>
      <c r="D121" s="2832" t="s">
        <v>2746</v>
      </c>
      <c r="E121" s="2858">
        <v>0.1</v>
      </c>
      <c r="F121" s="2858">
        <v>15</v>
      </c>
    </row>
    <row r="122" spans="1:6" ht="24">
      <c r="A122" s="2858">
        <v>50</v>
      </c>
      <c r="B122" s="3487" t="s">
        <v>2747</v>
      </c>
      <c r="C122" s="2858" t="s">
        <v>2748</v>
      </c>
      <c r="D122" s="2832" t="s">
        <v>2749</v>
      </c>
      <c r="E122" s="2858">
        <v>0.1</v>
      </c>
      <c r="F122" s="2858">
        <v>15</v>
      </c>
    </row>
    <row r="123" spans="1:6" ht="24">
      <c r="A123" s="2858">
        <v>51</v>
      </c>
      <c r="B123" s="3487"/>
      <c r="C123" s="2858" t="s">
        <v>2750</v>
      </c>
      <c r="D123" s="2832" t="s">
        <v>2751</v>
      </c>
      <c r="E123" s="2858">
        <v>0.1</v>
      </c>
      <c r="F123" s="2858">
        <v>15</v>
      </c>
    </row>
    <row r="124" spans="1:6" ht="24">
      <c r="A124" s="2858">
        <v>52</v>
      </c>
      <c r="B124" s="3487" t="s">
        <v>2752</v>
      </c>
      <c r="C124" s="2858" t="s">
        <v>2753</v>
      </c>
      <c r="D124" s="2832" t="s">
        <v>2754</v>
      </c>
      <c r="E124" s="2858">
        <v>0.1</v>
      </c>
      <c r="F124" s="2858">
        <v>15</v>
      </c>
    </row>
    <row r="125" spans="1:6" ht="24">
      <c r="A125" s="2858">
        <v>53</v>
      </c>
      <c r="B125" s="348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7" t="s">
        <v>2760</v>
      </c>
      <c r="C127" s="2858" t="s">
        <v>2761</v>
      </c>
      <c r="D127" s="2832" t="s">
        <v>2762</v>
      </c>
      <c r="E127" s="2858">
        <v>0.1</v>
      </c>
      <c r="F127" s="2858">
        <v>15</v>
      </c>
    </row>
    <row r="128" spans="1:6" ht="13.5">
      <c r="A128" s="2858">
        <v>56</v>
      </c>
      <c r="B128" s="3487"/>
      <c r="C128" s="2858" t="s">
        <v>2763</v>
      </c>
      <c r="D128" s="2832" t="s">
        <v>2764</v>
      </c>
      <c r="E128" s="2858">
        <v>0.1</v>
      </c>
      <c r="F128" s="2858">
        <v>15</v>
      </c>
    </row>
    <row r="129" spans="1:6" ht="24">
      <c r="A129" s="2858">
        <v>57</v>
      </c>
      <c r="B129" s="3487"/>
      <c r="C129" s="2858" t="s">
        <v>2765</v>
      </c>
      <c r="D129" s="2832" t="s">
        <v>2766</v>
      </c>
      <c r="E129" s="2858">
        <v>0.1</v>
      </c>
      <c r="F129" s="2858">
        <v>15</v>
      </c>
    </row>
    <row r="130" spans="1:6" ht="24">
      <c r="A130" s="2858">
        <v>58</v>
      </c>
      <c r="B130" s="3487" t="s">
        <v>2767</v>
      </c>
      <c r="C130" s="2858" t="s">
        <v>2768</v>
      </c>
      <c r="D130" s="2832" t="s">
        <v>2769</v>
      </c>
      <c r="E130" s="2858">
        <v>0.1</v>
      </c>
      <c r="F130" s="2858">
        <v>15</v>
      </c>
    </row>
    <row r="131" spans="1:6" ht="13.5">
      <c r="A131" s="2858">
        <v>59</v>
      </c>
      <c r="B131" s="3487"/>
      <c r="C131" s="2858" t="s">
        <v>2770</v>
      </c>
      <c r="D131" s="2832" t="s">
        <v>2771</v>
      </c>
      <c r="E131" s="2858">
        <v>0.1</v>
      </c>
      <c r="F131" s="2858">
        <v>15</v>
      </c>
    </row>
    <row r="132" spans="1:6" ht="13.5">
      <c r="A132" s="2858">
        <v>60</v>
      </c>
      <c r="B132" s="3488" t="s">
        <v>2772</v>
      </c>
      <c r="C132" s="2858" t="s">
        <v>2773</v>
      </c>
      <c r="D132" s="2832" t="s">
        <v>2774</v>
      </c>
      <c r="E132" s="2858">
        <v>0.1</v>
      </c>
      <c r="F132" s="2858">
        <v>15</v>
      </c>
    </row>
    <row r="133" spans="1:6" ht="13.5">
      <c r="A133" s="2858">
        <v>61</v>
      </c>
      <c r="B133" s="348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7" t="s">
        <v>2780</v>
      </c>
      <c r="C135" s="2858" t="s">
        <v>2781</v>
      </c>
      <c r="D135" s="2832" t="s">
        <v>2782</v>
      </c>
      <c r="E135" s="2858">
        <v>0.1</v>
      </c>
      <c r="F135" s="2858">
        <v>15</v>
      </c>
    </row>
    <row r="136" spans="1:6" ht="13.5">
      <c r="A136" s="2858">
        <v>64</v>
      </c>
      <c r="B136" s="348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29061</v>
      </c>
      <c r="C2" s="2" t="s">
        <v>106</v>
      </c>
      <c r="D2" s="191"/>
      <c r="E2" s="191"/>
      <c r="F2" s="191"/>
      <c r="G2" s="191"/>
    </row>
    <row r="3" spans="1:7" s="192" customFormat="1" ht="18" customHeight="1" thickBot="1">
      <c r="A3" s="195" t="s">
        <v>58</v>
      </c>
      <c r="B3" s="196">
        <f ca="1">ROUND(B2*10000/'数据-汇总表'!E3,0)</f>
        <v>497876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583.70000000000005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583.70000000000005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233</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583.70000000000005</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53</v>
      </c>
      <c r="D45" s="227">
        <f>C47</f>
        <v>4.0000000000000001E-3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355</v>
      </c>
      <c r="D49" s="224"/>
      <c r="E49" s="224"/>
      <c r="F49" s="256"/>
      <c r="G49" s="226" t="s">
        <v>435</v>
      </c>
    </row>
    <row r="50" spans="1:7" s="250" customFormat="1" ht="24">
      <c r="A50" s="731" t="s">
        <v>344</v>
      </c>
      <c r="B50" s="202" t="s">
        <v>97</v>
      </c>
      <c r="C50" s="224"/>
      <c r="D50" s="224"/>
      <c r="E50" s="224"/>
      <c r="F50" s="256">
        <f>IF('数据-取费表'!B24=0,'数据-取费表'!N16,1)</f>
        <v>0.96</v>
      </c>
      <c r="G50" s="239" t="s">
        <v>98</v>
      </c>
    </row>
    <row r="51" spans="1:7" ht="16.5" customHeight="1">
      <c r="A51" s="731" t="s">
        <v>345</v>
      </c>
      <c r="B51" s="202" t="s">
        <v>105</v>
      </c>
      <c r="C51" s="224">
        <f ca="1">ROUND(C49*F50,0)</f>
        <v>341</v>
      </c>
      <c r="D51" s="224"/>
      <c r="E51" s="224"/>
      <c r="F51" s="256"/>
      <c r="G51" s="226" t="s">
        <v>37</v>
      </c>
    </row>
    <row r="52" spans="1:7" s="200" customFormat="1" ht="16.5" thickBot="1">
      <c r="A52" s="257" t="s">
        <v>38</v>
      </c>
      <c r="B52" s="258"/>
      <c r="C52" s="259">
        <f ca="1">C31+C51</f>
        <v>29061</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9" t="s">
        <v>3172</v>
      </c>
      <c r="B1" s="349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00" t="s">
        <v>3223</v>
      </c>
      <c r="B1" s="3500"/>
      <c r="C1" s="3500"/>
      <c r="D1" s="3500"/>
      <c r="E1" s="3500"/>
      <c r="F1" s="350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45814</v>
      </c>
      <c r="B1" s="2930" t="s">
        <v>3369</v>
      </c>
      <c r="C1" s="2931"/>
      <c r="D1" s="2931"/>
      <c r="E1" s="2931"/>
      <c r="F1" s="2931"/>
      <c r="G1" s="2931"/>
      <c r="H1" s="2931"/>
      <c r="I1" s="2931"/>
      <c r="J1" s="2897"/>
      <c r="K1" s="2931" t="s">
        <v>454</v>
      </c>
      <c r="L1" s="2931"/>
      <c r="M1" s="2931"/>
      <c r="N1" s="2931"/>
      <c r="O1" s="2931"/>
      <c r="P1" s="2931"/>
      <c r="Q1" s="2897"/>
      <c r="R1" s="3502" t="s">
        <v>456</v>
      </c>
      <c r="S1" s="3503"/>
      <c r="T1" s="3503"/>
      <c r="U1" s="3503"/>
      <c r="V1" s="3503"/>
      <c r="W1" s="3503"/>
      <c r="X1" s="2897"/>
      <c r="Y1" s="3502" t="s">
        <v>457</v>
      </c>
      <c r="Z1" s="3503"/>
      <c r="AA1" s="3503"/>
      <c r="AB1" s="3503"/>
      <c r="AC1" s="3503"/>
      <c r="AD1" s="3503"/>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502" t="s">
        <v>2818</v>
      </c>
      <c r="S29" s="3503"/>
      <c r="T29" s="3503"/>
      <c r="U29" s="3503"/>
      <c r="V29" s="3503"/>
      <c r="W29" s="3503"/>
      <c r="X29" s="2897"/>
      <c r="Y29" s="3502" t="s">
        <v>2819</v>
      </c>
      <c r="Z29" s="3503"/>
      <c r="AA29" s="3503"/>
      <c r="AB29" s="3503"/>
      <c r="AC29" s="3503"/>
      <c r="AD29" s="3503"/>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5" t="s">
        <v>2830</v>
      </c>
      <c r="B1" s="3515"/>
      <c r="C1" s="3515"/>
      <c r="D1" s="3515"/>
      <c r="E1" s="3515"/>
      <c r="F1" s="3515"/>
      <c r="G1" s="351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1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925</v>
      </c>
      <c r="E3" s="801" t="s">
        <v>931</v>
      </c>
      <c r="F3" s="801" t="s">
        <v>925</v>
      </c>
      <c r="G3" s="801" t="s">
        <v>926</v>
      </c>
      <c r="H3" s="801" t="s">
        <v>925</v>
      </c>
      <c r="I3" s="801" t="s">
        <v>926</v>
      </c>
    </row>
    <row r="4" spans="1:9" ht="15">
      <c r="A4" s="1403" t="str">
        <f>项目基本情况!S2</f>
        <v>北京市房地产</v>
      </c>
      <c r="B4" s="801">
        <f>项目基本情况!C17</f>
        <v>583.70000000000005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4" t="s">
        <v>927</v>
      </c>
      <c r="B5" s="3194"/>
      <c r="C5" s="3194"/>
      <c r="D5" s="3194" t="e">
        <f ca="1">结果表!D119</f>
        <v>#REF!</v>
      </c>
      <c r="E5" s="3194"/>
      <c r="F5" s="3194" t="e">
        <f ca="1">结果表!F119</f>
        <v>#REF!</v>
      </c>
      <c r="G5" s="3194"/>
      <c r="H5" s="3194" t="e">
        <f ca="1">结果表!H119</f>
        <v>#REF!</v>
      </c>
      <c r="I5" s="3194"/>
    </row>
    <row r="6" spans="1:9" ht="15.75">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75">
      <c r="A8" s="3193" t="str">
        <f>结果表!A122</f>
        <v>房地产抵押价值</v>
      </c>
      <c r="B8" s="3193"/>
      <c r="C8" s="3193"/>
      <c r="D8" s="3193" t="e">
        <f ca="1">结果表!D122</f>
        <v>#REF!</v>
      </c>
      <c r="E8" s="3193"/>
      <c r="F8" s="3193"/>
      <c r="G8" s="3193"/>
      <c r="H8" s="3193"/>
      <c r="I8" s="3193"/>
    </row>
    <row r="9" spans="1:9" ht="15">
      <c r="A9" s="3194" t="s">
        <v>927</v>
      </c>
      <c r="B9" s="3194"/>
      <c r="C9" s="3194"/>
      <c r="D9" s="3194" t="e">
        <f ca="1">结果表!D123</f>
        <v>#REF!</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4" t="s">
        <v>956</v>
      </c>
      <c r="B15" s="3209" t="s">
        <v>109</v>
      </c>
      <c r="C15" s="3210"/>
    </row>
    <row r="16" spans="1:7" ht="13.5">
      <c r="A16" s="3215"/>
      <c r="B16" s="3209" t="s">
        <v>42</v>
      </c>
      <c r="C16" s="3210"/>
    </row>
    <row r="17" spans="1:3" ht="13.5">
      <c r="A17" s="3215"/>
      <c r="B17" s="3212" t="s">
        <v>957</v>
      </c>
      <c r="C17" s="1429" t="s">
        <v>956</v>
      </c>
    </row>
    <row r="18" spans="1:3" ht="13.5">
      <c r="A18" s="3215"/>
      <c r="B18" s="3212"/>
      <c r="C18" s="1429" t="s">
        <v>958</v>
      </c>
    </row>
    <row r="19" spans="1:3" ht="13.5">
      <c r="A19" s="3215"/>
      <c r="B19" s="3212"/>
      <c r="C19" s="1429" t="s">
        <v>959</v>
      </c>
    </row>
    <row r="20" spans="1:3" ht="13.5">
      <c r="A20" s="3216"/>
      <c r="B20" s="3211" t="s">
        <v>960</v>
      </c>
      <c r="C20" s="3210"/>
    </row>
    <row r="21" spans="1:3" ht="13.5">
      <c r="A21" s="1430" t="s">
        <v>961</v>
      </c>
      <c r="B21" s="1431"/>
      <c r="C21" s="1432"/>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9" t="s">
        <v>967</v>
      </c>
    </row>
    <row r="26" spans="1:3" ht="13.5">
      <c r="A26" s="3213"/>
      <c r="B26" s="3212"/>
      <c r="C26" s="1429" t="s">
        <v>968</v>
      </c>
    </row>
    <row r="27" spans="1:3" ht="13.5">
      <c r="A27" s="3213"/>
      <c r="B27" s="3212"/>
      <c r="C27" s="1429" t="s">
        <v>969</v>
      </c>
    </row>
    <row r="28" spans="1:3" ht="13.5">
      <c r="A28" s="3213"/>
      <c r="B28" s="3212"/>
      <c r="C28" s="1429" t="s">
        <v>970</v>
      </c>
    </row>
    <row r="29" spans="1:3" ht="13.5">
      <c r="A29" s="3213"/>
      <c r="B29" s="3212"/>
      <c r="C29" s="1429" t="s">
        <v>971</v>
      </c>
    </row>
    <row r="30" spans="1:3" ht="13.5">
      <c r="A30" s="3213"/>
      <c r="B30" s="3212"/>
      <c r="C30" s="1429" t="s">
        <v>972</v>
      </c>
    </row>
    <row r="31" spans="1:3" ht="13.5">
      <c r="A31" s="3213"/>
      <c r="B31" s="3212"/>
      <c r="C31" s="1429" t="s">
        <v>973</v>
      </c>
    </row>
    <row r="32" spans="1:3" ht="13.5">
      <c r="A32" s="3213"/>
      <c r="B32" s="3212"/>
      <c r="C32" s="1429" t="s">
        <v>974</v>
      </c>
    </row>
    <row r="33" spans="1:3" ht="13.5">
      <c r="A33" s="3213"/>
      <c r="B33" s="321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Sheet1</vt:lpstr>
      <vt:lpstr>Sheet3</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2025-06-06T06:37:45Z</dcterms:modified>
</cp:coreProperties>
</file>