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报告用面积表" sheetId="78" r:id="rId46"/>
  </sheets>
  <definedNames>
    <definedName name="_xlnm._FilterDatabase" localSheetId="45" hidden="1">报告用面积表!$A$1:$J$1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D415" i="78"/>
  <c r="D413" i="78"/>
  <c r="E392" i="78"/>
  <c r="B35" i="1" l="1"/>
  <c r="Y6" i="1"/>
  <c r="F144" i="77"/>
  <c r="F143" i="77"/>
  <c r="F142" i="77"/>
  <c r="F141" i="77"/>
  <c r="F138" i="77"/>
  <c r="F137" i="77"/>
  <c r="E132" i="77"/>
  <c r="E129" i="77"/>
  <c r="E128" i="77"/>
  <c r="E126" i="77"/>
  <c r="E125" i="77"/>
  <c r="E2" i="77"/>
  <c r="N6" i="1"/>
  <c r="Y118" i="77" l="1"/>
  <c r="F118" i="77"/>
  <c r="S114" i="77"/>
  <c r="L107" i="77"/>
  <c r="L101" i="77"/>
  <c r="S94" i="77"/>
  <c r="L93" i="77"/>
  <c r="L82" i="77"/>
  <c r="Y80" i="77"/>
  <c r="L73" i="77"/>
  <c r="S72" i="77"/>
  <c r="L65" i="77"/>
  <c r="L57" i="77"/>
  <c r="L51" i="77"/>
  <c r="S43" i="77"/>
  <c r="L43" i="77"/>
  <c r="L37" i="77"/>
  <c r="L27" i="77"/>
  <c r="L20" i="77"/>
  <c r="E1" i="77" s="1"/>
  <c r="I13" i="3" s="1"/>
  <c r="F19" i="6" s="1"/>
  <c r="L13" i="77"/>
  <c r="B7" i="4"/>
  <c r="D1" i="43" l="1"/>
  <c r="G2" i="43"/>
  <c r="C6" i="43"/>
  <c r="G17" i="43"/>
  <c r="H17" i="43"/>
  <c r="I17" i="43"/>
  <c r="J17" i="43"/>
  <c r="C17" i="43"/>
  <c r="C16" i="43"/>
  <c r="C5" i="43" s="1"/>
  <c r="C10" i="43"/>
  <c r="C11" i="43"/>
  <c r="E8" i="43"/>
  <c r="E9" i="43"/>
  <c r="E10" i="43"/>
  <c r="E11" i="43"/>
  <c r="C9" i="43"/>
  <c r="C7" i="43"/>
  <c r="C15" i="43"/>
  <c r="D15" i="43"/>
  <c r="E15" i="43"/>
  <c r="F15" i="43"/>
  <c r="C12" i="43"/>
  <c r="C18" i="43"/>
  <c r="B2" i="1"/>
  <c r="G19" i="43" s="1"/>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19" i="43"/>
  <c r="G20" i="43"/>
  <c r="J20" i="43"/>
  <c r="I20" i="43"/>
  <c r="C20" i="43" s="1"/>
  <c r="AD5" i="3"/>
  <c r="AH5" i="3"/>
  <c r="AL5" i="3"/>
  <c r="AP5" i="3"/>
  <c r="C24" i="43"/>
  <c r="D5" i="43"/>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5" i="71"/>
  <c r="AG5" i="71"/>
  <c r="AE5" i="71"/>
  <c r="AF5" i="71"/>
  <c r="AD5" i="71"/>
  <c r="L3" i="71"/>
  <c r="K3" i="71"/>
  <c r="I3" i="71"/>
  <c r="J3" i="71"/>
  <c r="BB13" i="3"/>
  <c r="BB5" i="3" s="1"/>
  <c r="BC13" i="3"/>
  <c r="BD13" i="3"/>
  <c r="BE13" i="3"/>
  <c r="BF13" i="3"/>
  <c r="BG13" i="3"/>
  <c r="BH13" i="3"/>
  <c r="BI13" i="3"/>
  <c r="BJ13" i="3"/>
  <c r="BK13" i="3"/>
  <c r="BA13" i="3"/>
  <c r="BA5" i="3" s="1"/>
  <c r="BM13" i="3"/>
  <c r="BN13" i="3"/>
  <c r="BL13" i="3" s="1"/>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s="1"/>
  <c r="J53"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16" i="49" s="1"/>
  <c r="B40" i="48"/>
  <c r="B3" i="72"/>
  <c r="I2" i="43"/>
  <c r="N1" i="43"/>
  <c r="F35" i="4"/>
  <c r="J55" i="39"/>
  <c r="H34" i="43"/>
  <c r="H35" i="43"/>
  <c r="H36" i="43"/>
  <c r="H37" i="43"/>
  <c r="H38" i="43"/>
  <c r="H39" i="43"/>
  <c r="A7" i="43"/>
  <c r="F33" i="15"/>
  <c r="F61" i="15" s="1"/>
  <c r="M19" i="15"/>
  <c r="O10" i="1"/>
  <c r="B22" i="1"/>
  <c r="B23" i="1"/>
  <c r="B24" i="1"/>
  <c r="B43" i="1"/>
  <c r="D78" i="9"/>
  <c r="E19" i="6"/>
  <c r="K6" i="1" s="1"/>
  <c r="M6" i="1" s="1"/>
  <c r="O6" i="1" s="1"/>
  <c r="E20" i="6"/>
  <c r="E21" i="6"/>
  <c r="K8" i="1"/>
  <c r="M8" i="1" s="1"/>
  <c r="F23" i="15"/>
  <c r="D24" i="15"/>
  <c r="M13" i="1"/>
  <c r="O13" i="1" s="1"/>
  <c r="P13" i="1" s="1"/>
  <c r="E22" i="6"/>
  <c r="E23" i="6"/>
  <c r="E24" i="6"/>
  <c r="E25" i="6"/>
  <c r="E26" i="6"/>
  <c r="BC10" i="3"/>
  <c r="BD10" i="3"/>
  <c r="BB10" i="3"/>
  <c r="I5" i="3"/>
  <c r="I4" i="6" s="1"/>
  <c r="G3" i="43" s="1"/>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s="1"/>
  <c r="S11" i="39"/>
  <c r="G4" i="4"/>
  <c r="I4" i="4"/>
  <c r="K5" i="4"/>
  <c r="B47" i="48" s="1"/>
  <c r="A2" i="9"/>
  <c r="N2" i="43"/>
  <c r="F59" i="43"/>
  <c r="BO5" i="3"/>
  <c r="BM5" i="3"/>
  <c r="F29" i="6"/>
  <c r="BJ5" i="3"/>
  <c r="BH5" i="3"/>
  <c r="BF5" i="3"/>
  <c r="BD5" i="3"/>
  <c r="BQ5" i="3"/>
  <c r="AC5" i="3"/>
  <c r="BS5" i="3"/>
  <c r="BP5" i="3"/>
  <c r="BN5" i="3"/>
  <c r="BK5" i="3"/>
  <c r="BI5" i="3"/>
  <c r="BG5" i="3"/>
  <c r="BE5" i="3"/>
  <c r="BC5" i="3"/>
  <c r="BT5" i="3"/>
  <c r="BR5" i="3"/>
  <c r="G28" i="6" s="1"/>
  <c r="U36" i="40"/>
  <c r="N4" i="43"/>
  <c r="F81" i="43"/>
  <c r="H83" i="43"/>
  <c r="F48" i="43"/>
  <c r="H52" i="43"/>
  <c r="N7" i="43"/>
  <c r="F70" i="43"/>
  <c r="H73" i="43"/>
  <c r="M6" i="43"/>
  <c r="M11" i="43"/>
  <c r="E17" i="43"/>
  <c r="F6" i="1"/>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13" i="6"/>
  <c r="E58" i="40" s="1"/>
  <c r="G29" i="6"/>
  <c r="E29" i="6" s="1"/>
  <c r="K15" i="1" s="1"/>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s="1"/>
  <c r="P12" i="1" s="1"/>
  <c r="S13" i="1"/>
  <c r="R13" i="1"/>
  <c r="S11" i="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E10" i="6"/>
  <c r="E11" i="6"/>
  <c r="E61" i="39" s="1"/>
  <c r="J56" i="9"/>
  <c r="J57" i="9"/>
  <c r="J59" i="9" s="1"/>
  <c r="J61" i="9" s="1"/>
  <c r="A24" i="51"/>
  <c r="B18" i="72"/>
  <c r="U29" i="34"/>
  <c r="E5" i="6"/>
  <c r="D9" i="11" s="1"/>
  <c r="C9" i="11" s="1"/>
  <c r="P10" i="1"/>
  <c r="E32" i="6"/>
  <c r="G1" i="68"/>
  <c r="K1" i="12"/>
  <c r="F30" i="6"/>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T35" i="4"/>
  <c r="A19" i="51"/>
  <c r="B14" i="72"/>
  <c r="C46" i="36"/>
  <c r="D46" i="36"/>
  <c r="E46" i="36" s="1"/>
  <c r="C59" i="34"/>
  <c r="D59" i="34" s="1"/>
  <c r="E59" i="34" s="1"/>
  <c r="F59" i="34" s="1"/>
  <c r="C52" i="37"/>
  <c r="D52" i="37" s="1"/>
  <c r="A4" i="51"/>
  <c r="B6" i="72" s="1"/>
  <c r="C48" i="35"/>
  <c r="D48" i="35" s="1"/>
  <c r="C58" i="21"/>
  <c r="D58" i="21" s="1"/>
  <c r="E58" i="21" s="1"/>
  <c r="F58" i="21" s="1"/>
  <c r="G58" i="21" s="1"/>
  <c r="C4" i="12"/>
  <c r="H62" i="43"/>
  <c r="H66" i="43"/>
  <c r="H61" i="43"/>
  <c r="H65" i="43"/>
  <c r="H60" i="43"/>
  <c r="H64" i="43"/>
  <c r="H59" i="43"/>
  <c r="H63" i="43"/>
  <c r="H67" i="43"/>
  <c r="H55" i="43"/>
  <c r="H51" i="43"/>
  <c r="H56" i="43"/>
  <c r="H76" i="43"/>
  <c r="H72" i="43"/>
  <c r="H77" i="43"/>
  <c r="L20" i="6"/>
  <c r="B6" i="1"/>
  <c r="E6" i="1" s="1"/>
  <c r="S8" i="1"/>
  <c r="AQ8" i="1" s="1"/>
  <c r="K11" i="1"/>
  <c r="M11" i="1" s="1"/>
  <c r="AP6" i="1"/>
  <c r="C36" i="69"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E6" i="49"/>
  <c r="B9" i="49"/>
  <c r="E16" i="49"/>
  <c r="E8" i="49"/>
  <c r="E10" i="49"/>
  <c r="E5" i="49"/>
  <c r="B4" i="49"/>
  <c r="E4" i="49"/>
  <c r="J53" i="67"/>
  <c r="AQ13" i="1"/>
  <c r="E63" i="39"/>
  <c r="AQ9" i="1"/>
  <c r="T9" i="1"/>
  <c r="E69" i="3"/>
  <c r="E237" i="3"/>
  <c r="E114" i="3"/>
  <c r="E261" i="3"/>
  <c r="E278" i="3"/>
  <c r="E304" i="3"/>
  <c r="E415" i="3"/>
  <c r="E528" i="3"/>
  <c r="E563" i="3"/>
  <c r="E565" i="3"/>
  <c r="E395" i="3"/>
  <c r="E183" i="3"/>
  <c r="E172" i="3"/>
  <c r="E213" i="3"/>
  <c r="E260" i="3"/>
  <c r="E361" i="3"/>
  <c r="E445" i="3"/>
  <c r="E17" i="3"/>
  <c r="E550" i="3"/>
  <c r="E503" i="3"/>
  <c r="E535" i="3"/>
  <c r="E302" i="3"/>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C65" i="40"/>
  <c r="D63" i="40"/>
  <c r="AP7" i="1"/>
  <c r="M7" i="1"/>
  <c r="O7" i="1" s="1"/>
  <c r="P7" i="1" s="1"/>
  <c r="Q16" i="1"/>
  <c r="F27" i="69" s="1"/>
  <c r="H16" i="1"/>
  <c r="AB45" i="21"/>
  <c r="AC33" i="21"/>
  <c r="W33" i="21"/>
  <c r="S33" i="21"/>
  <c r="AA33" i="21"/>
  <c r="W32" i="21"/>
  <c r="AC32" i="21"/>
  <c r="AB9" i="21"/>
  <c r="U9" i="21"/>
  <c r="AA32" i="21"/>
  <c r="S32" i="21"/>
  <c r="W9" i="21"/>
  <c r="AC9" i="21"/>
  <c r="AB32" i="21"/>
  <c r="U32" i="21"/>
  <c r="AA10" i="21"/>
  <c r="S10" i="21"/>
  <c r="T7" i="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8" i="12"/>
  <c r="G59" i="34"/>
  <c r="H59" i="34" s="1"/>
  <c r="I59" i="34" s="1"/>
  <c r="H58" i="21"/>
  <c r="I58" i="21" s="1"/>
  <c r="J58" i="21"/>
  <c r="K58" i="21" s="1"/>
  <c r="L58" i="21" s="1"/>
  <c r="E63" i="40"/>
  <c r="D65" i="40"/>
  <c r="G39" i="43"/>
  <c r="I39" i="43" s="1"/>
  <c r="F27" i="11"/>
  <c r="F1" i="67"/>
  <c r="Q52" i="67"/>
  <c r="AC11" i="37"/>
  <c r="W11" i="37"/>
  <c r="W11" i="34"/>
  <c r="AC11" i="34"/>
  <c r="R7" i="1"/>
  <c r="F34" i="11"/>
  <c r="F11" i="12"/>
  <c r="F34" i="68"/>
  <c r="C36" i="68" s="1"/>
  <c r="F63" i="40"/>
  <c r="E65" i="40"/>
  <c r="R8" i="1"/>
  <c r="G63" i="40"/>
  <c r="G65" i="40" s="1"/>
  <c r="F65" i="40"/>
  <c r="H63" i="40"/>
  <c r="H65" i="40" s="1"/>
  <c r="I63" i="40"/>
  <c r="I65" i="40" s="1"/>
  <c r="J63" i="40"/>
  <c r="K63" i="40" s="1"/>
  <c r="K65" i="40" s="1"/>
  <c r="J65" i="40"/>
  <c r="E2" i="70"/>
  <c r="AE7" i="1"/>
  <c r="AE8" i="1"/>
  <c r="AG6" i="1"/>
  <c r="H109" i="9"/>
  <c r="H110" i="9"/>
  <c r="D18" i="53"/>
  <c r="B35" i="72" s="1"/>
  <c r="D124" i="9"/>
  <c r="H14" i="74" s="1"/>
  <c r="B7" i="74" s="1"/>
  <c r="D16" i="53"/>
  <c r="B34" i="72"/>
  <c r="D10" i="5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c r="I14" i="74" s="1"/>
  <c r="B8" i="74" s="1"/>
  <c r="D19" i="53"/>
  <c r="D59" i="9"/>
  <c r="M55" i="9"/>
  <c r="B38" i="72"/>
  <c r="D20" i="53"/>
  <c r="B40" i="72"/>
  <c r="AD3" i="71"/>
  <c r="P21" i="43"/>
  <c r="P22" i="43"/>
  <c r="P23" i="43"/>
  <c r="B71" i="39" s="1"/>
  <c r="P24" i="43"/>
  <c r="B66" i="40" s="1"/>
  <c r="P25" i="43"/>
  <c r="E11" i="76"/>
  <c r="B13" i="76"/>
  <c r="F6" i="73"/>
  <c r="AO13" i="1"/>
  <c r="M6" i="15"/>
  <c r="F13" i="67"/>
  <c r="F37" i="15"/>
  <c r="F40" i="15"/>
  <c r="F38" i="67"/>
  <c r="M26" i="15"/>
  <c r="E8" i="76"/>
  <c r="B10" i="76"/>
  <c r="D6" i="73"/>
  <c r="AO10" i="1"/>
  <c r="M23" i="15"/>
  <c r="F9" i="15"/>
  <c r="F43" i="67"/>
  <c r="M8" i="15"/>
  <c r="L48" i="15"/>
  <c r="M29" i="67"/>
  <c r="F31" i="15"/>
  <c r="C14" i="15"/>
  <c r="F20" i="31"/>
  <c r="AO8" i="1"/>
  <c r="M27" i="15"/>
  <c r="E9" i="76"/>
  <c r="B11" i="76"/>
  <c r="D5" i="73"/>
  <c r="AO9" i="1"/>
  <c r="M24" i="67"/>
  <c r="F26" i="67"/>
  <c r="L48" i="67"/>
  <c r="J15" i="67"/>
  <c r="F26" i="15"/>
  <c r="M28" i="67"/>
  <c r="M23" i="67"/>
  <c r="B12" i="76"/>
  <c r="D3" i="73"/>
  <c r="AO11" i="1"/>
  <c r="F6" i="67"/>
  <c r="F42" i="15"/>
  <c r="M6" i="67"/>
  <c r="C76" i="15"/>
  <c r="F37" i="67"/>
  <c r="M8" i="67"/>
  <c r="F41" i="67"/>
  <c r="M27" i="67"/>
  <c r="G1" i="73"/>
  <c r="D2" i="36"/>
  <c r="E2" i="69"/>
  <c r="E7" i="76"/>
  <c r="B8" i="76"/>
  <c r="F7" i="73"/>
  <c r="D7" i="73"/>
  <c r="C76" i="67"/>
  <c r="M26" i="67"/>
  <c r="F6" i="15"/>
  <c r="L47" i="15"/>
  <c r="L47" i="67"/>
  <c r="F40" i="67"/>
  <c r="M29" i="15"/>
  <c r="E12" i="76"/>
  <c r="F5" i="73"/>
  <c r="D4" i="73"/>
  <c r="F7" i="15"/>
  <c r="F38" i="15"/>
  <c r="J15" i="15"/>
  <c r="M9" i="15"/>
  <c r="M22" i="67"/>
  <c r="F36" i="67"/>
  <c r="F42" i="67"/>
  <c r="F35" i="67"/>
  <c r="AO7" i="1"/>
  <c r="E2" i="68"/>
  <c r="D2" i="34"/>
  <c r="D2" i="21"/>
  <c r="D34" i="9"/>
  <c r="E13" i="76"/>
  <c r="B7" i="76"/>
  <c r="F4" i="73"/>
  <c r="AO12" i="1"/>
  <c r="M22" i="15"/>
  <c r="M28" i="15"/>
  <c r="F36" i="15"/>
  <c r="F8" i="15"/>
  <c r="F16" i="15"/>
  <c r="F9" i="67"/>
  <c r="E10" i="76"/>
  <c r="B9" i="76"/>
  <c r="F3" i="73"/>
  <c r="M24" i="15"/>
  <c r="F8" i="67"/>
  <c r="F7" i="67"/>
  <c r="F16" i="67"/>
  <c r="F13" i="15"/>
  <c r="F43" i="15"/>
  <c r="F31" i="67"/>
  <c r="D2" i="33"/>
  <c r="D2" i="35"/>
  <c r="M9" i="67"/>
  <c r="M21" i="67"/>
  <c r="D2" i="37"/>
  <c r="D35" i="9"/>
  <c r="C94" i="9" l="1"/>
  <c r="C92" i="9"/>
  <c r="F32" i="15"/>
  <c r="F60" i="15" s="1"/>
  <c r="F31" i="12"/>
  <c r="C31" i="12" s="1"/>
  <c r="F32" i="67"/>
  <c r="F60" i="67" s="1"/>
  <c r="F30" i="11"/>
  <c r="D68" i="9"/>
  <c r="M18" i="15"/>
  <c r="F30" i="69"/>
  <c r="F28" i="67"/>
  <c r="C28" i="67" s="1"/>
  <c r="F30" i="68"/>
  <c r="F54" i="9"/>
  <c r="C24" i="12"/>
  <c r="C29" i="12" s="1"/>
  <c r="D28" i="12" s="1"/>
  <c r="F28" i="15"/>
  <c r="C28" i="15" s="1"/>
  <c r="M18" i="67"/>
  <c r="F52" i="9"/>
  <c r="C29" i="11"/>
  <c r="D27" i="11" s="1"/>
  <c r="C40" i="68"/>
  <c r="C40" i="69"/>
  <c r="C47" i="69" s="1"/>
  <c r="D45" i="69" s="1"/>
  <c r="F1" i="15"/>
  <c r="Q52" i="15"/>
  <c r="P61" i="15"/>
  <c r="E60" i="40"/>
  <c r="E65" i="39"/>
  <c r="AQ11" i="1"/>
  <c r="T11" i="1"/>
  <c r="AR11" i="1"/>
  <c r="AR13" i="1"/>
  <c r="T13" i="1"/>
  <c r="B23" i="49"/>
  <c r="B22" i="49"/>
  <c r="B7" i="49"/>
  <c r="B14" i="49"/>
  <c r="E22" i="49"/>
  <c r="B5" i="49"/>
  <c r="E4" i="4" s="1"/>
  <c r="B5" i="62" s="1"/>
  <c r="B73" i="72" s="1"/>
  <c r="B13" i="49"/>
  <c r="B11" i="49"/>
  <c r="E21" i="49"/>
  <c r="E9" i="49"/>
  <c r="B6" i="49"/>
  <c r="B8" i="49"/>
  <c r="C4" i="4" s="1"/>
  <c r="B4" i="62" s="1"/>
  <c r="B71" i="72" s="1"/>
  <c r="E11" i="4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8" i="6"/>
  <c r="E12" i="6"/>
  <c r="E14" i="6"/>
  <c r="G30" i="6"/>
  <c r="G31" i="6" s="1"/>
  <c r="E28" i="6"/>
  <c r="AZ13" i="3"/>
  <c r="AZ5" i="3" s="1"/>
  <c r="E3" i="6" s="1"/>
  <c r="BL5" i="3"/>
  <c r="L19" i="6"/>
  <c r="L27" i="6"/>
  <c r="C47" i="11"/>
  <c r="D45" i="11" s="1"/>
  <c r="F27" i="68"/>
  <c r="C29" i="68" s="1"/>
  <c r="D27" i="68" s="1"/>
  <c r="F27" i="6"/>
  <c r="F31" i="6" s="1"/>
  <c r="E51" i="40"/>
  <c r="E56" i="39"/>
  <c r="C36" i="11"/>
  <c r="D9" i="68"/>
  <c r="D19" i="12"/>
  <c r="C19" i="12" s="1"/>
  <c r="D9" i="69"/>
  <c r="C9" i="69" s="1"/>
  <c r="E56" i="40"/>
  <c r="O9" i="1"/>
  <c r="P9" i="1" s="1"/>
  <c r="P6" i="1"/>
  <c r="C13" i="12" s="1"/>
  <c r="O11" i="1"/>
  <c r="O8" i="1"/>
  <c r="P8" i="1"/>
  <c r="B113" i="43"/>
  <c r="G22" i="43"/>
  <c r="K101" i="43"/>
  <c r="F101" i="43"/>
  <c r="N101" i="43"/>
  <c r="G101" i="43"/>
  <c r="J101" i="43"/>
  <c r="N104" i="46"/>
  <c r="H22" i="43"/>
  <c r="M101" i="43"/>
  <c r="I101" i="43"/>
  <c r="E101" i="43"/>
  <c r="C101" i="43"/>
  <c r="E22" i="43"/>
  <c r="D101" i="43"/>
  <c r="F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H10" i="40" s="1"/>
  <c r="D12" i="52"/>
  <c r="D127" i="9"/>
  <c r="D13" i="52" s="1"/>
  <c r="C23" i="12"/>
  <c r="C29" i="69"/>
  <c r="D27" i="69" s="1"/>
  <c r="E53" i="33"/>
  <c r="F53" i="33" s="1"/>
  <c r="G52" i="33"/>
  <c r="H52" i="33" s="1"/>
  <c r="W7" i="33"/>
  <c r="AC7" i="33"/>
  <c r="V48" i="33" s="1"/>
  <c r="I48" i="33" s="1"/>
  <c r="L63" i="40"/>
  <c r="M58" i="21"/>
  <c r="J59" i="34"/>
  <c r="E48" i="35"/>
  <c r="F48" i="35" s="1"/>
  <c r="G48" i="35" s="1"/>
  <c r="H48" i="35" s="1"/>
  <c r="I48" i="35" s="1"/>
  <c r="J48" i="35" s="1"/>
  <c r="K48" i="35" s="1"/>
  <c r="L48" i="35" s="1"/>
  <c r="M48" i="35" s="1"/>
  <c r="N48" i="35" s="1"/>
  <c r="O48" i="35" s="1"/>
  <c r="C70" i="39"/>
  <c r="D68" i="39"/>
  <c r="E52" i="37"/>
  <c r="F52" i="37" s="1"/>
  <c r="G52" i="37" s="1"/>
  <c r="H52" i="37" s="1"/>
  <c r="I52" i="37" s="1"/>
  <c r="J52" i="37" s="1"/>
  <c r="K52" i="37" s="1"/>
  <c r="L52" i="37" s="1"/>
  <c r="M52" i="37" s="1"/>
  <c r="N52" i="37" s="1"/>
  <c r="O52" i="37" s="1"/>
  <c r="J7" i="37"/>
  <c r="H7" i="37"/>
  <c r="F7" i="37"/>
  <c r="F46" i="36"/>
  <c r="M20" i="43"/>
  <c r="C19" i="43" s="1"/>
  <c r="O19" i="43"/>
  <c r="B8" i="70"/>
  <c r="B20" i="31"/>
  <c r="B7" i="70"/>
  <c r="F69" i="67"/>
  <c r="C18" i="15"/>
  <c r="C15" i="15"/>
  <c r="J20" i="67"/>
  <c r="F63" i="67"/>
  <c r="C62" i="67" s="1"/>
  <c r="C34" i="67"/>
  <c r="B40" i="1"/>
  <c r="F70" i="67"/>
  <c r="F71" i="15"/>
  <c r="F64" i="67"/>
  <c r="F65" i="67"/>
  <c r="I54" i="15"/>
  <c r="L56" i="15"/>
  <c r="J57" i="15"/>
  <c r="J55" i="15" s="1"/>
  <c r="J58" i="15" s="1"/>
  <c r="Q50" i="15" s="1"/>
  <c r="Q71" i="15"/>
  <c r="F71" i="67"/>
  <c r="F50" i="67"/>
  <c r="M7" i="67"/>
  <c r="F66" i="15"/>
  <c r="F51" i="67"/>
  <c r="C6" i="67"/>
  <c r="F50" i="15"/>
  <c r="M7" i="15"/>
  <c r="B10" i="70"/>
  <c r="B11" i="70"/>
  <c r="E20" i="43"/>
  <c r="F68" i="67"/>
  <c r="F66" i="67"/>
  <c r="C27" i="15"/>
  <c r="L58" i="67"/>
  <c r="L59" i="67"/>
  <c r="N59" i="67"/>
  <c r="M59" i="67"/>
  <c r="F51" i="15"/>
  <c r="F68" i="15"/>
  <c r="M59" i="15"/>
  <c r="L58" i="15"/>
  <c r="N59" i="15"/>
  <c r="L59" i="15"/>
  <c r="F64" i="15"/>
  <c r="F65" i="15"/>
  <c r="I54" i="67"/>
  <c r="L56" i="67"/>
  <c r="J57" i="67"/>
  <c r="J55" i="67" s="1"/>
  <c r="J58" i="67" s="1"/>
  <c r="Q50" i="67" s="1"/>
  <c r="C6" i="15"/>
  <c r="C27" i="67"/>
  <c r="J6" i="15"/>
  <c r="Q71" i="67"/>
  <c r="B12" i="70"/>
  <c r="B13" i="70"/>
  <c r="B9" i="70"/>
  <c r="I1" i="73"/>
  <c r="B39" i="1" s="1"/>
  <c r="AE6" i="1"/>
  <c r="M17" i="15"/>
  <c r="M17" i="67"/>
  <c r="F59" i="67"/>
  <c r="C14" i="67"/>
  <c r="C16" i="67"/>
  <c r="C16" i="15"/>
  <c r="F59" i="15"/>
  <c r="C17" i="67"/>
  <c r="C17" i="15"/>
  <c r="H6" i="3" l="1"/>
  <c r="AC6" i="3"/>
  <c r="C48" i="11"/>
  <c r="C30" i="11"/>
  <c r="C30" i="68"/>
  <c r="C48" i="68"/>
  <c r="C48" i="69"/>
  <c r="C30" i="69"/>
  <c r="F10" i="39"/>
  <c r="K4" i="4"/>
  <c r="B46" i="48" s="1"/>
  <c r="B4" i="72" s="1"/>
  <c r="C47" i="68"/>
  <c r="D45" i="68" s="1"/>
  <c r="E57" i="40"/>
  <c r="E62" i="39"/>
  <c r="E66" i="39" s="1"/>
  <c r="E16" i="6"/>
  <c r="AY6" i="3"/>
  <c r="E64" i="39"/>
  <c r="E59" i="40"/>
  <c r="M18" i="9"/>
  <c r="B118" i="9" s="1"/>
  <c r="B14" i="74" s="1"/>
  <c r="B1" i="74" s="1"/>
  <c r="D3" i="34"/>
  <c r="D3" i="33"/>
  <c r="B2" i="33" s="1"/>
  <c r="B3" i="33" s="1"/>
  <c r="E6" i="6"/>
  <c r="L18" i="9"/>
  <c r="D3" i="37"/>
  <c r="C17" i="4"/>
  <c r="B4" i="52" s="1"/>
  <c r="B43" i="72" s="1"/>
  <c r="D14" i="12"/>
  <c r="D3" i="21"/>
  <c r="D19" i="11"/>
  <c r="C19" i="11" s="1"/>
  <c r="D37" i="11"/>
  <c r="C37" i="11" s="1"/>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67" i="3"/>
  <c r="AY139" i="3"/>
  <c r="AY123" i="3"/>
  <c r="AY252" i="3"/>
  <c r="AY489" i="3"/>
  <c r="AY43" i="3"/>
  <c r="AY379" i="3"/>
  <c r="AY436" i="3"/>
  <c r="AY540" i="3"/>
  <c r="AY105" i="3"/>
  <c r="AY69" i="3"/>
  <c r="AY52" i="3"/>
  <c r="AY198" i="3"/>
  <c r="AY162" i="3"/>
  <c r="AY141" i="3"/>
  <c r="AY291" i="3"/>
  <c r="AY255" i="3"/>
  <c r="AY238"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03" i="3"/>
  <c r="AY50" i="3"/>
  <c r="AY160" i="3"/>
  <c r="AY289" i="3"/>
  <c r="AY183" i="3"/>
  <c r="AY261" i="3"/>
  <c r="AY284" i="3"/>
  <c r="AY209" i="3"/>
  <c r="AY319" i="3"/>
  <c r="AY455" i="3"/>
  <c r="AY497" i="3"/>
  <c r="AY116" i="3"/>
  <c r="AY212" i="3"/>
  <c r="AY343" i="3"/>
  <c r="AY478" i="3"/>
  <c r="AY417" i="3"/>
  <c r="AY573" i="3"/>
  <c r="BO6" i="3"/>
  <c r="AY555" i="3"/>
  <c r="AY89" i="3"/>
  <c r="AY85" i="3"/>
  <c r="AY53" i="3"/>
  <c r="AY68" i="3"/>
  <c r="AY36" i="3"/>
  <c r="AY25" i="3"/>
  <c r="AY182" i="3"/>
  <c r="AY146" i="3"/>
  <c r="AY126" i="3"/>
  <c r="AY302" i="3"/>
  <c r="AY239"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0" i="3"/>
  <c r="AY301" i="3"/>
  <c r="AY296" i="3"/>
  <c r="AY265" i="3"/>
  <c r="AY233" i="3"/>
  <c r="AY248" i="3"/>
  <c r="AY216" i="3"/>
  <c r="AY394" i="3"/>
  <c r="AY383" i="3"/>
  <c r="AY359" i="3"/>
  <c r="AY178" i="3"/>
  <c r="AY157" i="3"/>
  <c r="AY117" i="3"/>
  <c r="AY271" i="3"/>
  <c r="AY254"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127" i="3"/>
  <c r="AY285" i="3"/>
  <c r="AY280" i="3"/>
  <c r="AY249" i="3"/>
  <c r="AY264" i="3"/>
  <c r="AY232" i="3"/>
  <c r="AY221" i="3"/>
  <c r="AY378" i="3"/>
  <c r="AY376" i="3"/>
  <c r="AY362" i="3"/>
  <c r="AY331" i="3"/>
  <c r="AY346" i="3"/>
  <c r="AY314" i="3"/>
  <c r="AY347" i="3"/>
  <c r="AY330"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15"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30" i="6"/>
  <c r="K14" i="1"/>
  <c r="E27" i="6"/>
  <c r="C9" i="68"/>
  <c r="P11" i="1"/>
  <c r="H107" i="43"/>
  <c r="H103" i="43"/>
  <c r="H104" i="43"/>
  <c r="H109" i="43"/>
  <c r="H102" i="43"/>
  <c r="H106" i="43"/>
  <c r="H105" i="43"/>
  <c r="D22" i="43"/>
  <c r="E104" i="43"/>
  <c r="E107" i="43"/>
  <c r="E105" i="43"/>
  <c r="E106" i="43"/>
  <c r="E102" i="43"/>
  <c r="E103" i="43"/>
  <c r="E109" i="43"/>
  <c r="M109" i="43"/>
  <c r="M104" i="43"/>
  <c r="M107" i="43"/>
  <c r="M105" i="43"/>
  <c r="M102" i="43"/>
  <c r="M103" i="43"/>
  <c r="M106" i="43"/>
  <c r="G102" i="43"/>
  <c r="G107" i="43"/>
  <c r="G104" i="43"/>
  <c r="G105" i="43"/>
  <c r="G103" i="43"/>
  <c r="G106" i="43"/>
  <c r="G109" i="43"/>
  <c r="F107" i="43"/>
  <c r="F106" i="43"/>
  <c r="F105" i="43"/>
  <c r="F109" i="43"/>
  <c r="F104" i="43"/>
  <c r="F102" i="43"/>
  <c r="F103" i="43"/>
  <c r="L109" i="43"/>
  <c r="L106" i="43"/>
  <c r="L107" i="43"/>
  <c r="L103" i="43"/>
  <c r="L102" i="43"/>
  <c r="L105" i="43"/>
  <c r="L104" i="43"/>
  <c r="D102" i="43"/>
  <c r="D104" i="43"/>
  <c r="D106" i="43"/>
  <c r="D103" i="43"/>
  <c r="D105" i="43"/>
  <c r="D107" i="43"/>
  <c r="D109" i="43"/>
  <c r="C102" i="43"/>
  <c r="C104" i="43"/>
  <c r="C106" i="43"/>
  <c r="C103" i="43"/>
  <c r="C105" i="43"/>
  <c r="C107" i="43"/>
  <c r="C109" i="43"/>
  <c r="I109" i="43"/>
  <c r="I104" i="43"/>
  <c r="I107" i="43"/>
  <c r="I105" i="43"/>
  <c r="I102" i="43"/>
  <c r="I106" i="43"/>
  <c r="I103" i="43"/>
  <c r="J105" i="43"/>
  <c r="J103" i="43"/>
  <c r="J109" i="43"/>
  <c r="J104" i="43"/>
  <c r="J107" i="43"/>
  <c r="J102" i="43"/>
  <c r="J106" i="43"/>
  <c r="N103" i="43"/>
  <c r="N106" i="43"/>
  <c r="N104" i="43"/>
  <c r="N109" i="43"/>
  <c r="N102" i="43"/>
  <c r="N105" i="43"/>
  <c r="N107" i="43"/>
  <c r="K102" i="43"/>
  <c r="K106" i="43"/>
  <c r="K103" i="43"/>
  <c r="K107" i="43"/>
  <c r="K104" i="43"/>
  <c r="K105" i="43"/>
  <c r="K109" i="43"/>
  <c r="D116" i="43"/>
  <c r="E116" i="43" s="1"/>
  <c r="F116" i="43" s="1"/>
  <c r="G116" i="43" s="1"/>
  <c r="H116" i="43" s="1"/>
  <c r="D118" i="43"/>
  <c r="E118" i="43" s="1"/>
  <c r="F118" i="43" s="1"/>
  <c r="G118" i="43"/>
  <c r="H118" i="43" s="1"/>
  <c r="I117" i="43"/>
  <c r="J117" i="43" s="1"/>
  <c r="K117" i="43" s="1"/>
  <c r="L117" i="43" s="1"/>
  <c r="M117" i="43" s="1"/>
  <c r="I116" i="43"/>
  <c r="J116" i="43" s="1"/>
  <c r="K116" i="43" s="1"/>
  <c r="L116" i="43" s="1"/>
  <c r="M116" i="43" s="1"/>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C49" i="67"/>
  <c r="J10" i="40"/>
  <c r="J10" i="39"/>
  <c r="F10" i="40"/>
  <c r="H10" i="39"/>
  <c r="C49" i="15"/>
  <c r="C33" i="43"/>
  <c r="C34" i="43"/>
  <c r="C35" i="43"/>
  <c r="C36" i="43"/>
  <c r="C37" i="43"/>
  <c r="C38" i="43"/>
  <c r="C39" i="43"/>
  <c r="E39" i="43" s="1"/>
  <c r="T11" i="43"/>
  <c r="V11" i="43" s="1"/>
  <c r="T16" i="43"/>
  <c r="V16" i="43" s="1"/>
  <c r="T14" i="43"/>
  <c r="V14" i="43" s="1"/>
  <c r="T12" i="43"/>
  <c r="V12" i="43" s="1"/>
  <c r="T9" i="43"/>
  <c r="V9" i="43" s="1"/>
  <c r="T8" i="43"/>
  <c r="V8" i="43" s="1"/>
  <c r="T15" i="43"/>
  <c r="V15" i="43" s="1"/>
  <c r="T13" i="43"/>
  <c r="V13" i="43" s="1"/>
  <c r="T10" i="43"/>
  <c r="V10" i="43" s="1"/>
  <c r="G46" i="36"/>
  <c r="H46" i="36" s="1"/>
  <c r="I46" i="36" s="1"/>
  <c r="J46" i="36" s="1"/>
  <c r="K46" i="36" s="1"/>
  <c r="L46" i="36" s="1"/>
  <c r="M46" i="36" s="1"/>
  <c r="N46" i="36" s="1"/>
  <c r="O46" i="36" s="1"/>
  <c r="AA7" i="37"/>
  <c r="R42" i="37" s="1"/>
  <c r="S7" i="37"/>
  <c r="W7" i="37"/>
  <c r="AC7" i="37"/>
  <c r="V42" i="37" s="1"/>
  <c r="I42" i="37" s="1"/>
  <c r="U10" i="40"/>
  <c r="AB10" i="40"/>
  <c r="H7" i="35"/>
  <c r="K59" i="34"/>
  <c r="N58" i="21"/>
  <c r="O58" i="21" s="1"/>
  <c r="J7" i="21"/>
  <c r="M63" i="40"/>
  <c r="L65" i="40"/>
  <c r="H7" i="36"/>
  <c r="U7" i="37"/>
  <c r="AB7" i="37"/>
  <c r="T42" i="37" s="1"/>
  <c r="G42" i="37" s="1"/>
  <c r="S10" i="39"/>
  <c r="AA10" i="39"/>
  <c r="D70" i="39"/>
  <c r="E68" i="39"/>
  <c r="J7" i="35"/>
  <c r="F7" i="35"/>
  <c r="F7" i="21"/>
  <c r="I53" i="33"/>
  <c r="J53" i="33" s="1"/>
  <c r="I52" i="33"/>
  <c r="J52" i="33" s="1"/>
  <c r="G53" i="33"/>
  <c r="H53" i="33" s="1"/>
  <c r="C15" i="67"/>
  <c r="C18" i="67"/>
  <c r="C19" i="15"/>
  <c r="M11" i="15"/>
  <c r="J10" i="15" s="1"/>
  <c r="J5" i="15" s="1"/>
  <c r="M11" i="67"/>
  <c r="J10" i="67" s="1"/>
  <c r="F11" i="15"/>
  <c r="F11" i="67"/>
  <c r="Q73" i="67"/>
  <c r="Q60" i="67"/>
  <c r="O17" i="43"/>
  <c r="M17" i="43"/>
  <c r="P17" i="43"/>
  <c r="N17" i="43"/>
  <c r="J6" i="67"/>
  <c r="F25" i="12"/>
  <c r="C26" i="12" s="1"/>
  <c r="D25" i="12" s="1"/>
  <c r="F24" i="67"/>
  <c r="C24" i="67" s="1"/>
  <c r="F22" i="68"/>
  <c r="F24" i="15"/>
  <c r="C24" i="15" s="1"/>
  <c r="F22" i="69"/>
  <c r="F22" i="11"/>
  <c r="Q74" i="15"/>
  <c r="Q61" i="15"/>
  <c r="Q73" i="15"/>
  <c r="Q60" i="15"/>
  <c r="Q61" i="67"/>
  <c r="Q74" i="67"/>
  <c r="F41" i="15"/>
  <c r="E6" i="3" l="1"/>
  <c r="F69" i="15"/>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82" i="3"/>
  <c r="AY191" i="3"/>
  <c r="AY132" i="3"/>
  <c r="AY31" i="3"/>
  <c r="AY292" i="3"/>
  <c r="AY147" i="3"/>
  <c r="AY220" i="3"/>
  <c r="AY350" i="3"/>
  <c r="AY486" i="3"/>
  <c r="AY425" i="3"/>
  <c r="AY199" i="3"/>
  <c r="AY244" i="3"/>
  <c r="AY355" i="3"/>
  <c r="AY481" i="3"/>
  <c r="AY404" i="3"/>
  <c r="AY562" i="3"/>
  <c r="AY533" i="3"/>
  <c r="BE6" i="3"/>
  <c r="AY97" i="3"/>
  <c r="AY92" i="3"/>
  <c r="AY61" i="3"/>
  <c r="AY76" i="3"/>
  <c r="AY44" i="3"/>
  <c r="AY33" i="3"/>
  <c r="AY190" i="3"/>
  <c r="AY185" i="3"/>
  <c r="AY154" i="3"/>
  <c r="AY165" i="3"/>
  <c r="AY133" i="3"/>
  <c r="AY125" i="3"/>
  <c r="AY283" i="3"/>
  <c r="AY278" i="3"/>
  <c r="AY247" i="3"/>
  <c r="AY262" i="3"/>
  <c r="AY230" i="3"/>
  <c r="AY196" i="3"/>
  <c r="AY74" i="3"/>
  <c r="AY204" i="3"/>
  <c r="AY363" i="3"/>
  <c r="AY412" i="3"/>
  <c r="AY229" i="3"/>
  <c r="AY326" i="3"/>
  <c r="AY557" i="3"/>
  <c r="AY539" i="3"/>
  <c r="AY100" i="3"/>
  <c r="AY84" i="3"/>
  <c r="AY20" i="3"/>
  <c r="AY193" i="3"/>
  <c r="AY173" i="3"/>
  <c r="AY134" i="3"/>
  <c r="AY286" i="3"/>
  <c r="AY270"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C19" i="67"/>
  <c r="C20" i="11"/>
  <c r="C28" i="11" s="1"/>
  <c r="C27" i="11" s="1"/>
  <c r="D17" i="12"/>
  <c r="C17" i="12" s="1"/>
  <c r="C14" i="12"/>
  <c r="D10" i="11"/>
  <c r="C10" i="11" s="1"/>
  <c r="D20" i="12"/>
  <c r="C20" i="12" s="1"/>
  <c r="C18" i="12" s="1"/>
  <c r="D10" i="69"/>
  <c r="D10" i="68"/>
  <c r="D6" i="6"/>
  <c r="M14" i="1"/>
  <c r="K16" i="1"/>
  <c r="C34" i="69"/>
  <c r="C7" i="74"/>
  <c r="C8" i="74"/>
  <c r="K20" i="6"/>
  <c r="M20" i="6" s="1"/>
  <c r="I20" i="6" s="1"/>
  <c r="K21" i="6"/>
  <c r="M21" i="6" s="1"/>
  <c r="I21" i="6" s="1"/>
  <c r="K23" i="6"/>
  <c r="M23" i="6" s="1"/>
  <c r="I23" i="6" s="1"/>
  <c r="K22" i="6"/>
  <c r="M22" i="6" s="1"/>
  <c r="I22" i="6" s="1"/>
  <c r="K25" i="6"/>
  <c r="M25" i="6" s="1"/>
  <c r="I25" i="6" s="1"/>
  <c r="E31" i="6"/>
  <c r="K26" i="6"/>
  <c r="M26" i="6" s="1"/>
  <c r="I26" i="6" s="1"/>
  <c r="K24" i="6"/>
  <c r="M24" i="6" s="1"/>
  <c r="I24" i="6" s="1"/>
  <c r="K19" i="6"/>
  <c r="C115" i="43"/>
  <c r="D113" i="43" s="1"/>
  <c r="J22" i="43" s="1"/>
  <c r="S2" i="43"/>
  <c r="T2" i="43" s="1"/>
  <c r="V2" i="43" s="1"/>
  <c r="S6" i="43"/>
  <c r="T6" i="43" s="1"/>
  <c r="V6" i="43" s="1"/>
  <c r="S7" i="43"/>
  <c r="T7" i="43" s="1"/>
  <c r="V7" i="43" s="1"/>
  <c r="S5" i="43"/>
  <c r="T5" i="43" s="1"/>
  <c r="V5" i="43" s="1"/>
  <c r="S3" i="43"/>
  <c r="T3" i="43" s="1"/>
  <c r="V3" i="43" s="1"/>
  <c r="C23" i="43"/>
  <c r="C21" i="43" s="1"/>
  <c r="C29" i="43" s="1"/>
  <c r="C30" i="43" s="1"/>
  <c r="E30" i="43" s="1"/>
  <c r="S4" i="43"/>
  <c r="T4" i="43" s="1"/>
  <c r="V4" i="43" s="1"/>
  <c r="AA10" i="40"/>
  <c r="S10" i="40"/>
  <c r="AC10" i="40"/>
  <c r="W10" i="40"/>
  <c r="U10" i="39"/>
  <c r="AB10" i="39"/>
  <c r="W10" i="39"/>
  <c r="AC10" i="39"/>
  <c r="J5" i="67"/>
  <c r="J18" i="67" s="1"/>
  <c r="S7" i="21"/>
  <c r="AA7" i="21"/>
  <c r="R48" i="21" s="1"/>
  <c r="AA7" i="35"/>
  <c r="R38" i="35" s="1"/>
  <c r="S7" i="35"/>
  <c r="F68" i="39"/>
  <c r="E70" i="39"/>
  <c r="G46" i="37"/>
  <c r="H46" i="37" s="1"/>
  <c r="G47" i="37"/>
  <c r="H47" i="37" s="1"/>
  <c r="U7" i="36"/>
  <c r="AB7" i="36"/>
  <c r="T36" i="36" s="1"/>
  <c r="G36" i="36" s="1"/>
  <c r="AC7" i="21"/>
  <c r="V48" i="21" s="1"/>
  <c r="I48" i="21" s="1"/>
  <c r="W7" i="21"/>
  <c r="L59" i="34"/>
  <c r="M59" i="34" s="1"/>
  <c r="N59" i="34" s="1"/>
  <c r="O59" i="34" s="1"/>
  <c r="E42" i="37"/>
  <c r="R43" i="37"/>
  <c r="G37" i="43"/>
  <c r="I37" i="43" s="1"/>
  <c r="E37" i="43"/>
  <c r="E35" i="43"/>
  <c r="G35" i="43"/>
  <c r="I35" i="43" s="1"/>
  <c r="E33" i="43"/>
  <c r="G33" i="43"/>
  <c r="I33" i="43" s="1"/>
  <c r="H7" i="34"/>
  <c r="W7" i="35"/>
  <c r="AC7" i="35"/>
  <c r="V38" i="35" s="1"/>
  <c r="I38" i="35" s="1"/>
  <c r="F7" i="36"/>
  <c r="N63" i="40"/>
  <c r="M65" i="40"/>
  <c r="H7" i="21"/>
  <c r="U7" i="35"/>
  <c r="AB7" i="35"/>
  <c r="T38" i="35" s="1"/>
  <c r="G38" i="35" s="1"/>
  <c r="I47" i="37"/>
  <c r="J47" i="37" s="1"/>
  <c r="I46" i="37"/>
  <c r="J46" i="37" s="1"/>
  <c r="J7" i="36"/>
  <c r="G38" i="43"/>
  <c r="I38" i="43" s="1"/>
  <c r="E38" i="43"/>
  <c r="E36" i="43"/>
  <c r="G36" i="43"/>
  <c r="I36" i="43" s="1"/>
  <c r="G34" i="43"/>
  <c r="I34" i="43" s="1"/>
  <c r="E34" i="43"/>
  <c r="E29" i="43"/>
  <c r="J18" i="15"/>
  <c r="J24" i="15"/>
  <c r="J26" i="15"/>
  <c r="J29" i="15" s="1"/>
  <c r="C26" i="11"/>
  <c r="D22" i="11" s="1"/>
  <c r="C24" i="11"/>
  <c r="C25" i="11"/>
  <c r="C44" i="11"/>
  <c r="D41" i="11" s="1"/>
  <c r="C23" i="11"/>
  <c r="C10" i="15"/>
  <c r="C5" i="15" s="1"/>
  <c r="C53" i="15"/>
  <c r="C48" i="15" s="1"/>
  <c r="C20" i="15"/>
  <c r="C26" i="69"/>
  <c r="D22" i="69" s="1"/>
  <c r="C44" i="69"/>
  <c r="D41" i="69" s="1"/>
  <c r="C23" i="68"/>
  <c r="C26" i="68"/>
  <c r="D22" i="68" s="1"/>
  <c r="C44" i="68"/>
  <c r="D41" i="68" s="1"/>
  <c r="C10" i="67"/>
  <c r="C5" i="67" s="1"/>
  <c r="C53" i="67"/>
  <c r="C48" i="67" s="1"/>
  <c r="C20" i="67"/>
  <c r="C26" i="67" s="1"/>
  <c r="M19" i="9" l="1"/>
  <c r="C118" i="9" s="1"/>
  <c r="C14" i="74" s="1"/>
  <c r="B2" i="74" s="1"/>
  <c r="D15" i="6"/>
  <c r="D21" i="6"/>
  <c r="D20" i="6"/>
  <c r="D9" i="6"/>
  <c r="L19" i="9"/>
  <c r="D12" i="6"/>
  <c r="D13" i="6"/>
  <c r="E61" i="40"/>
  <c r="D26" i="6"/>
  <c r="D8" i="6"/>
  <c r="D14" i="6"/>
  <c r="D25" i="6"/>
  <c r="D22" i="6"/>
  <c r="D24" i="6"/>
  <c r="D5" i="6"/>
  <c r="D10" i="6"/>
  <c r="D29" i="6"/>
  <c r="D11" i="6"/>
  <c r="D28" i="6"/>
  <c r="D30" i="6" s="1"/>
  <c r="D19" i="6"/>
  <c r="C18" i="4"/>
  <c r="D23" i="6"/>
  <c r="J24" i="67"/>
  <c r="C27" i="43"/>
  <c r="C38" i="69"/>
  <c r="C35" i="69"/>
  <c r="M16" i="1"/>
  <c r="O14" i="1"/>
  <c r="N16" i="1"/>
  <c r="C10" i="69"/>
  <c r="C8" i="69" s="1"/>
  <c r="C5" i="69" s="1"/>
  <c r="C23" i="69" s="1"/>
  <c r="D19" i="69"/>
  <c r="J26" i="67"/>
  <c r="J29" i="67" s="1"/>
  <c r="C10" i="68"/>
  <c r="D19" i="68"/>
  <c r="S6" i="1"/>
  <c r="M19" i="6"/>
  <c r="K27" i="6"/>
  <c r="S26" i="6"/>
  <c r="H26" i="6"/>
  <c r="R26" i="6" s="1"/>
  <c r="H25" i="6"/>
  <c r="R25" i="6" s="1"/>
  <c r="S25" i="6"/>
  <c r="S23" i="6"/>
  <c r="H23" i="6"/>
  <c r="R23" i="6" s="1"/>
  <c r="S20" i="6"/>
  <c r="H20" i="6"/>
  <c r="R20" i="6" s="1"/>
  <c r="H24" i="6"/>
  <c r="R24" i="6" s="1"/>
  <c r="S24" i="6"/>
  <c r="S22" i="6"/>
  <c r="H22" i="6"/>
  <c r="R22" i="6" s="1"/>
  <c r="H21" i="6"/>
  <c r="R21" i="6" s="1"/>
  <c r="S21" i="6"/>
  <c r="C22" i="11"/>
  <c r="C31" i="11" s="1"/>
  <c r="AC7" i="36"/>
  <c r="V36" i="36" s="1"/>
  <c r="I36" i="36" s="1"/>
  <c r="W7" i="36"/>
  <c r="AB7" i="21"/>
  <c r="T48" i="21" s="1"/>
  <c r="G48" i="21" s="1"/>
  <c r="U7" i="21"/>
  <c r="O63" i="40"/>
  <c r="O65" i="40" s="1"/>
  <c r="N65" i="40"/>
  <c r="J7" i="40" s="1"/>
  <c r="I42" i="35"/>
  <c r="J42" i="35" s="1"/>
  <c r="I43" i="35"/>
  <c r="J43" i="35" s="1"/>
  <c r="U7" i="34"/>
  <c r="AB7" i="34"/>
  <c r="T49" i="34" s="1"/>
  <c r="G49" i="34" s="1"/>
  <c r="E46" i="37"/>
  <c r="F46" i="37" s="1"/>
  <c r="E47" i="37"/>
  <c r="F47" i="37" s="1"/>
  <c r="I52" i="21"/>
  <c r="J52" i="21" s="1"/>
  <c r="G40" i="36"/>
  <c r="H40" i="36" s="1"/>
  <c r="G41" i="36"/>
  <c r="H41" i="36" s="1"/>
  <c r="R49" i="21"/>
  <c r="E48" i="21"/>
  <c r="C26" i="43"/>
  <c r="G42" i="35"/>
  <c r="H42" i="35" s="1"/>
  <c r="G43" i="35"/>
  <c r="H43" i="35" s="1"/>
  <c r="F7" i="34"/>
  <c r="S7" i="36"/>
  <c r="AA7" i="36"/>
  <c r="R36" i="36" s="1"/>
  <c r="C42" i="37"/>
  <c r="C43" i="37"/>
  <c r="B2" i="37" s="1"/>
  <c r="B3" i="37" s="1"/>
  <c r="J7" i="34"/>
  <c r="H7" i="40"/>
  <c r="G68" i="39"/>
  <c r="F70" i="39"/>
  <c r="E38" i="35"/>
  <c r="R39" i="35"/>
  <c r="C23" i="67"/>
  <c r="C29" i="67" s="1"/>
  <c r="C66" i="67"/>
  <c r="C60" i="67"/>
  <c r="C23" i="15"/>
  <c r="C26" i="15"/>
  <c r="C32" i="15"/>
  <c r="C38" i="15"/>
  <c r="C38" i="67"/>
  <c r="C32" i="67"/>
  <c r="C60" i="15"/>
  <c r="C66" i="15"/>
  <c r="E6" i="76"/>
  <c r="C4" i="52" l="1"/>
  <c r="B45" i="72" s="1"/>
  <c r="A7" i="51"/>
  <c r="B7" i="72" s="1"/>
  <c r="A10" i="51"/>
  <c r="B9" i="72" s="1"/>
  <c r="D27" i="6"/>
  <c r="D31" i="6" s="1"/>
  <c r="D16" i="6"/>
  <c r="D7" i="74"/>
  <c r="D8" i="74"/>
  <c r="D37" i="68"/>
  <c r="C37" i="68" s="1"/>
  <c r="C19" i="68"/>
  <c r="P14" i="1"/>
  <c r="P16" i="1" s="1"/>
  <c r="C11" i="12" s="1"/>
  <c r="O16" i="1"/>
  <c r="C19" i="69"/>
  <c r="D37" i="69"/>
  <c r="C37" i="69" s="1"/>
  <c r="C33" i="69" s="1"/>
  <c r="F50" i="68"/>
  <c r="F50" i="11"/>
  <c r="F50" i="69"/>
  <c r="C34" i="68"/>
  <c r="L16" i="1"/>
  <c r="C34" i="11"/>
  <c r="M27" i="6"/>
  <c r="I19" i="6"/>
  <c r="AQ6" i="1"/>
  <c r="T6" i="1"/>
  <c r="T16" i="1" s="1"/>
  <c r="S16" i="1"/>
  <c r="AR6" i="1"/>
  <c r="C29" i="15"/>
  <c r="Q49" i="15" s="1"/>
  <c r="E2" i="76"/>
  <c r="AB7" i="40"/>
  <c r="T42" i="40" s="1"/>
  <c r="G42" i="40" s="1"/>
  <c r="U7" i="40"/>
  <c r="E36" i="36"/>
  <c r="R37" i="36"/>
  <c r="S7" i="34"/>
  <c r="AA7" i="34"/>
  <c r="R49" i="34" s="1"/>
  <c r="E52" i="21"/>
  <c r="F52" i="21" s="1"/>
  <c r="E53" i="21"/>
  <c r="F53" i="21" s="1"/>
  <c r="G53" i="34"/>
  <c r="H53" i="34" s="1"/>
  <c r="W7" i="40"/>
  <c r="AC7" i="40"/>
  <c r="V42" i="40" s="1"/>
  <c r="I42" i="40" s="1"/>
  <c r="F7" i="40"/>
  <c r="E42" i="35"/>
  <c r="F42" i="35" s="1"/>
  <c r="E43" i="35"/>
  <c r="F43" i="35" s="1"/>
  <c r="H68" i="39"/>
  <c r="G70" i="39"/>
  <c r="W7" i="34"/>
  <c r="AC7" i="34"/>
  <c r="V49" i="34" s="1"/>
  <c r="I49" i="34" s="1"/>
  <c r="B2" i="43"/>
  <c r="C48" i="21"/>
  <c r="C49" i="21"/>
  <c r="B2" i="21" s="1"/>
  <c r="B3" i="21" s="1"/>
  <c r="I53" i="21"/>
  <c r="J53" i="21" s="1"/>
  <c r="G52" i="21"/>
  <c r="H52" i="21" s="1"/>
  <c r="G53" i="21"/>
  <c r="H53" i="21" s="1"/>
  <c r="I40" i="36"/>
  <c r="J40" i="36" s="1"/>
  <c r="I41" i="36"/>
  <c r="J41" i="36" s="1"/>
  <c r="C38" i="35"/>
  <c r="C39" i="35"/>
  <c r="B2" i="35" s="1"/>
  <c r="B3" i="35" s="1"/>
  <c r="Q49" i="67"/>
  <c r="J14" i="67"/>
  <c r="C13" i="67"/>
  <c r="J19" i="67"/>
  <c r="J17" i="67" s="1"/>
  <c r="C36" i="67"/>
  <c r="C33" i="67"/>
  <c r="C31" i="67" s="1"/>
  <c r="C57" i="67"/>
  <c r="J59" i="67"/>
  <c r="J60" i="67" s="1"/>
  <c r="B6" i="76"/>
  <c r="I6" i="6" l="1"/>
  <c r="I5" i="6"/>
  <c r="C13" i="15"/>
  <c r="Q70" i="15" s="1"/>
  <c r="C20" i="69"/>
  <c r="C24" i="69"/>
  <c r="C12" i="12"/>
  <c r="C15" i="12"/>
  <c r="C20" i="68"/>
  <c r="C24" i="68"/>
  <c r="C38" i="11"/>
  <c r="C35" i="11"/>
  <c r="C33" i="11" s="1"/>
  <c r="C38" i="68"/>
  <c r="C35" i="68"/>
  <c r="C39" i="69"/>
  <c r="C43" i="69" s="1"/>
  <c r="C42" i="69"/>
  <c r="H19" i="6"/>
  <c r="S19" i="6"/>
  <c r="S27" i="6" s="1"/>
  <c r="I27" i="6"/>
  <c r="J19" i="15"/>
  <c r="C36" i="15"/>
  <c r="J14" i="15"/>
  <c r="J22" i="15" s="1"/>
  <c r="J59" i="15"/>
  <c r="J60" i="15" s="1"/>
  <c r="Q48" i="15" s="1"/>
  <c r="C33" i="15"/>
  <c r="C57" i="15"/>
  <c r="C61" i="15" s="1"/>
  <c r="B2" i="76"/>
  <c r="B3" i="76" s="1"/>
  <c r="AA7" i="40"/>
  <c r="R42" i="40" s="1"/>
  <c r="S7" i="40"/>
  <c r="R50" i="34"/>
  <c r="E49" i="34"/>
  <c r="C37" i="36"/>
  <c r="B2" i="36" s="1"/>
  <c r="B3" i="36" s="1"/>
  <c r="C36" i="36"/>
  <c r="I53" i="34"/>
  <c r="J53" i="34" s="1"/>
  <c r="I54" i="34"/>
  <c r="J54" i="34" s="1"/>
  <c r="B3" i="43"/>
  <c r="I68" i="39"/>
  <c r="H70" i="39"/>
  <c r="I46" i="40"/>
  <c r="J46" i="40" s="1"/>
  <c r="G54" i="34"/>
  <c r="H54" i="34" s="1"/>
  <c r="E40" i="36"/>
  <c r="F40" i="36" s="1"/>
  <c r="E41" i="36"/>
  <c r="F41" i="36" s="1"/>
  <c r="G46" i="40"/>
  <c r="H46" i="40" s="1"/>
  <c r="G47" i="40"/>
  <c r="H47" i="40" s="1"/>
  <c r="Q48" i="67"/>
  <c r="L46" i="67"/>
  <c r="J22" i="67"/>
  <c r="J13" i="67"/>
  <c r="J23" i="67" s="1"/>
  <c r="C61" i="67"/>
  <c r="C59" i="67" s="1"/>
  <c r="C64" i="67"/>
  <c r="Q70" i="67"/>
  <c r="C56" i="67"/>
  <c r="C65" i="67" s="1"/>
  <c r="C37" i="67"/>
  <c r="C30" i="67" s="1"/>
  <c r="C39" i="67" s="1"/>
  <c r="C75" i="67"/>
  <c r="C64" i="15" l="1"/>
  <c r="C41" i="69"/>
  <c r="C33" i="68"/>
  <c r="C39" i="68" s="1"/>
  <c r="C16" i="12"/>
  <c r="C21" i="12" s="1"/>
  <c r="J13" i="15"/>
  <c r="J23" i="15" s="1"/>
  <c r="C37" i="15"/>
  <c r="C56" i="15"/>
  <c r="C65" i="15" s="1"/>
  <c r="C75" i="15"/>
  <c r="C46" i="69"/>
  <c r="C45" i="69" s="1"/>
  <c r="C42" i="11"/>
  <c r="C39" i="11"/>
  <c r="C43" i="11" s="1"/>
  <c r="C22" i="12"/>
  <c r="C30" i="12" s="1"/>
  <c r="C28" i="12" s="1"/>
  <c r="C42" i="68"/>
  <c r="C28" i="69"/>
  <c r="C27" i="69" s="1"/>
  <c r="C25" i="69"/>
  <c r="C22" i="69" s="1"/>
  <c r="C28" i="68"/>
  <c r="C27" i="68" s="1"/>
  <c r="C25" i="68"/>
  <c r="C22" i="68" s="1"/>
  <c r="H27" i="6"/>
  <c r="R19" i="6"/>
  <c r="L46" i="15"/>
  <c r="C58" i="67"/>
  <c r="C67" i="67" s="1"/>
  <c r="C68" i="67" s="1"/>
  <c r="C71" i="67" s="1"/>
  <c r="E54" i="34"/>
  <c r="F54" i="34" s="1"/>
  <c r="E53" i="34"/>
  <c r="F53" i="34" s="1"/>
  <c r="J68" i="39"/>
  <c r="I70" i="39"/>
  <c r="C50" i="34"/>
  <c r="B2" i="34" s="1"/>
  <c r="B3" i="34" s="1"/>
  <c r="C49" i="34"/>
  <c r="R43" i="40"/>
  <c r="E42" i="40"/>
  <c r="J16" i="67"/>
  <c r="J25" i="67" s="1"/>
  <c r="Q69" i="67"/>
  <c r="Q68" i="67" s="1"/>
  <c r="C40" i="67"/>
  <c r="C80" i="67"/>
  <c r="C79" i="67" s="1"/>
  <c r="L51" i="67"/>
  <c r="C49" i="69" l="1"/>
  <c r="C51" i="69" s="1"/>
  <c r="C45" i="67"/>
  <c r="C46" i="67" s="1"/>
  <c r="C46" i="11"/>
  <c r="C45" i="11" s="1"/>
  <c r="C31" i="68"/>
  <c r="C31" i="69"/>
  <c r="C52" i="69" s="1"/>
  <c r="C27" i="12"/>
  <c r="C25" i="12" s="1"/>
  <c r="C32" i="12" s="1"/>
  <c r="B2" i="12" s="1"/>
  <c r="B3" i="12" s="1"/>
  <c r="C41" i="11"/>
  <c r="C49" i="11" s="1"/>
  <c r="C51" i="11" s="1"/>
  <c r="C46" i="68"/>
  <c r="C45" i="68" s="1"/>
  <c r="C43" i="68"/>
  <c r="C41" i="68" s="1"/>
  <c r="R6" i="1"/>
  <c r="R27" i="6"/>
  <c r="C43" i="40"/>
  <c r="C42" i="40"/>
  <c r="K68" i="39"/>
  <c r="J70" i="39"/>
  <c r="E46" i="40"/>
  <c r="F46" i="40" s="1"/>
  <c r="E47" i="40"/>
  <c r="F47" i="40" s="1"/>
  <c r="I47" i="40"/>
  <c r="J47" i="40" s="1"/>
  <c r="Q67" i="67"/>
  <c r="L57" i="67"/>
  <c r="L60" i="67" s="1"/>
  <c r="C43" i="67"/>
  <c r="Q65" i="67"/>
  <c r="Q47" i="67"/>
  <c r="Q53" i="67" s="1"/>
  <c r="Q56" i="67"/>
  <c r="D2" i="67"/>
  <c r="C83" i="67"/>
  <c r="C82" i="67" s="1"/>
  <c r="F35" i="15"/>
  <c r="M21" i="15"/>
  <c r="J20" i="15" l="1"/>
  <c r="J17" i="15" s="1"/>
  <c r="J16" i="15" s="1"/>
  <c r="J25" i="15" s="1"/>
  <c r="F63" i="15"/>
  <c r="C62" i="15" s="1"/>
  <c r="C59" i="15" s="1"/>
  <c r="C58" i="15" s="1"/>
  <c r="C67" i="15" s="1"/>
  <c r="C68" i="15" s="1"/>
  <c r="C34" i="15"/>
  <c r="C31" i="15" s="1"/>
  <c r="C30" i="15" s="1"/>
  <c r="C39" i="15" s="1"/>
  <c r="R16" i="1"/>
  <c r="C57" i="69"/>
  <c r="C56" i="69" s="1"/>
  <c r="B2" i="69"/>
  <c r="B3" i="69" s="1"/>
  <c r="C49" i="68"/>
  <c r="C51" i="68" s="1"/>
  <c r="C52" i="68" s="1"/>
  <c r="B2" i="68" s="1"/>
  <c r="C52" i="11"/>
  <c r="B2" i="11" s="1"/>
  <c r="B3" i="11" s="1"/>
  <c r="L68" i="39"/>
  <c r="K70" i="39"/>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B2" i="67"/>
  <c r="B3" i="67"/>
  <c r="Q66" i="67"/>
  <c r="Q75" i="67" s="1"/>
  <c r="Q57" i="67"/>
  <c r="Q62" i="67" s="1"/>
  <c r="C19" i="9"/>
  <c r="L51" i="15"/>
  <c r="C102" i="9" l="1"/>
  <c r="C21" i="9"/>
  <c r="B3" i="68"/>
  <c r="L57" i="15"/>
  <c r="L60" i="15" s="1"/>
  <c r="Q67" i="15"/>
  <c r="C71" i="15"/>
  <c r="C40" i="15"/>
  <c r="Q69" i="15"/>
  <c r="Q68" i="15" s="1"/>
  <c r="C80" i="15"/>
  <c r="C79" i="15" s="1"/>
  <c r="C56" i="11"/>
  <c r="C57" i="11" s="1"/>
  <c r="C57" i="68"/>
  <c r="C56" i="68" s="1"/>
  <c r="M68" i="39"/>
  <c r="L70" i="39"/>
  <c r="C20" i="9"/>
  <c r="C103" i="9" l="1"/>
  <c r="C43" i="15"/>
  <c r="Q47" i="15"/>
  <c r="Q53" i="15" s="1"/>
  <c r="Q65" i="15"/>
  <c r="Q56" i="15"/>
  <c r="C83" i="15"/>
  <c r="C82" i="15" s="1"/>
  <c r="B2" i="15"/>
  <c r="C46" i="15"/>
  <c r="Q66" i="15"/>
  <c r="Q57" i="15"/>
  <c r="N68" i="39"/>
  <c r="M70" i="39"/>
  <c r="D19" i="9"/>
  <c r="AO6" i="1"/>
  <c r="D102" i="9" l="1"/>
  <c r="G19" i="9"/>
  <c r="D22" i="9"/>
  <c r="D21" i="9"/>
  <c r="Q75" i="15"/>
  <c r="Q62" i="15"/>
  <c r="B6" i="70"/>
  <c r="B2" i="70" s="1"/>
  <c r="B3" i="70" s="1"/>
  <c r="B3" i="15"/>
  <c r="O68" i="39"/>
  <c r="O70" i="39" s="1"/>
  <c r="N70" i="39"/>
  <c r="D20" i="9"/>
  <c r="G20" i="9" l="1"/>
  <c r="D103" i="9"/>
  <c r="C32" i="9"/>
  <c r="G21" i="9"/>
  <c r="F7" i="39"/>
  <c r="J7" i="39"/>
  <c r="H7" i="39"/>
  <c r="H118" i="9" l="1"/>
  <c r="C35" i="9"/>
  <c r="F118" i="9" s="1"/>
  <c r="AB7" i="39"/>
  <c r="T47" i="39" s="1"/>
  <c r="G47" i="39" s="1"/>
  <c r="U7" i="39"/>
  <c r="S7" i="39"/>
  <c r="AA7" i="39"/>
  <c r="R47" i="39" s="1"/>
  <c r="AC7" i="39"/>
  <c r="V47" i="39" s="1"/>
  <c r="I47" i="39" s="1"/>
  <c r="W7" i="39"/>
  <c r="C34" i="9" l="1"/>
  <c r="D118" i="9" s="1"/>
  <c r="D4" i="52" s="1"/>
  <c r="B47" i="72" s="1"/>
  <c r="F119" i="9"/>
  <c r="F5" i="52" s="1"/>
  <c r="B53" i="72" s="1"/>
  <c r="F4" i="52"/>
  <c r="B51" i="72" s="1"/>
  <c r="G118" i="9"/>
  <c r="G4" i="52" s="1"/>
  <c r="B52" i="72" s="1"/>
  <c r="H4" i="52"/>
  <c r="C104" i="9"/>
  <c r="H101" i="9"/>
  <c r="H119" i="9"/>
  <c r="H5" i="52" s="1"/>
  <c r="D14" i="74"/>
  <c r="I118" i="9"/>
  <c r="I51" i="39"/>
  <c r="J51" i="39" s="1"/>
  <c r="G51" i="39"/>
  <c r="H51" i="39" s="1"/>
  <c r="G52" i="39"/>
  <c r="H52" i="39" s="1"/>
  <c r="E47" i="39"/>
  <c r="R48" i="39"/>
  <c r="D119" i="9" l="1"/>
  <c r="D5" i="52" s="1"/>
  <c r="B49" i="72" s="1"/>
  <c r="B5" i="74"/>
  <c r="F14" i="74"/>
  <c r="E14" i="74"/>
  <c r="M48" i="9"/>
  <c r="D5" i="53"/>
  <c r="H107" i="9"/>
  <c r="D45" i="9"/>
  <c r="C105" i="9"/>
  <c r="I4" i="52"/>
  <c r="H102" i="9"/>
  <c r="D7" i="53" s="1"/>
  <c r="B21" i="72" s="1"/>
  <c r="E118" i="9"/>
  <c r="E4" i="52" s="1"/>
  <c r="B48" i="72" s="1"/>
  <c r="E51" i="39"/>
  <c r="F51" i="39" s="1"/>
  <c r="E52" i="39"/>
  <c r="F52" i="39" s="1"/>
  <c r="C47" i="39"/>
  <c r="C48" i="39"/>
  <c r="I52" i="39"/>
  <c r="J52" i="39" s="1"/>
  <c r="M49" i="9" l="1"/>
  <c r="D13" i="53"/>
  <c r="D122" i="9"/>
  <c r="H108" i="9"/>
  <c r="D15" i="53" s="1"/>
  <c r="B31" i="72" s="1"/>
  <c r="C93" i="9"/>
  <c r="C86" i="9" s="1"/>
  <c r="C72" i="9"/>
  <c r="C85" i="9"/>
  <c r="C95" i="9" s="1"/>
  <c r="C64" i="9"/>
  <c r="C63" i="9" s="1"/>
  <c r="C67" i="9" s="1"/>
  <c r="C68" i="9" s="1"/>
  <c r="D54" i="9" s="1"/>
  <c r="D52" i="9"/>
  <c r="D55" i="9"/>
  <c r="M53" i="9" s="1"/>
  <c r="D53" i="9"/>
  <c r="C78" i="9"/>
  <c r="C73" i="9" s="1"/>
  <c r="B20" i="72"/>
  <c r="D6" i="53"/>
  <c r="B22" i="72" s="1"/>
  <c r="D5" i="74"/>
  <c r="C5"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9" l="1"/>
  <c r="D14" i="53"/>
  <c r="B32" i="72" s="1"/>
  <c r="B30" i="72"/>
  <c r="C97" i="9"/>
  <c r="D58" i="9" s="1"/>
  <c r="D56" i="9" s="1"/>
  <c r="M54" i="9" s="1"/>
  <c r="N57" i="9" s="1"/>
  <c r="C96" i="9"/>
  <c r="E96" i="9" s="1"/>
  <c r="E97" i="9" s="1"/>
  <c r="G14" i="74"/>
  <c r="B6" i="74" s="1"/>
  <c r="D8" i="52"/>
  <c r="D123" i="9"/>
  <c r="D9" i="52" s="1"/>
  <c r="L65" i="9"/>
  <c r="M65" i="9" s="1"/>
  <c r="L64" i="9"/>
  <c r="M64" i="9" s="1"/>
  <c r="L67" i="9"/>
  <c r="M67" i="9" s="1"/>
  <c r="L68" i="9"/>
  <c r="M68" i="9" s="1"/>
  <c r="L66" i="9"/>
  <c r="M66" i="9" s="1"/>
  <c r="L63" i="9"/>
  <c r="M63" i="9" s="1"/>
  <c r="M69" i="9" s="1"/>
  <c r="N69" i="9" s="1"/>
  <c r="P57" i="9" l="1"/>
  <c r="N58" i="9"/>
  <c r="C6" i="74"/>
  <c r="D6" i="74"/>
  <c r="N59" i="9"/>
  <c r="C81" i="9"/>
  <c r="C80" i="9"/>
  <c r="E80" i="9" s="1"/>
  <c r="E81" i="9" s="1"/>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<sst xmlns="http://schemas.openxmlformats.org/spreadsheetml/2006/main" count="7432" uniqueCount="3123">
  <si>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</si>
  <si>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</si>
  <si>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</si>
  <si>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</si>
  <si>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</si>
  <si>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</si>
  <si>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</si>
  <si>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</si>
  <si>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</si>
  <si>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</si>
  <si>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</si>
  <si>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</si>
  <si>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</si>
  <si>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</si>
  <si>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</si>
  <si>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</si>
  <si>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</si>
  <si>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</si>
  <si>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</si>
  <si>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</si>
  <si>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</si>
  <si>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</si>
  <si>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</si>
  <si>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</si>
  <si>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</si>
  <si>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</si>
  <si>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</si>
  <si>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</si>
  <si>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</si>
  <si>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</si>
  <si>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</si>
  <si>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</si>
  <si>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</si>
  <si>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</si>
  <si>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</si>
  <si>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</si>
  <si>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</si>
  <si>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</si>
  <si>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</si>
  <si>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</si>
  <si>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</si>
  <si>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</si>
  <si>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</si>
  <si>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</si>
  <si>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</si>
  <si>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</si>
  <si>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</si>
  <si>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</si>
  <si>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</si>
  <si>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</si>
  <si>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</si>
  <si>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</si>
  <si>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</si>
  <si>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</si>
  <si>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</si>
  <si>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</si>
  <si>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</si>
  <si>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</si>
  <si>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</si>
  <si>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</si>
  <si>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</si>
  <si>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</si>
  <si>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</si>
  <si>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</si>
  <si>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</si>
  <si>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</si>
  <si>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</si>
  <si>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</si>
  <si>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</si>
  <si>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</si>
  <si>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</si>
  <si>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</si>
  <si>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</si>
  <si>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</si>
  <si>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</si>
  <si>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</si>
  <si>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</si>
  <si>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</si>
  <si>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</si>
  <si>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</si>
  <si>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</si>
  <si>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</si>
  <si>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</si>
  <si>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</si>
  <si>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</si>
  <si>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</si>
  <si>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</si>
  <si>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</si>
  <si>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</si>
  <si>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</si>
  <si>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</si>
  <si>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</si>
  <si>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</si>
  <si>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</si>
  <si>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</si>
  <si>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</si>
  <si>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</si>
  <si>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</si>
  <si>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</si>
  <si>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</si>
  <si>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</si>
  <si>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</si>
  <si>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</si>
  <si>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</si>
  <si>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</si>
  <si>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</si>
  <si>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</si>
  <si>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</si>
  <si>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</si>
  <si>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</si>
  <si>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</si>
  <si>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</si>
  <si>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</si>
  <si>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</si>
  <si>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</si>
  <si>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</si>
  <si>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</si>
  <si>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</si>
  <si>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</si>
  <si>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</si>
  <si>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</si>
  <si>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</si>
  <si>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</si>
  <si>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</si>
  <si>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</si>
  <si>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</si>
  <si>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</si>
  <si>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</si>
  <si>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</si>
  <si>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</si>
  <si>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</si>
  <si>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</si>
  <si>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</si>
  <si>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</si>
  <si>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</si>
  <si>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</si>
  <si>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</si>
  <si>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</si>
  <si>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</si>
  <si>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</si>
  <si>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</si>
  <si>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</si>
  <si>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</si>
  <si>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</si>
  <si>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</si>
  <si>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</si>
  <si>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</si>
  <si>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</si>
  <si>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</si>
  <si>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</si>
  <si>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</si>
  <si>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</si>
  <si>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</si>
  <si>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</si>
  <si>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</si>
  <si>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</si>
  <si>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</si>
  <si>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</si>
  <si>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</si>
  <si>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</si>
  <si>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</si>
  <si>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</si>
  <si>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</si>
  <si>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</si>
  <si>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</si>
  <si>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</si>
  <si>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</si>
  <si>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</si>
  <si>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</si>
  <si>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</si>
  <si>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</si>
  <si>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</si>
  <si>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</si>
  <si>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</si>
  <si>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</si>
  <si>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</si>
  <si>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</si>
  <si>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</si>
  <si>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</si>
  <si>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</si>
  <si>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</si>
  <si>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</si>
  <si>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</si>
  <si>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</si>
  <si>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</si>
  <si>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</si>
  <si>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</si>
  <si>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</si>
  <si>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</si>
  <si>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</si>
  <si>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</si>
  <si>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</si>
  <si>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</si>
  <si>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</si>
  <si>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</si>
  <si>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</si>
  <si>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</si>
  <si>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</si>
  <si>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</si>
  <si>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</si>
  <si>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</si>
  <si>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</si>
  <si>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</si>
  <si>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</si>
  <si>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</si>
  <si>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</si>
  <si>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</si>
  <si>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</si>
  <si>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</si>
  <si>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</si>
  <si>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</si>
  <si>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</si>
  <si>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</si>
  <si>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</si>
  <si>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</si>
  <si>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</si>
  <si>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</si>
  <si>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</si>
  <si>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</si>
  <si>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</si>
  <si>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</si>
  <si>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</si>
  <si>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</si>
  <si>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</si>
  <si>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</si>
  <si>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</si>
  <si>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</si>
  <si>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</si>
  <si>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</si>
  <si>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</si>
  <si>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</si>
  <si>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</si>
  <si>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</si>
  <si>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</si>
  <si>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</si>
  <si>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</si>
  <si>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</si>
  <si>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</si>
  <si>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</si>
  <si>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</si>
  <si>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</si>
  <si>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</si>
  <si>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</si>
  <si>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</si>
  <si>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</si>
  <si>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</si>
  <si>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</si>
  <si>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</si>
  <si>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</si>
  <si>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</si>
  <si>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</si>
  <si>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</si>
  <si>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</si>
  <si>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</si>
  <si>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</si>
  <si>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</si>
  <si>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</si>
  <si>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</si>
  <si>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</si>
  <si>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</si>
  <si>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</si>
  <si>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</si>
  <si>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</si>
  <si>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</si>
  <si>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</si>
  <si>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</si>
  <si>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</si>
  <si>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</si>
  <si>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</si>
  <si>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</si>
  <si>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</si>
  <si>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</si>
  <si>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</si>
  <si>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</si>
  <si>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</si>
  <si>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</si>
  <si>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</si>
  <si>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</si>
  <si>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</si>
  <si>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</si>
  <si>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</si>
  <si>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</si>
  <si>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</si>
  <si>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</si>
  <si>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</si>
  <si>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</si>
  <si>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</si>
  <si>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</si>
  <si>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</si>
  <si>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</si>
  <si>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</si>
  <si>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</si>
  <si>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</si>
  <si>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</si>
  <si>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</si>
  <si>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</si>
  <si>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</si>
  <si>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</si>
  <si>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</si>
  <si>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</si>
  <si>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</si>
  <si>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</si>
  <si>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</si>
  <si>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</si>
  <si>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</si>
  <si>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</si>
  <si>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</si>
  <si>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</si>
  <si>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</si>
  <si>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</si>
  <si>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</si>
  <si>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</si>
  <si>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</si>
  <si>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</si>
  <si>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</si>
  <si>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</si>
  <si>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</si>
  <si>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</si>
  <si>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</si>
  <si>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</si>
  <si>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</si>
  <si>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</si>
  <si>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</si>
  <si>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</si>
  <si>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</si>
  <si>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</si>
  <si>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</si>
  <si>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</si>
  <si>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</si>
  <si>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</si>
  <si>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</si>
  <si>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</si>
  <si>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</si>
  <si>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</si>
  <si>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</si>
  <si>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</si>
  <si>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</si>
  <si>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</si>
  <si>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</si>
  <si>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</si>
  <si>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</si>
  <si>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</si>
  <si>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</si>
  <si>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</si>
  <si>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</si>
  <si>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</si>
  <si>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</si>
  <si>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</si>
  <si>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</si>
  <si>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</si>
  <si>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</si>
  <si>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</si>
  <si>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</si>
  <si>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</si>
  <si>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</si>
  <si>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</si>
  <si>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</si>
  <si>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</si>
  <si>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</si>
  <si>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</si>
  <si>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</si>
  <si>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</si>
  <si>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</si>
  <si>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</si>
  <si>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</si>
  <si>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</si>
  <si>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</si>
  <si>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</si>
  <si>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</si>
  <si>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</si>
  <si>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</si>
  <si>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</si>
  <si>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</si>
  <si>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</si>
  <si>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</si>
  <si>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</si>
  <si>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</si>
  <si>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</si>
  <si>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</si>
  <si>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</si>
  <si>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</si>
  <si>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</si>
  <si>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</si>
  <si>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</si>
  <si>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</si>
  <si>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</si>
  <si>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</si>
  <si>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</si>
  <si>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</si>
  <si>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</si>
  <si>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</si>
  <si>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</si>
  <si>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</si>
  <si>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</si>
  <si>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</si>
  <si>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</si>
  <si>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</si>
  <si>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</si>
  <si>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</si>
  <si>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</si>
  <si>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</si>
  <si>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</si>
  <si>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</si>
  <si>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</si>
  <si>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</si>
  <si>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</si>
  <si>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</si>
  <si>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</si>
  <si>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</si>
  <si>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</si>
  <si>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</si>
  <si>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</si>
  <si>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</si>
  <si>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</si>
  <si>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</si>
  <si>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</si>
  <si>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</si>
  <si>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</si>
  <si>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</si>
  <si>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</si>
  <si>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</si>
  <si>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</si>
  <si>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</si>
  <si>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</si>
  <si>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</si>
  <si>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</si>
  <si>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</si>
  <si>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</si>
  <si>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</si>
  <si>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</si>
  <si>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</si>
  <si>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</si>
  <si>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</si>
  <si>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</si>
  <si>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</si>
  <si>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</si>
  <si>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</si>
  <si>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</si>
  <si>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</si>
  <si>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</si>
  <si>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</si>
  <si>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</si>
  <si>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</si>
  <si>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</si>
  <si>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</si>
  <si>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</si>
  <si>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</si>
  <si>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</si>
  <si>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</si>
  <si>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</si>
  <si>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</si>
  <si>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</si>
  <si>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</si>
  <si>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</si>
  <si>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</si>
  <si>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</si>
  <si>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</si>
  <si>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</si>
  <si>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</si>
  <si>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</si>
  <si>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</si>
  <si>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</si>
  <si>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</si>
  <si>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</si>
  <si>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</si>
  <si>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</si>
  <si>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</si>
  <si>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</si>
  <si>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</si>
  <si>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</si>
  <si>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</si>
  <si>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</si>
  <si>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</si>
  <si>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</si>
  <si>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</si>
  <si>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</si>
  <si>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</si>
  <si>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</si>
  <si>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</si>
  <si>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</si>
  <si>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</si>
  <si>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</si>
  <si>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</si>
  <si>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</si>
  <si>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</si>
  <si>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</si>
  <si>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</si>
  <si>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</si>
  <si>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</si>
  <si>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</si>
  <si>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</si>
  <si>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</si>
  <si>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</si>
  <si>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</si>
  <si>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</si>
  <si>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</si>
  <si>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</si>
  <si>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</si>
  <si>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</si>
  <si>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</si>
  <si>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</si>
  <si>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</si>
  <si>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</si>
  <si>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</si>
  <si>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</si>
  <si>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</si>
  <si>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</si>
  <si>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</si>
  <si>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</si>
  <si>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</si>
  <si>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</si>
  <si>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</si>
  <si>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</si>
  <si>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</si>
  <si>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</si>
  <si>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</si>
  <si>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</si>
  <si>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</si>
  <si>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</si>
  <si>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</si>
  <si>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</si>
  <si>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</si>
  <si>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</si>
  <si>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</si>
  <si>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</si>
  <si>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</si>
  <si>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</si>
  <si>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</si>
  <si>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</si>
  <si>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</si>
  <si>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</si>
  <si>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</si>
  <si>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</si>
  <si>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</si>
  <si>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</si>
  <si>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</si>
  <si>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</si>
  <si>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</si>
  <si>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</si>
  <si>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</si>
  <si>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</si>
  <si>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</si>
  <si>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</si>
  <si>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</si>
  <si>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</si>
  <si>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</si>
  <si>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</si>
  <si>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</si>
  <si>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</si>
  <si>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</si>
  <si>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</si>
  <si>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</si>
  <si>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</si>
  <si>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</si>
  <si>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</si>
  <si>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</si>
  <si>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</si>
  <si>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</si>
  <si>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</si>
  <si>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</si>
  <si>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</si>
  <si>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</si>
  <si>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</si>
  <si>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</si>
  <si>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</si>
  <si>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</si>
  <si>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</si>
  <si>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</si>
  <si>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</si>
  <si>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</si>
  <si>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</si>
  <si>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</si>
  <si>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</si>
  <si>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</si>
  <si>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</si>
  <si>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</si>
  <si>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</si>
  <si>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</si>
  <si>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</si>
  <si>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</si>
  <si>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</si>
  <si>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</si>
  <si>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</si>
  <si>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</si>
  <si>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</si>
  <si>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</si>
  <si>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</si>
  <si>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</si>
  <si>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</si>
  <si>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</si>
  <si>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</si>
  <si>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</si>
  <si>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</si>
  <si>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</si>
  <si>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</si>
  <si>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</si>
  <si>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</si>
  <si>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</si>
  <si>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</si>
  <si>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</si>
  <si>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</si>
  <si>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</si>
  <si>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</si>
  <si>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</si>
  <si>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</si>
  <si>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</si>
  <si>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</si>
  <si>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</si>
  <si>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</si>
  <si>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</si>
  <si>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</si>
  <si>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</si>
  <si>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</si>
  <si>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</si>
  <si>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</si>
  <si>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</si>
  <si>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</si>
  <si>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</si>
  <si>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</si>
  <si>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</si>
  <si>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</si>
  <si>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</si>
  <si>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</si>
  <si>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</si>
  <si>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</si>
  <si>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</si>
  <si>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</si>
  <si>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</si>
  <si>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</si>
  <si>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</si>
  <si>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</si>
  <si>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</si>
  <si>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</si>
  <si>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</si>
  <si>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</si>
  <si>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</si>
  <si>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</si>
  <si>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</si>
  <si>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</si>
  <si>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</si>
  <si>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</si>
  <si>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</si>
  <si>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</si>
  <si>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</si>
  <si>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</si>
  <si>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</si>
  <si>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</si>
  <si>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</si>
  <si>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</si>
  <si>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</si>
  <si>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</si>
  <si>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</si>
  <si>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</si>
  <si>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</si>
  <si>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</si>
  <si>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</si>
  <si>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</si>
  <si>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</si>
  <si>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</si>
  <si>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</si>
  <si>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</si>
  <si>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</si>
  <si>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</si>
  <si>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</si>
  <si>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</si>
  <si>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</si>
  <si>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</si>
  <si>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</si>
  <si>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</si>
  <si>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</si>
  <si>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</si>
  <si>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</si>
  <si>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</si>
  <si>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</si>
  <si>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</si>
  <si>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</si>
  <si>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</si>
  <si>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</si>
  <si>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</si>
  <si>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</si>
  <si>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</si>
  <si>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</si>
  <si>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</si>
  <si>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</si>
  <si>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</si>
  <si>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</si>
  <si>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</si>
  <si>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</si>
  <si>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</si>
  <si>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</si>
  <si>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</si>
  <si>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</si>
  <si>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</si>
  <si>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</si>
  <si>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</si>
  <si>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</si>
  <si>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</si>
  <si>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</si>
  <si>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</si>
  <si>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</si>
  <si>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</si>
  <si>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</si>
  <si>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</si>
  <si>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</si>
  <si>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</si>
  <si>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</si>
  <si>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</si>
  <si>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</si>
  <si>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</si>
  <si>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</si>
  <si>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</si>
  <si>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</si>
  <si>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</si>
  <si>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</si>
  <si>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</si>
  <si>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</si>
  <si>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</si>
  <si>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</si>
  <si>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</si>
  <si>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</si>
  <si>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</si>
  <si>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</si>
  <si>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</si>
  <si>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</si>
  <si>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</si>
  <si>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</si>
  <si>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</si>
  <si>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</si>
  <si>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</si>
  <si>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</si>
  <si>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</si>
  <si>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</si>
  <si>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</si>
  <si>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</si>
  <si>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</si>
  <si>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</si>
  <si>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</si>
  <si>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</si>
  <si>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</si>
  <si>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</si>
  <si>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</si>
  <si>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</si>
  <si>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</si>
  <si>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</si>
  <si>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</si>
  <si>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</si>
  <si>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</si>
  <si>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</si>
  <si>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</si>
  <si>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</si>
  <si>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</si>
  <si>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</si>
  <si>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</si>
  <si>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</si>
  <si>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</si>
  <si>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</si>
  <si>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</si>
  <si>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</si>
  <si>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</si>
  <si>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</si>
  <si>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</si>
  <si>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</si>
  <si>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</si>
  <si>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</si>
  <si>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</si>
  <si>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</si>
  <si>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</si>
  <si>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</si>
  <si>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</si>
  <si>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</si>
  <si>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</si>
  <si>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</si>
  <si>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</si>
  <si>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</si>
  <si>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</si>
  <si>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</si>
  <si>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</si>
  <si>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</si>
  <si>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</si>
  <si>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</si>
  <si>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</si>
  <si>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</si>
  <si>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</si>
  <si>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</si>
  <si>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</si>
  <si>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</si>
  <si>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</si>
  <si>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</si>
  <si>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</si>
  <si>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</si>
  <si>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</si>
  <si>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</si>
  <si>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</si>
  <si>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</si>
  <si>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</si>
  <si>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</si>
  <si>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</si>
  <si>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</si>
  <si>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</si>
  <si>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</si>
  <si>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</si>
  <si>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</si>
  <si>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</si>
  <si>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</si>
  <si>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</si>
  <si>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</si>
  <si>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</si>
  <si>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</si>
  <si>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</si>
  <si>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</si>
  <si>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</si>
  <si>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</si>
  <si>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</si>
  <si>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</si>
  <si>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</si>
  <si>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</si>
  <si>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</si>
  <si>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</si>
  <si>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</si>
  <si>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</si>
  <si>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</si>
  <si>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</si>
  <si>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</si>
  <si>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</si>
  <si>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</si>
  <si>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</si>
  <si>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</si>
  <si>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</si>
  <si>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</si>
  <si>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</si>
  <si>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</si>
  <si>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</si>
  <si>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</si>
  <si>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</si>
  <si>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</si>
  <si>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</si>
  <si>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</si>
  <si>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</si>
  <si>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</si>
  <si>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</si>
  <si>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</si>
  <si>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</si>
  <si>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</si>
  <si>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</si>
  <si>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</si>
  <si>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</si>
  <si>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</si>
  <si>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</si>
  <si>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</si>
  <si>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</si>
  <si>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</si>
  <si>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</si>
  <si>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</si>
  <si>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</si>
  <si>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</si>
  <si>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</si>
  <si>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</si>
  <si>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</si>
  <si>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</si>
  <si>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</si>
  <si>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</si>
  <si>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</si>
  <si>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</si>
  <si>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</si>
  <si>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</si>
  <si>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</si>
  <si>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</si>
  <si>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</si>
  <si>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</si>
  <si>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</si>
  <si>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</si>
  <si>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</si>
  <si>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</si>
  <si>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</si>
  <si>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</si>
  <si>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</si>
  <si>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</si>
  <si>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</si>
  <si>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</si>
  <si>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</si>
  <si>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</si>
  <si>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</si>
  <si>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</si>
  <si>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</si>
  <si>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</si>
  <si>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</si>
  <si>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</si>
  <si>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</si>
  <si>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</si>
  <si>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</si>
  <si>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</si>
  <si>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</si>
  <si>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</si>
  <si>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</si>
  <si>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</si>
  <si>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</si>
  <si>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</si>
  <si>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</si>
  <si>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</si>
  <si>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</si>
  <si>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</si>
  <si>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</si>
  <si>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</si>
  <si>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</si>
  <si>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</si>
  <si>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</si>
  <si>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</si>
  <si>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</si>
  <si>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</si>
  <si>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</si>
  <si>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</si>
  <si>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</si>
  <si>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</si>
  <si>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</si>
  <si>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</si>
  <si>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</si>
  <si>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</si>
  <si>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</si>
  <si>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</si>
  <si>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</si>
  <si>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</si>
  <si>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</si>
  <si>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</si>
  <si>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</si>
  <si>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</si>
  <si>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</si>
  <si>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</si>
  <si>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</si>
  <si>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</si>
  <si>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</si>
  <si>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</si>
  <si>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</si>
  <si>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</si>
  <si>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</si>
  <si>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</si>
  <si>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</si>
  <si>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</si>
  <si>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</si>
  <si>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</si>
  <si>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</si>
  <si>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</si>
  <si>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</si>
  <si>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</si>
  <si>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</si>
  <si>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</si>
  <si>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</si>
  <si>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</si>
  <si>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</si>
  <si>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</si>
  <si>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</si>
  <si>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</si>
  <si>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</si>
  <si>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</si>
  <si>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</si>
  <si>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</si>
  <si>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</si>
  <si>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</si>
  <si>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</si>
  <si>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</si>
  <si>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</si>
  <si>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</si>
  <si>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</si>
  <si>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</si>
  <si>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</si>
  <si>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</si>
  <si>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</si>
  <si>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</si>
  <si>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</si>
  <si>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</si>
  <si>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</si>
  <si>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</si>
  <si>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</si>
  <si>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</si>
  <si>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</si>
  <si>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</si>
  <si>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</si>
  <si>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</si>
  <si>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</si>
  <si>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</si>
  <si>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</si>
  <si>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</si>
  <si>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</si>
  <si>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</si>
  <si>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</si>
  <si>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</si>
  <si>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</si>
  <si>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</si>
  <si>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</si>
  <si>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</si>
  <si>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</si>
  <si>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</si>
  <si>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</si>
  <si>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</si>
  <si>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</si>
  <si>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</si>
  <si>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</si>
  <si>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</si>
  <si>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</si>
  <si>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</si>
  <si>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</si>
  <si>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</si>
  <si>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</si>
  <si>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</si>
  <si>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</si>
  <si>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</si>
  <si>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</si>
  <si>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</si>
  <si>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</si>
  <si>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</si>
  <si>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</si>
  <si>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</si>
  <si>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</si>
  <si>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</si>
  <si>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</si>
  <si>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</si>
  <si>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</si>
  <si>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</si>
  <si>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</si>
  <si>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</si>
  <si>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</si>
  <si>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</si>
  <si>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</si>
  <si>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</si>
  <si>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</si>
  <si>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</si>
  <si>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</si>
  <si>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</si>
  <si>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</si>
  <si>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</si>
  <si>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</si>
  <si>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</si>
  <si>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</si>
  <si>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</si>
  <si>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</si>
  <si>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</si>
  <si>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</si>
  <si>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</si>
  <si>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</si>
  <si>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</si>
  <si>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</si>
  <si>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</si>
  <si>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</si>
  <si>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</si>
  <si>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</si>
  <si>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</si>
  <si>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</si>
  <si>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</si>
  <si>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</si>
  <si>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</si>
  <si>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</si>
  <si>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</si>
  <si>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</si>
  <si>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</si>
  <si>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</si>
  <si>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</si>
  <si>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</si>
  <si>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</si>
  <si>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</si>
  <si>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</si>
  <si>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</si>
  <si>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</si>
  <si>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</si>
  <si>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</si>
  <si>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</si>
  <si>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</si>
  <si>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</si>
  <si>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</si>
  <si>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</si>
  <si>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</si>
  <si>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</si>
  <si>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</si>
  <si>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</si>
  <si>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</si>
  <si>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</si>
  <si>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</si>
  <si>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</si>
  <si>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</si>
  <si>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</si>
  <si>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</si>
  <si>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</si>
  <si>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</si>
  <si>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</si>
  <si>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</si>
  <si>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</si>
  <si>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</si>
  <si>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</si>
  <si>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</si>
  <si>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</si>
  <si>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</si>
  <si>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</si>
  <si>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</si>
  <si>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</si>
  <si>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</si>
  <si>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</si>
  <si>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</si>
  <si>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</si>
  <si>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</si>
  <si>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</si>
  <si>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</si>
  <si>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</si>
  <si>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</si>
  <si>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</si>
  <si>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</si>
  <si>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</si>
  <si>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</si>
  <si>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</si>
  <si>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</si>
  <si>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</si>
  <si>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</si>
  <si>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</si>
  <si>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</si>
  <si>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</si>
  <si>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</si>
  <si>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</si>
  <si>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</si>
  <si>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</si>
  <si>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</si>
  <si>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</si>
  <si>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</si>
  <si>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</si>
  <si>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</si>
  <si>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</si>
  <si>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</si>
  <si>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</si>
  <si>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</si>
  <si>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</si>
  <si>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</si>
  <si>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</si>
  <si>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</si>
  <si>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</si>
  <si>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</si>
  <si>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</si>
  <si>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</si>
  <si>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</si>
  <si>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</si>
  <si>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</si>
  <si>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</si>
  <si>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</si>
  <si>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</si>
  <si>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</si>
  <si>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</si>
  <si>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</si>
  <si>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</si>
  <si>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</si>
  <si>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</si>
  <si>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</si>
  <si>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</si>
  <si>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</si>
  <si>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</si>
  <si>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</si>
  <si>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</si>
  <si>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</si>
  <si>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</si>
  <si>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</si>
  <si>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</si>
  <si>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</si>
  <si>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</si>
  <si>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</si>
  <si>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</si>
  <si>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</si>
  <si>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</si>
  <si>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</si>
  <si>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</si>
  <si>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</si>
  <si>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</si>
  <si>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</si>
  <si>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</si>
  <si>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</si>
  <si>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</si>
  <si>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</si>
  <si>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</si>
  <si>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</si>
  <si>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</si>
  <si>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</si>
  <si>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</si>
  <si>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</si>
  <si>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</si>
  <si>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</si>
  <si>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</si>
  <si>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</si>
  <si>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</si>
  <si>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</si>
  <si>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</si>
  <si>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</si>
  <si>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</si>
  <si>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</si>
  <si>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</si>
  <si>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</si>
  <si>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</si>
  <si>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</si>
  <si>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</si>
  <si>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</si>
  <si>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</si>
  <si>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</si>
  <si>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</si>
  <si>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</si>
  <si>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</si>
  <si>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</si>
  <si>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</si>
  <si>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</si>
  <si>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</si>
  <si>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</si>
  <si>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</si>
  <si>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</si>
  <si>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</si>
  <si>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</si>
  <si>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</si>
  <si>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</si>
  <si>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</si>
  <si>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</si>
  <si>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</si>
  <si>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</si>
  <si>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</si>
  <si>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</si>
  <si>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</si>
  <si>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</si>
  <si>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</si>
  <si>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</si>
  <si>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</si>
  <si>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</si>
  <si>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</si>
  <si>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</si>
  <si>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</si>
  <si>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</si>
  <si>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</si>
  <si>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</si>
  <si>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</si>
  <si>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</si>
  <si>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</si>
  <si>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</si>
  <si>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</si>
  <si>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</si>
  <si>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</si>
  <si>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</si>
  <si>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</si>
  <si>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</si>
  <si>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</si>
  <si>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</si>
  <si>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</si>
  <si>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</si>
  <si>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</si>
  <si>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</si>
  <si>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</si>
  <si>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</si>
  <si>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</si>
  <si>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</si>
  <si>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</si>
  <si>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</si>
  <si>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</si>
  <si>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</si>
  <si>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</si>
  <si>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</si>
  <si>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</si>
  <si>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</si>
  <si>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</si>
  <si>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</si>
  <si>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</si>
  <si>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</si>
  <si>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</si>
  <si>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</si>
  <si>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</si>
  <si>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</si>
  <si>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</si>
  <si>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</si>
  <si>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</si>
  <si>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</si>
  <si>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</si>
  <si>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</si>
  <si>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</si>
  <si>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</si>
  <si>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</si>
  <si>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</si>
  <si>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</si>
  <si>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</si>
  <si>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</si>
  <si>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</si>
  <si>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</si>
  <si>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</si>
  <si>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</si>
  <si>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</si>
  <si>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</si>
  <si>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</si>
  <si>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</si>
  <si>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</si>
  <si>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</si>
  <si>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</si>
  <si>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</si>
  <si>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</si>
  <si>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</si>
  <si>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</si>
  <si>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</si>
  <si>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</si>
  <si>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</si>
  <si>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</si>
  <si>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</si>
  <si>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</si>
  <si>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</si>
  <si>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</si>
  <si>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</si>
  <si>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</si>
  <si>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</si>
  <si>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</si>
  <si>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</si>
  <si>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</si>
  <si>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</si>
  <si>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</si>
  <si>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</si>
  <si>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</si>
  <si>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</si>
  <si>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</si>
  <si>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</si>
  <si>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</si>
  <si>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</si>
  <si>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</si>
  <si>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</si>
  <si>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</si>
  <si>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</si>
  <si>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</si>
  <si>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</si>
  <si>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</si>
  <si>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</si>
  <si>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</si>
  <si>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</si>
  <si>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</si>
  <si>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</si>
  <si>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</si>
  <si>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</si>
  <si>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</si>
  <si>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</si>
  <si>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</si>
  <si>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</si>
  <si>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</si>
  <si>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</si>
  <si>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</si>
  <si>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</si>
  <si>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</si>
  <si>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</si>
  <si>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</si>
  <si>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</si>
  <si>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</si>
  <si>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</si>
  <si>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</si>
  <si>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</si>
  <si>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</si>
  <si>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</si>
  <si>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</si>
  <si>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</si>
  <si>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</si>
  <si>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</si>
  <si>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</si>
  <si>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</si>
  <si>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</si>
  <si>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</si>
  <si>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</si>
  <si>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</si>
  <si>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</si>
  <si>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</si>
  <si>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</si>
  <si>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</si>
  <si>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</si>
  <si>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</si>
  <si>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</si>
  <si>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</si>
  <si>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</si>
  <si>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</si>
  <si>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</si>
  <si>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</si>
  <si>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</si>
  <si>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</si>
  <si>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</si>
  <si>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</si>
  <si>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</si>
  <si>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</si>
  <si>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</si>
  <si>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</si>
  <si>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</si>
  <si>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</si>
  <si>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</si>
  <si>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</si>
  <si>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</si>
  <si>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</si>
  <si>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</si>
  <si>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</si>
  <si>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</si>
  <si>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</si>
  <si>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</si>
  <si>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</si>
  <si>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</si>
  <si>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</si>
  <si>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</si>
  <si>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</si>
  <si>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</si>
  <si>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</si>
  <si>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</si>
  <si>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</si>
  <si>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</si>
  <si>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</si>
  <si>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</si>
  <si>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</si>
  <si>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</si>
  <si>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</si>
  <si>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</si>
  <si>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</si>
  <si>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</si>
  <si>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</si>
  <si>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</si>
  <si>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</si>
  <si>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</si>
  <si>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</si>
  <si>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</si>
  <si>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</si>
  <si>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</si>
  <si>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</si>
  <si>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</si>
  <si>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</si>
  <si>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</si>
  <si>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</si>
  <si>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</si>
  <si>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</si>
  <si>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</si>
  <si>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</si>
  <si>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</si>
  <si>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</si>
  <si>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</si>
  <si>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</si>
  <si>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</si>
  <si>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</si>
  <si>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</si>
  <si>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</si>
  <si>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</si>
  <si>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</si>
  <si>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</si>
  <si>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</si>
  <si>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</si>
  <si>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</si>
  <si>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</si>
  <si>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</si>
  <si>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</si>
  <si>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</si>
  <si>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</si>
  <si>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</si>
  <si>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</si>
  <si>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</si>
  <si>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</si>
  <si>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</si>
  <si>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</si>
  <si>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</si>
  <si>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</si>
  <si>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</si>
  <si>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</si>
  <si>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</si>
  <si>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</si>
  <si>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</si>
  <si>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</si>
  <si>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</si>
  <si>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</si>
  <si>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</si>
  <si>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</si>
  <si>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</si>
  <si>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</si>
  <si>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</si>
  <si>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</si>
  <si>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</si>
  <si>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</si>
  <si>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</si>
  <si>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</si>
  <si>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</si>
  <si>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</si>
  <si>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</si>
  <si>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</si>
  <si>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</si>
  <si>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</si>
  <si>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</si>
  <si>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</si>
  <si>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</si>
  <si>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</si>
  <si>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</si>
  <si>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</si>
  <si>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</si>
  <si>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</si>
  <si>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</si>
  <si>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</si>
  <si>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</si>
  <si>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</si>
  <si>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</si>
  <si>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</si>
  <si>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</si>
  <si>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</si>
  <si>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</si>
  <si>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</si>
  <si>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</si>
  <si>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</si>
  <si>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</si>
  <si>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</si>
  <si>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</si>
  <si>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</si>
  <si>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</si>
  <si>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</si>
  <si>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</si>
  <si>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</si>
  <si>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</si>
  <si>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</si>
  <si>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</si>
  <si>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</si>
  <si>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</si>
  <si>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</si>
  <si>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</si>
  <si>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</si>
  <si>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</si>
  <si>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</si>
  <si>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</si>
  <si>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</si>
  <si>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</si>
  <si>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</si>
  <si>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</si>
  <si>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</si>
  <si>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</si>
  <si>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</si>
  <si>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</si>
  <si>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</si>
  <si>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</si>
  <si>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</si>
  <si>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</si>
  <si>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</si>
  <si>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</si>
  <si>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</si>
  <si>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</si>
  <si>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</si>
  <si>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</si>
  <si>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</si>
  <si>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</si>
  <si>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</si>
  <si>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</si>
  <si>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</si>
  <si>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</si>
  <si>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</si>
  <si>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</si>
  <si>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</si>
  <si>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</si>
  <si>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</si>
  <si>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</si>
  <si>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</si>
  <si>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</si>
  <si>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</si>
  <si>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</si>
  <si>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</si>
  <si>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</si>
  <si>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</si>
  <si>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</si>
  <si>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</si>
  <si>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</si>
  <si>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</si>
  <si>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</si>
  <si>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</si>
  <si>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</si>
  <si>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</si>
  <si>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</si>
  <si>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</si>
  <si>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</si>
  <si>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</si>
  <si>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</si>
  <si>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</si>
  <si>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</si>
  <si>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</si>
  <si>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</si>
  <si>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</si>
  <si>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</si>
  <si>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</si>
  <si>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</si>
  <si>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</si>
  <si>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</si>
  <si>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</si>
  <si>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</si>
  <si>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</si>
  <si>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</si>
  <si>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</si>
  <si>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</si>
  <si>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</si>
  <si>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</si>
  <si>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</si>
  <si>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</si>
  <si>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</si>
  <si>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</si>
  <si>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</si>
  <si>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</si>
  <si>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</si>
  <si>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</si>
  <si>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</si>
  <si>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</si>
  <si>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</si>
  <si>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</si>
  <si>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</si>
  <si>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</si>
  <si>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</si>
  <si>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</si>
  <si>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</si>
  <si>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</si>
  <si>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</si>
  <si>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</si>
  <si>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</si>
  <si>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</si>
  <si>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</si>
  <si>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</si>
  <si>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</si>
  <si>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</si>
  <si>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</si>
  <si>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</si>
  <si>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</si>
  <si>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</si>
  <si>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</si>
  <si>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</si>
  <si>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</si>
  <si>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</si>
  <si>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</si>
  <si>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</si>
  <si>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</si>
  <si>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</si>
  <si>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</si>
  <si>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</si>
  <si>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</si>
  <si>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</si>
  <si>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</si>
  <si>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</si>
  <si>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</si>
  <si>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</si>
  <si>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</si>
  <si>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</si>
  <si>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</si>
  <si>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</si>
  <si>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</si>
  <si>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</si>
  <si>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</si>
  <si>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</si>
  <si>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</si>
  <si>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</si>
  <si>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</si>
  <si>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</si>
  <si>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</si>
  <si>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</si>
  <si>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</si>
  <si>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</si>
  <si>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</si>
  <si>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</si>
  <si>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</si>
  <si>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</si>
  <si>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</si>
  <si>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</si>
  <si>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</si>
  <si>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</si>
  <si>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</si>
  <si>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</si>
  <si>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</si>
  <si>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</si>
  <si>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</si>
  <si>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</si>
  <si>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</si>
  <si>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</si>
  <si>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</si>
  <si>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</si>
  <si>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</si>
  <si>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</si>
  <si>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</si>
  <si>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</si>
  <si>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</si>
  <si>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</si>
  <si>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</si>
  <si>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</si>
  <si>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</si>
  <si>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</si>
  <si>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</si>
  <si>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</si>
  <si>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</si>
  <si>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</si>
  <si>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</si>
  <si>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</si>
  <si>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</si>
  <si>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</si>
  <si>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</si>
  <si>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</si>
  <si>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</si>
  <si>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</si>
  <si>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</si>
  <si>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</si>
  <si>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</si>
  <si>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</si>
  <si>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</si>
  <si>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</si>
  <si>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</si>
  <si>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</si>
  <si>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</si>
  <si>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</si>
  <si>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</si>
  <si>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</si>
  <si>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</si>
  <si>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</si>
  <si>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</si>
  <si>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</si>
  <si>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</si>
  <si>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</si>
  <si>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</si>
  <si>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</si>
  <si>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</si>
  <si>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</si>
  <si>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</si>
  <si>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</si>
  <si>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</si>
  <si>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</si>
  <si>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</si>
  <si>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</si>
  <si>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</si>
  <si>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</si>
  <si>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</si>
  <si>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</si>
  <si>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</si>
  <si>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</si>
  <si>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</si>
  <si>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</si>
  <si>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</si>
  <si>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</si>
  <si>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</si>
  <si>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</si>
  <si>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</si>
  <si>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</si>
  <si>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</si>
  <si>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</si>
  <si>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</si>
  <si>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</si>
  <si>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</si>
  <si>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</si>
  <si>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</si>
  <si>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</si>
  <si>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</si>
  <si>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</si>
  <si>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</si>
  <si>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</si>
  <si>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</si>
  <si>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</si>
  <si>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</si>
  <si>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</si>
  <si>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</si>
  <si>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</si>
  <si>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</si>
  <si>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</si>
  <si>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</si>
  <si>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</si>
  <si>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</si>
  <si>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</si>
  <si>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</si>
  <si>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</si>
  <si>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</si>
  <si>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</si>
  <si>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</si>
  <si>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</si>
  <si>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</si>
  <si>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</si>
  <si>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</si>
  <si>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</si>
  <si>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</si>
  <si>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</si>
  <si>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</si>
  <si>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</si>
  <si>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</si>
  <si>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</si>
  <si>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</si>
  <si>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</si>
  <si>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</si>
  <si>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</si>
  <si>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</si>
  <si>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</si>
  <si>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</si>
  <si>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</si>
  <si>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</si>
  <si>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</si>
  <si>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</si>
  <si>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</si>
  <si>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</si>
  <si>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</si>
  <si>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</si>
  <si>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</si>
  <si>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</si>
  <si>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</si>
  <si>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</si>
  <si>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</si>
  <si>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</si>
  <si>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</si>
  <si>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</si>
  <si>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</si>
  <si>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</si>
  <si>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</si>
  <si>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</si>
  <si>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</si>
  <si>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</si>
  <si>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</si>
  <si>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</si>
  <si>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</si>
  <si>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</si>
  <si>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</si>
  <si>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</si>
  <si>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</si>
  <si>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</si>
  <si>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</si>
  <si>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</si>
  <si>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</si>
  <si>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</si>
  <si>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</si>
  <si>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</si>
  <si>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</si>
  <si>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</si>
  <si>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</si>
  <si>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</si>
  <si>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</si>
  <si>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</si>
  <si>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</si>
  <si>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</si>
  <si>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</si>
  <si>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</si>
  <si>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</si>
  <si>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</si>
  <si>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</si>
  <si>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</si>
  <si>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</si>
  <si>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</si>
  <si>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</si>
  <si>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</si>
  <si>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</si>
  <si>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</si>
  <si>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</si>
  <si>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</si>
  <si>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</si>
  <si>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</si>
  <si>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</si>
  <si>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</si>
  <si>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</si>
  <si>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</si>
  <si>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</si>
  <si>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</si>
  <si>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</si>
  <si>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</si>
  <si>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</si>
  <si>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</si>
  <si>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</si>
  <si>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</si>
  <si>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</si>
  <si>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</si>
  <si>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</si>
  <si>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</si>
  <si>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</si>
  <si>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</si>
  <si>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</si>
  <si>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</si>
  <si>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</si>
  <si>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</si>
  <si>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</si>
  <si>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</si>
  <si>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</si>
  <si>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</si>
  <si>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</si>
  <si>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</si>
  <si>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</si>
  <si>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</si>
  <si>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</si>
  <si>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</si>
  <si>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</si>
  <si>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</si>
  <si>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</si>
  <si>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</si>
  <si>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</si>
  <si>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</si>
  <si>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</si>
  <si>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</si>
  <si>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</si>
  <si>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</si>
  <si>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</si>
  <si>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</si>
  <si>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</si>
  <si>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</si>
  <si>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</si>
  <si>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</si>
  <si>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</si>
  <si>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</si>
  <si>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</si>
  <si>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</si>
  <si>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</si>
  <si>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</si>
  <si>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</si>
  <si>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</si>
  <si>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</si>
  <si>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</si>
  <si>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</si>
  <si>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</si>
  <si>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</si>
  <si>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</si>
  <si>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</si>
  <si>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</si>
  <si>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</si>
  <si>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</si>
  <si>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</si>
  <si>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</si>
  <si>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</si>
  <si>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</si>
  <si>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</si>
  <si>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</si>
  <si>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</si>
  <si>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</si>
  <si>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</si>
  <si>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</si>
  <si>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</si>
  <si>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</si>
  <si>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</si>
  <si>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</si>
  <si>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</si>
  <si>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</si>
  <si>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</si>
  <si>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</si>
  <si>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</si>
  <si>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</si>
  <si>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</si>
  <si>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</si>
  <si>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</si>
  <si>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</si>
  <si>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</si>
  <si>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</si>
  <si>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</si>
  <si>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</si>
  <si>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</si>
  <si>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</si>
  <si>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</si>
  <si>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</si>
  <si>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</si>
  <si>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</si>
  <si>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</si>
  <si>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</si>
  <si>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</si>
  <si>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</si>
  <si>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</si>
  <si>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</si>
  <si>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</si>
  <si>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</si>
  <si>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</si>
  <si>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</si>
  <si>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</si>
  <si>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</si>
  <si>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</si>
  <si>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</si>
  <si>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</si>
  <si>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</si>
  <si>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</si>
  <si>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</si>
  <si>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</si>
  <si>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</si>
  <si>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</si>
  <si>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</si>
  <si>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</si>
  <si>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</si>
  <si>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</si>
  <si>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</si>
  <si>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</si>
  <si>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</si>
  <si>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</si>
  <si>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</si>
  <si>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</si>
  <si>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</si>
  <si>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</si>
  <si>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</si>
  <si>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</si>
  <si>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</si>
  <si>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</si>
  <si>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</si>
  <si>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</si>
  <si>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</si>
  <si>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</si>
  <si>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</si>
  <si>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</si>
  <si>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</si>
  <si>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</si>
  <si>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</si>
  <si>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</si>
  <si>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</si>
  <si>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</si>
  <si>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</si>
  <si>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</si>
  <si>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</si>
  <si>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</si>
  <si>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</si>
  <si>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</si>
  <si>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</si>
  <si>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</si>
  <si>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</si>
  <si>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</si>
  <si>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</si>
  <si>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</si>
  <si>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</si>
  <si>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</si>
  <si>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</si>
  <si>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</si>
  <si>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</si>
  <si>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</si>
  <si>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</si>
  <si>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</si>
  <si>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</si>
  <si>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</si>
  <si>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</si>
  <si>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</si>
  <si>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</si>
  <si>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</si>
  <si>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</si>
  <si>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</si>
  <si>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</si>
  <si>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</si>
  <si>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</si>
  <si>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</si>
  <si>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</si>
  <si>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</si>
  <si>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</si>
  <si>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</si>
  <si>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</si>
  <si>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</si>
  <si>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</si>
  <si>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</si>
  <si>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</si>
  <si>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</si>
  <si>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</si>
  <si>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</si>
  <si>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</si>
  <si>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</si>
  <si>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</si>
  <si>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</si>
  <si>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</si>
  <si>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</si>
  <si>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</si>
  <si>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</si>
  <si>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</si>
  <si>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</si>
  <si>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</si>
  <si>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</si>
  <si>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</si>
  <si>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</si>
  <si>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</si>
  <si>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</si>
  <si>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</si>
  <si>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</si>
  <si>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</si>
  <si>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</si>
  <si>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</si>
  <si>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</si>
  <si>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</si>
  <si>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</si>
  <si>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</si>
  <si>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</si>
  <si>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</si>
  <si>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</si>
  <si>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</si>
  <si>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</si>
  <si>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</si>
  <si>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</si>
  <si>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</si>
  <si>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</si>
  <si>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</si>
  <si>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</si>
  <si>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</si>
  <si>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</si>
  <si>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</si>
  <si>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</si>
  <si>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</si>
  <si>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</si>
  <si>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</si>
  <si>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</si>
  <si>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</si>
  <si>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</si>
  <si>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</si>
  <si>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</si>
  <si>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</si>
  <si>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</si>
  <si>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</si>
  <si>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</si>
  <si>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</si>
  <si>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</si>
  <si>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</si>
  <si>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</si>
  <si>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</si>
  <si>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</si>
  <si>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</si>
  <si>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</si>
  <si>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</si>
  <si>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</si>
  <si>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</si>
  <si>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</si>
  <si>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</si>
  <si>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</si>
  <si>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</si>
  <si>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</si>
  <si>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</si>
  <si>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</si>
  <si>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</si>
  <si>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</si>
  <si>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</si>
  <si>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</si>
  <si>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</si>
  <si>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</si>
  <si>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</si>
  <si>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</si>
  <si>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</si>
  <si>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</si>
  <si>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</si>
  <si>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</si>
  <si>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</si>
  <si>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</si>
  <si>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</si>
  <si>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</si>
  <si>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</si>
  <si>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</si>
  <si>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</si>
  <si>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</si>
  <si>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</si>
  <si>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</si>
  <si>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</si>
  <si>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</si>
  <si>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</si>
  <si>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</si>
  <si>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</si>
  <si>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</si>
  <si>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</si>
  <si>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</si>
  <si>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</si>
  <si>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</si>
  <si>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</si>
  <si>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</si>
  <si>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</si>
  <si>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</si>
  <si>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</si>
  <si>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</si>
  <si>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</si>
  <si>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</si>
  <si>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</si>
  <si>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</si>
  <si>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</si>
  <si>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</si>
  <si>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</si>
  <si>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</si>
  <si>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</si>
  <si>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</si>
  <si>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</si>
  <si>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</si>
  <si>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</si>
  <si>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</si>
  <si>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</si>
  <si>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</si>
  <si>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</si>
  <si>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</si>
  <si>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</si>
  <si>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</si>
  <si>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</si>
  <si>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</si>
  <si>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</si>
  <si>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</si>
  <si>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</si>
  <si>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</si>
  <si>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</si>
  <si>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</si>
  <si>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</si>
  <si>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</si>
  <si>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</si>
  <si>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</si>
  <si>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</si>
  <si>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</si>
  <si>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</si>
  <si>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</si>
  <si>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</si>
  <si>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</si>
  <si>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</si>
  <si>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</si>
  <si>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</si>
  <si>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</si>
  <si>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</si>
  <si>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</si>
  <si>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</si>
  <si>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</si>
  <si>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</si>
  <si>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</si>
  <si>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</si>
  <si>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</si>
  <si>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</si>
  <si>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</si>
  <si>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</si>
  <si>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</si>
  <si>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</si>
  <si>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</si>
  <si>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</si>
  <si>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</si>
  <si>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</si>
  <si>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</si>
  <si>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</si>
  <si>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</si>
  <si>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</si>
  <si>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</si>
  <si>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</si>
  <si>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</si>
  <si>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</si>
  <si>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</si>
  <si>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</si>
  <si>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</si>
  <si>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</si>
  <si>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</si>
  <si>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</si>
  <si>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</si>
  <si>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</si>
  <si>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</si>
  <si>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</si>
  <si>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</si>
  <si>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</si>
  <si>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</si>
  <si>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</si>
  <si>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</si>
  <si>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</si>
  <si>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</si>
  <si>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</si>
  <si>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</si>
  <si>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</si>
  <si>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</si>
  <si>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</si>
  <si>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</si>
  <si>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</si>
  <si>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</si>
  <si>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</si>
  <si>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</si>
  <si>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</si>
  <si>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</si>
  <si>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</si>
  <si>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</si>
  <si>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</si>
  <si>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</si>
  <si>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</si>
  <si>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</si>
  <si>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</si>
  <si>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</si>
  <si>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</si>
  <si>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</si>
  <si>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</si>
  <si>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</si>
  <si>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</si>
  <si>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</si>
  <si>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</si>
  <si>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</si>
  <si>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</si>
  <si>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</si>
  <si>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</si>
  <si>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</si>
  <si>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</si>
  <si>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</si>
  <si>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</si>
  <si>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</si>
  <si>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</si>
  <si>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</si>
  <si>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</si>
  <si>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</si>
  <si>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</si>
  <si>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</si>
  <si>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</si>
  <si>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</si>
  <si>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</si>
  <si>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</si>
  <si>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</si>
  <si>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</si>
  <si>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</si>
  <si>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</si>
  <si>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</si>
  <si>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</si>
  <si>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</si>
  <si>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</si>
  <si>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</si>
  <si>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</si>
  <si>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</si>
  <si>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</si>
  <si>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</si>
  <si>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</si>
  <si>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</si>
  <si>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</si>
  <si>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</si>
  <si>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</si>
  <si>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</si>
  <si>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</si>
  <si>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</si>
  <si>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</si>
  <si>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</si>
  <si>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</si>
  <si>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</si>
  <si>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</si>
  <si>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</si>
  <si>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</si>
  <si>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</si>
  <si>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</si>
  <si>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</si>
  <si>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</si>
  <si>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</si>
  <si>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</si>
  <si>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</si>
  <si>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</si>
  <si>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</si>
  <si>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</si>
  <si>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</si>
  <si>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</si>
  <si>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</si>
  <si>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</si>
  <si>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</si>
  <si>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</si>
  <si>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</si>
  <si>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</si>
  <si>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</si>
  <si>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</si>
  <si>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</si>
  <si>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</si>
  <si>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</si>
  <si>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</si>
  <si>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</si>
  <si>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</si>
  <si>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</si>
  <si>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</si>
  <si>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</si>
  <si>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</si>
  <si>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</si>
  <si>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</si>
  <si>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</si>
  <si>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</si>
  <si>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</si>
  <si>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</si>
  <si>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</si>
  <si>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</si>
  <si>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</si>
  <si>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</si>
  <si>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</si>
  <si>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</si>
  <si>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</si>
  <si>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</si>
  <si>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</si>
  <si>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</si>
  <si>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</si>
  <si>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</si>
  <si>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</si>
  <si>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</si>
  <si>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</si>
  <si>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</si>
  <si>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</si>
  <si>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</si>
  <si>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</si>
  <si>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</si>
  <si>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</si>
  <si>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</si>
  <si>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</si>
  <si>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</si>
  <si>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</si>
  <si>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</si>
  <si>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</si>
  <si>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</si>
  <si>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</si>
  <si>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</si>
  <si>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</si>
  <si>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</si>
  <si>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</si>
  <si>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</si>
  <si>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</si>
  <si>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</si>
  <si>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</si>
  <si>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</si>
  <si>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</si>
  <si>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</si>
  <si>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</si>
  <si>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</si>
  <si>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</si>
  <si>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</si>
  <si>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</si>
  <si>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</si>
  <si>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</si>
  <si>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</si>
  <si>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</si>
  <si>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</si>
  <si>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</si>
  <si>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</si>
  <si>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</si>
  <si>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</si>
  <si>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</si>
  <si>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</si>
  <si>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</si>
  <si>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</si>
  <si>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</si>
  <si>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</si>
  <si>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</si>
  <si>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</si>
  <si>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</si>
  <si>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</si>
  <si>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</si>
  <si>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</si>
  <si>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</si>
  <si>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</si>
  <si>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</si>
  <si>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</si>
  <si>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</si>
  <si>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</si>
  <si>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</si>
  <si>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</si>
  <si>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</si>
  <si>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</si>
  <si>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</si>
  <si>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</si>
  <si>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</si>
  <si>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</si>
  <si>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</si>
  <si>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</si>
  <si>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</si>
  <si>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</si>
  <si>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</si>
  <si>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</si>
  <si>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</si>
  <si>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</si>
  <si>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</si>
  <si>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</si>
  <si>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</si>
  <si>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</si>
  <si>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</si>
  <si>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</si>
  <si>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</si>
  <si>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</si>
  <si>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</si>
  <si>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</si>
  <si>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</si>
  <si>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</si>
  <si>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</si>
  <si>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</si>
  <si>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</si>
  <si>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</si>
  <si>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</si>
  <si>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</si>
  <si>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</si>
  <si>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</si>
  <si>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</si>
  <si>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</si>
  <si>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</si>
  <si>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</si>
  <si>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</si>
  <si>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</si>
  <si>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</si>
  <si>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</si>
  <si>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</si>
  <si>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</si>
  <si>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</si>
  <si>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</si>
  <si>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</si>
  <si>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</si>
  <si>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</si>
  <si>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</si>
  <si>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</si>
  <si>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</si>
  <si>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</si>
  <si>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</si>
  <si>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</si>
  <si>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</si>
  <si>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</si>
  <si>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</si>
  <si>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</si>
  <si>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</si>
  <si>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</si>
  <si>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</si>
  <si>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</si>
  <si>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</si>
  <si>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</si>
  <si>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</si>
  <si>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</si>
  <si>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</si>
  <si>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</si>
  <si>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</si>
  <si>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</si>
  <si>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</si>
  <si>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</si>
  <si>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</si>
  <si>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</si>
  <si>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</si>
  <si>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</si>
  <si>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</si>
  <si>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</si>
  <si>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</si>
  <si>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</si>
  <si>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</si>
  <si>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</si>
  <si>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</si>
  <si>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</si>
  <si>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</si>
  <si>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</si>
  <si>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</si>
  <si>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</si>
  <si>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</si>
  <si>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</si>
  <si>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</si>
  <si>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</si>
  <si>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</si>
  <si>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</si>
  <si>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</si>
  <si>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</si>
  <si>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</si>
  <si>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</si>
  <si>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</si>
  <si>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</si>
  <si>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</si>
  <si>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</si>
  <si>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</si>
  <si>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</si>
  <si>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</si>
  <si>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</si>
  <si>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</si>
  <si>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</si>
  <si>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</si>
  <si>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</si>
  <si>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</si>
  <si>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</si>
  <si>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</si>
  <si>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</si>
  <si>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</si>
  <si>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</si>
  <si>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</si>
  <si>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</si>
  <si>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</si>
  <si>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</si>
  <si>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</si>
  <si>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</si>
  <si>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</si>
  <si>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</si>
  <si>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</si>
  <si>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</si>
  <si>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</si>
  <si>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</si>
  <si>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</si>
  <si>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</si>
  <si>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</si>
  <si>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</si>
  <si>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</si>
  <si>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</si>
  <si>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</si>
  <si>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</si>
  <si>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</si>
  <si>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</si>
  <si>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</si>
  <si>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</si>
  <si>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</si>
  <si>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</si>
  <si>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</si>
  <si>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</si>
  <si>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</si>
  <si>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</si>
  <si>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</si>
  <si>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</si>
  <si>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</si>
  <si>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</si>
  <si>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</si>
  <si>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</si>
  <si>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</si>
  <si>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</si>
  <si>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</si>
  <si>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</si>
  <si>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</si>
  <si>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</si>
  <si>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</si>
  <si>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</si>
  <si>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</si>
  <si>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</si>
  <si>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</si>
  <si>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</si>
  <si>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</si>
  <si>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</si>
  <si>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</si>
  <si>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</si>
  <si>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</si>
  <si>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</si>
  <si>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</si>
  <si>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</si>
  <si>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</si>
  <si>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</si>
  <si>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</si>
  <si>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</si>
  <si>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</si>
  <si>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</si>
  <si>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</si>
  <si>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</si>
  <si>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</si>
  <si>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</si>
  <si>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</si>
  <si>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</si>
  <si>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</si>
  <si>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</si>
  <si>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</si>
  <si>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</si>
  <si>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</si>
  <si>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</si>
  <si>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</si>
  <si>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</si>
  <si>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</si>
  <si>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</si>
  <si>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</si>
  <si>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</si>
  <si>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</si>
  <si>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</si>
  <si>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</si>
  <si>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</si>
  <si>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</si>
  <si>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</si>
  <si>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</si>
  <si>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</si>
  <si>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</si>
  <si>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</si>
  <si>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</si>
  <si>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</si>
  <si>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</si>
  <si>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</si>
  <si>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</si>
  <si>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</si>
  <si>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</si>
  <si>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</si>
  <si>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</si>
  <si>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</si>
  <si>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</si>
  <si>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</si>
  <si>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</si>
  <si>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</si>
  <si>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</si>
  <si>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</si>
  <si>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</si>
  <si>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</si>
  <si>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</si>
  <si>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</si>
  <si>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</si>
  <si>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</si>
  <si>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</si>
  <si>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</si>
  <si>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</si>
  <si>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</si>
  <si>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</si>
  <si>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</si>
  <si>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</si>
  <si>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</si>
  <si>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</si>
  <si>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</si>
  <si>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</si>
  <si>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</si>
  <si>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</si>
  <si>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</si>
  <si>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</si>
  <si>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</si>
  <si>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</si>
  <si>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</si>
  <si>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</si>
  <si>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</si>
  <si>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</si>
  <si>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</si>
  <si>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</si>
  <si>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</si>
  <si>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</si>
  <si>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</si>
  <si>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</si>
  <si>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</si>
  <si>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</si>
  <si>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</si>
  <si>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</si>
  <si>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</si>
  <si>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</si>
  <si>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</si>
  <si>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</si>
  <si>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</si>
  <si>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</si>
  <si>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</si>
  <si>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</si>
  <si>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</si>
  <si>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</si>
  <si>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</si>
  <si>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</si>
  <si>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</si>
  <si>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</si>
  <si>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</si>
  <si>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</si>
  <si>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</si>
  <si>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</si>
  <si>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</si>
  <si>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</si>
  <si>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</si>
  <si>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</si>
  <si>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</si>
  <si>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</si>
  <si>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</si>
  <si>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</si>
  <si>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</si>
  <si>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</si>
  <si>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</si>
  <si>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</si>
  <si>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</si>
  <si>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</si>
  <si>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</si>
  <si>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</si>
  <si>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</si>
  <si>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</si>
  <si>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</si>
  <si>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</si>
  <si>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</si>
  <si>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</si>
  <si>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</si>
  <si>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</si>
  <si>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</si>
  <si>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</si>
  <si>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</si>
  <si>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</si>
  <si>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</si>
  <si>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</si>
  <si>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</si>
  <si>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</si>
  <si>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</si>
  <si>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</si>
  <si>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</si>
  <si>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</si>
  <si>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</si>
  <si>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</si>
  <si>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</si>
  <si>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</si>
  <si>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</si>
  <si>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</si>
  <si>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</si>
  <si>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</si>
  <si>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</si>
  <si>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</si>
  <si>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</si>
  <si>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</si>
  <si>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</si>
  <si>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</si>
  <si>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</si>
  <si>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</si>
  <si>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</si>
  <si>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</si>
  <si>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</si>
  <si>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</si>
  <si>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</si>
  <si>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</si>
  <si>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</si>
  <si>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</si>
  <si>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</si>
  <si>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</si>
  <si>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</si>
  <si>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</si>
  <si>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</si>
  <si>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</si>
  <si>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</si>
  <si>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</si>
  <si>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</si>
  <si>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</si>
  <si>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</si>
  <si>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</si>
  <si>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</si>
  <si>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</si>
  <si>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</si>
  <si>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</si>
  <si>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</si>
  <si>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</si>
  <si>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</si>
  <si>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</si>
  <si>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</si>
  <si>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</si>
  <si>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</si>
  <si>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</si>
  <si>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</si>
  <si>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</si>
  <si>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</si>
  <si>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</si>
  <si>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</si>
  <si>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</si>
  <si>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</si>
  <si>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</si>
  <si>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</si>
  <si>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</si>
  <si>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</si>
  <si>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</si>
  <si>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</si>
  <si>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</si>
  <si>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</si>
  <si>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</si>
  <si>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</si>
  <si>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</si>
  <si>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</si>
  <si>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</si>
  <si>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</si>
  <si>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</si>
  <si>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</si>
  <si>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</si>
  <si>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</si>
  <si>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</si>
  <si>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</si>
  <si>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</si>
  <si>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</si>
  <si>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</si>
  <si>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</si>
  <si>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</si>
  <si>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</si>
  <si>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</si>
  <si>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</si>
  <si>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</si>
  <si>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</si>
  <si>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</si>
  <si>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</si>
  <si>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</si>
  <si>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</si>
  <si>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</si>
  <si>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</si>
  <si>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</si>
  <si>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</si>
  <si>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</si>
  <si>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</si>
  <si>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</si>
  <si>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</si>
  <si>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</si>
  <si>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</si>
  <si>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</si>
  <si>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</si>
  <si>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</si>
  <si>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</si>
  <si>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</si>
  <si>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</si>
  <si>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</si>
  <si>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</si>
  <si>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</si>
  <si>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</si>
  <si>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</si>
  <si>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</si>
  <si>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</si>
  <si>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</si>
  <si>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</si>
  <si>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</si>
  <si>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</si>
  <si>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</si>
  <si>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</si>
  <si>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</si>
  <si>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</si>
  <si>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</si>
  <si>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</si>
  <si>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</si>
  <si>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</si>
  <si>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</si>
  <si>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</si>
  <si>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</si>
  <si>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</si>
  <si>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</si>
  <si>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</si>
  <si>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</si>
  <si>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</si>
  <si>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</si>
  <si>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</si>
  <si>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</si>
  <si>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</si>
  <si>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</si>
  <si>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</si>
  <si>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</si>
  <si>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</si>
  <si>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</si>
  <si>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</si>
  <si>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</si>
  <si>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</si>
  <si>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</si>
  <si>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</si>
  <si>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</si>
  <si>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</si>
  <si>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</si>
  <si>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</si>
  <si>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</si>
  <si>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</si>
  <si>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</si>
  <si>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</si>
  <si>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</si>
  <si>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</si>
  <si>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</si>
  <si>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</si>
  <si>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</si>
  <si>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</si>
  <si>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</si>
  <si>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</si>
  <si>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</si>
  <si>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</si>
  <si>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</si>
  <si>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</si>
  <si>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</si>
  <si>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</si>
  <si>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</si>
  <si>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</si>
  <si>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</si>
  <si>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</si>
  <si>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</si>
  <si>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</si>
  <si>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</si>
  <si>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</si>
  <si>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</si>
  <si>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</si>
  <si>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</si>
  <si>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</si>
  <si>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</si>
  <si>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</si>
  <si>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</si>
  <si>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</si>
  <si>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</si>
  <si>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</si>
  <si>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</si>
  <si>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</si>
  <si>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</si>
  <si>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</si>
  <si>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</si>
  <si>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</si>
  <si>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</si>
  <si>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</si>
  <si>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</si>
  <si>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</si>
  <si>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</si>
  <si>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</si>
  <si>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</si>
  <si>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</si>
  <si>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</si>
  <si>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</si>
  <si>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</si>
  <si>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</si>
  <si>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</si>
  <si>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</si>
  <si>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</si>
  <si>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</si>
  <si>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</si>
  <si>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</si>
  <si>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</si>
  <si>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</si>
  <si>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</si>
  <si>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</si>
  <si>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</si>
  <si>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</si>
  <si>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</si>
  <si>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</si>
  <si>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</si>
  <si>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</si>
  <si>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</si>
  <si>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</si>
  <si>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</si>
  <si>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</si>
  <si>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</si>
  <si>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</si>
  <si>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</si>
  <si>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</si>
  <si>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</si>
  <si>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</si>
  <si>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</si>
  <si>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</si>
  <si>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</si>
  <si>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</si>
  <si>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</si>
  <si>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</si>
  <si>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</si>
  <si>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</si>
  <si>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</si>
  <si>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</si>
  <si>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</si>
  <si>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</si>
  <si>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</si>
  <si>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</si>
  <si>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</si>
  <si>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</si>
  <si>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</si>
  <si>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</si>
  <si>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</si>
  <si>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</si>
  <si>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</si>
  <si>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</si>
  <si>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</si>
  <si>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</si>
  <si>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</si>
  <si>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</si>
  <si>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</si>
  <si>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</si>
  <si>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</si>
  <si>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</si>
  <si>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</si>
  <si>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</si>
  <si>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</si>
  <si>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</si>
  <si>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</si>
  <si>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</si>
  <si>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</si>
  <si>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</si>
  <si>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</si>
  <si>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</si>
  <si>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</si>
  <si>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</si>
  <si>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</si>
  <si>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</si>
  <si>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</si>
  <si>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</si>
  <si>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</si>
  <si>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</si>
  <si>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</si>
  <si>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</si>
  <si>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</si>
  <si>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</si>
  <si>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</si>
  <si>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</si>
  <si>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</si>
  <si>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</si>
  <si>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</si>
  <si>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</si>
  <si>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</si>
  <si>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</si>
  <si>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</si>
  <si>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</si>
  <si>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</si>
  <si>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</si>
  <si>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</si>
  <si>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</si>
  <si>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</si>
  <si>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</si>
  <si>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</si>
  <si>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</si>
  <si>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</si>
  <si>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</si>
  <si>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</si>
  <si>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</si>
  <si>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</si>
  <si>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</si>
  <si>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</si>
  <si>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</si>
  <si>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</si>
  <si>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</si>
  <si>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</si>
  <si>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</si>
  <si>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</si>
  <si>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</si>
  <si>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</si>
  <si>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</si>
  <si>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</si>
  <si>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</si>
  <si>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</si>
  <si>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</si>
  <si>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</si>
  <si>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</si>
  <si>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</si>
  <si>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</si>
  <si>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</si>
  <si>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</si>
  <si>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</si>
  <si>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</si>
  <si>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</si>
  <si>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</si>
  <si>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</si>
  <si>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</si>
  <si>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</si>
  <si>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</si>
  <si>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</si>
  <si>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</si>
  <si>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</si>
  <si>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</si>
  <si>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</si>
  <si>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</si>
  <si>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房地产市场价值</t>
  </si>
  <si>
    <t>出让</t>
  </si>
  <si>
    <t>欧红伟</t>
  </si>
  <si>
    <t>李立</t>
  </si>
  <si>
    <t>北京八家嘉苑房地产开发有限公司</t>
    <phoneticPr fontId="6" type="noConversion"/>
  </si>
  <si>
    <t>北京农商银行海淀支行</t>
    <phoneticPr fontId="6" type="noConversion"/>
  </si>
  <si>
    <t>抵押</t>
  </si>
  <si>
    <t>房地产抵押价值</t>
  </si>
  <si>
    <t>北京市</t>
  </si>
  <si>
    <t>海淀区八家嘉苑</t>
    <phoneticPr fontId="6" type="noConversion"/>
  </si>
  <si>
    <t>建筑面积合计</t>
    <phoneticPr fontId="143" type="noConversion"/>
  </si>
  <si>
    <r>
      <rPr>
        <sz val="11"/>
        <color theme="1"/>
        <rFont val="宋体"/>
        <family val="2"/>
      </rPr>
      <t>序号</t>
    </r>
    <phoneticPr fontId="143" type="noConversion"/>
  </si>
  <si>
    <r>
      <rPr>
        <sz val="11"/>
        <color theme="1"/>
        <rFont val="宋体"/>
        <family val="2"/>
      </rPr>
      <t>楼号</t>
    </r>
    <phoneticPr fontId="143" type="noConversion"/>
  </si>
  <si>
    <t>单元号</t>
    <phoneticPr fontId="143" type="noConversion"/>
  </si>
  <si>
    <t>房号</t>
    <phoneticPr fontId="143" type="noConversion"/>
  </si>
  <si>
    <r>
      <rPr>
        <sz val="11"/>
        <color theme="1"/>
        <rFont val="宋体"/>
        <family val="2"/>
      </rPr>
      <t>建筑面积</t>
    </r>
    <phoneticPr fontId="143" type="noConversion"/>
  </si>
  <si>
    <r>
      <rPr>
        <sz val="11"/>
        <color theme="1"/>
        <rFont val="宋体"/>
        <family val="2"/>
      </rPr>
      <t>序号</t>
    </r>
    <phoneticPr fontId="143" type="noConversion"/>
  </si>
  <si>
    <r>
      <rPr>
        <sz val="11"/>
        <color theme="1"/>
        <rFont val="宋体"/>
        <family val="2"/>
      </rPr>
      <t>楼号</t>
    </r>
    <phoneticPr fontId="143" type="noConversion"/>
  </si>
  <si>
    <t>单元号</t>
    <phoneticPr fontId="143" type="noConversion"/>
  </si>
  <si>
    <t>房号</t>
    <phoneticPr fontId="143" type="noConversion"/>
  </si>
  <si>
    <r>
      <rPr>
        <sz val="11"/>
        <color theme="1"/>
        <rFont val="宋体"/>
        <family val="2"/>
      </rPr>
      <t>建筑面积</t>
    </r>
    <phoneticPr fontId="143" type="noConversion"/>
  </si>
  <si>
    <r>
      <rPr>
        <sz val="11"/>
        <color theme="1"/>
        <rFont val="宋体"/>
        <family val="2"/>
      </rPr>
      <t>序号</t>
    </r>
    <phoneticPr fontId="143" type="noConversion"/>
  </si>
  <si>
    <r>
      <rPr>
        <sz val="11"/>
        <color theme="1"/>
        <rFont val="宋体"/>
        <family val="2"/>
      </rPr>
      <t>楼号</t>
    </r>
    <phoneticPr fontId="143" type="noConversion"/>
  </si>
  <si>
    <t>单元号</t>
    <phoneticPr fontId="143" type="noConversion"/>
  </si>
  <si>
    <t>房号</t>
    <phoneticPr fontId="143" type="noConversion"/>
  </si>
  <si>
    <r>
      <rPr>
        <sz val="11"/>
        <color theme="1"/>
        <rFont val="宋体"/>
        <family val="2"/>
      </rPr>
      <t>建筑面积</t>
    </r>
    <phoneticPr fontId="143" type="noConversion"/>
  </si>
  <si>
    <t>合计</t>
    <phoneticPr fontId="143" type="noConversion"/>
  </si>
  <si>
    <t>合计</t>
    <phoneticPr fontId="143" type="noConversion"/>
  </si>
  <si>
    <t>地上</t>
  </si>
  <si>
    <t>住宅</t>
  </si>
  <si>
    <t>平层住宅</t>
  </si>
  <si>
    <t>住宅</t>
    <phoneticPr fontId="7" type="noConversion"/>
  </si>
  <si>
    <t>是</t>
  </si>
  <si>
    <t>成新度</t>
  </si>
  <si>
    <t>套数</t>
    <phoneticPr fontId="143" type="noConversion"/>
  </si>
  <si>
    <t>88-95</t>
    <phoneticPr fontId="143" type="noConversion"/>
  </si>
  <si>
    <t>137-138</t>
    <phoneticPr fontId="143" type="noConversion"/>
  </si>
  <si>
    <t>合同租金</t>
    <phoneticPr fontId="143" type="noConversion"/>
  </si>
  <si>
    <t>意向</t>
    <phoneticPr fontId="143" type="noConversion"/>
  </si>
  <si>
    <t>市场租金</t>
    <phoneticPr fontId="143" type="noConversion"/>
  </si>
  <si>
    <t>收益法</t>
  </si>
  <si>
    <t>押一</t>
  </si>
  <si>
    <t>钢混</t>
  </si>
  <si>
    <t>非生产用房</t>
  </si>
  <si>
    <t xml:space="preserve">                           </t>
    <phoneticPr fontId="3" type="noConversion"/>
  </si>
  <si>
    <t>现房</t>
  </si>
  <si>
    <t>按租金收入计税</t>
  </si>
  <si>
    <r>
      <rPr>
        <sz val="11"/>
        <color theme="1"/>
        <rFont val="宋体"/>
        <family val="3"/>
        <charset val="134"/>
      </rPr>
      <t>序号</t>
    </r>
    <phoneticPr fontId="143" type="noConversion"/>
  </si>
  <si>
    <r>
      <rPr>
        <sz val="11"/>
        <color theme="1"/>
        <rFont val="宋体"/>
        <family val="3"/>
        <charset val="134"/>
      </rPr>
      <t>房产证号</t>
    </r>
    <phoneticPr fontId="143" type="noConversion"/>
  </si>
  <si>
    <r>
      <rPr>
        <sz val="11"/>
        <color theme="1"/>
        <rFont val="宋体"/>
        <family val="3"/>
        <charset val="134"/>
      </rPr>
      <t>楼号</t>
    </r>
    <phoneticPr fontId="143" type="noConversion"/>
  </si>
  <si>
    <r>
      <rPr>
        <sz val="11"/>
        <color theme="1"/>
        <rFont val="宋体"/>
        <family val="3"/>
        <charset val="134"/>
      </rPr>
      <t>建筑面积</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</si>
  <si>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0011910</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</si>
  <si>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0011916号</t>
    </r>
    <r>
      <rPr>
        <sz val="11"/>
        <color theme="1"/>
        <rFont val="宋体"/>
        <family val="3"/>
        <charset val="134"/>
      </rPr>
      <t/>
    </r>
  </si>
  <si>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0011996</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</si>
  <si>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0011990</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</si>
  <si>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0011912</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</si>
  <si>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0011911</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</si>
  <si>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0011906</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</si>
  <si>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0011986</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</si>
  <si>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0011979</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</si>
  <si>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0011921</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</si>
  <si>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0011970</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</si>
  <si>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0011926</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</si>
  <si>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0011918</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</si>
  <si>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0011925</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</si>
  <si>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0011923</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</si>
  <si>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0011931</t>
    </r>
    <r>
      <rPr>
        <sz val="11"/>
        <color theme="1"/>
        <rFont val="宋体"/>
        <family val="3"/>
        <charset val="134"/>
      </rPr>
      <t>号</t>
    </r>
    <phoneticPr fontId="143" type="noConversion"/>
  </si>
  <si>
    <r>
      <rPr>
        <sz val="11"/>
        <color theme="1"/>
        <rFont val="宋体"/>
        <family val="3"/>
        <charset val="134"/>
      </rPr>
      <t>京（</t>
    </r>
    <r>
      <rPr>
        <sz val="11"/>
        <color theme="1"/>
        <rFont val="Arial"/>
        <family val="2"/>
      </rPr>
      <t>2016</t>
    </r>
    <r>
      <rPr>
        <sz val="11"/>
        <color theme="1"/>
        <rFont val="宋体"/>
        <family val="3"/>
        <charset val="134"/>
      </rPr>
      <t>）海淀区不动产权第</t>
    </r>
    <r>
      <rPr>
        <sz val="11"/>
        <color theme="1"/>
        <rFont val="Arial"/>
        <family val="2"/>
      </rPr>
      <t>0011963</t>
    </r>
    <r>
      <rPr>
        <sz val="11"/>
        <color theme="1"/>
        <rFont val="宋体"/>
        <family val="3"/>
        <charset val="134"/>
      </rPr>
      <t>号</t>
    </r>
    <phoneticPr fontId="143" type="noConversion"/>
  </si>
  <si>
    <r>
      <rPr>
        <sz val="11"/>
        <color theme="1"/>
        <rFont val="宋体"/>
        <family val="3"/>
        <charset val="134"/>
      </rPr>
      <t>宗地面积</t>
    </r>
    <phoneticPr fontId="14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</si>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</sst>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04" fillId="0" borderId="0" xfId="12" applyFont="1" applyAlignment="1">
      <alignment horizontal="center"/>
    </xf>
    <xf numFmtId="0" fontId="122" fillId="0" borderId="0" xfId="12" applyFont="1" applyAlignment="1">
      <alignment horizontal="center"/>
    </xf>
    <xf numFmtId="0" fontId="104" fillId="0" borderId="0" xfId="12" applyFont="1"/>
    <xf numFmtId="0" fontId="104" fillId="17" borderId="1" xfId="12" applyFont="1" applyFill="1" applyBorder="1" applyAlignment="1">
      <alignment horizontal="center"/>
    </xf>
    <xf numFmtId="0" fontId="122" fillId="17" borderId="1" xfId="12" applyFont="1" applyFill="1" applyBorder="1" applyAlignment="1">
      <alignment horizontal="center"/>
    </xf>
    <xf numFmtId="0" fontId="254" fillId="17" borderId="1" xfId="12" applyFont="1" applyFill="1" applyBorder="1" applyAlignment="1">
      <alignment horizontal="center"/>
    </xf>
    <xf numFmtId="0" fontId="104" fillId="10" borderId="1" xfId="12" applyFont="1" applyFill="1" applyBorder="1" applyAlignment="1">
      <alignment horizontal="center"/>
    </xf>
    <xf numFmtId="0" fontId="122" fillId="10" borderId="1" xfId="12" applyFont="1" applyFill="1" applyBorder="1" applyAlignment="1">
      <alignment horizontal="center"/>
    </xf>
    <xf numFmtId="0" fontId="254" fillId="10" borderId="1" xfId="12" applyFont="1" applyFill="1" applyBorder="1" applyAlignment="1">
      <alignment horizontal="center"/>
    </xf>
    <xf numFmtId="0" fontId="104" fillId="18" borderId="1" xfId="12" applyFont="1" applyFill="1" applyBorder="1" applyAlignment="1">
      <alignment horizontal="center"/>
    </xf>
    <xf numFmtId="0" fontId="122" fillId="18" borderId="1" xfId="12" applyFont="1" applyFill="1" applyBorder="1" applyAlignment="1">
      <alignment horizontal="center"/>
    </xf>
    <xf numFmtId="0" fontId="254" fillId="18" borderId="1" xfId="12" applyFont="1" applyFill="1" applyBorder="1" applyAlignment="1">
      <alignment horizontal="center"/>
    </xf>
    <xf numFmtId="0" fontId="104" fillId="19" borderId="1" xfId="12" applyFont="1" applyFill="1" applyBorder="1" applyAlignment="1">
      <alignment horizontal="center"/>
    </xf>
    <xf numFmtId="0" fontId="122" fillId="19" borderId="1" xfId="12" applyFont="1" applyFill="1" applyBorder="1" applyAlignment="1">
      <alignment horizontal="center"/>
    </xf>
    <xf numFmtId="0" fontId="254" fillId="19" borderId="1" xfId="12" applyFont="1" applyFill="1" applyBorder="1" applyAlignment="1">
      <alignment horizontal="center"/>
    </xf>
    <xf numFmtId="0" fontId="104" fillId="20" borderId="1" xfId="12" applyFont="1" applyFill="1" applyBorder="1" applyAlignment="1">
      <alignment horizontal="center"/>
    </xf>
    <xf numFmtId="0" fontId="122" fillId="20" borderId="1" xfId="12" applyFont="1" applyFill="1" applyBorder="1" applyAlignment="1">
      <alignment horizontal="center"/>
    </xf>
    <xf numFmtId="0" fontId="254" fillId="20" borderId="1" xfId="12" applyFont="1" applyFill="1" applyBorder="1" applyAlignment="1">
      <alignment horizontal="center"/>
    </xf>
    <xf numFmtId="0" fontId="104" fillId="15" borderId="1" xfId="12" applyFont="1" applyFill="1" applyBorder="1" applyAlignment="1">
      <alignment horizontal="center"/>
    </xf>
    <xf numFmtId="0" fontId="122" fillId="15" borderId="1" xfId="12" applyFont="1" applyFill="1" applyBorder="1" applyAlignment="1">
      <alignment horizontal="center"/>
    </xf>
    <xf numFmtId="0" fontId="254" fillId="15" borderId="1" xfId="12" applyFont="1" applyFill="1" applyBorder="1" applyAlignment="1">
      <alignment horizontal="center"/>
    </xf>
    <xf numFmtId="0" fontId="104" fillId="21" borderId="1" xfId="12" applyFont="1" applyFill="1" applyBorder="1" applyAlignment="1">
      <alignment horizontal="center"/>
    </xf>
    <xf numFmtId="0" fontId="122" fillId="21" borderId="1" xfId="12" applyFont="1" applyFill="1" applyBorder="1" applyAlignment="1">
      <alignment horizontal="center"/>
    </xf>
    <xf numFmtId="0" fontId="254" fillId="21" borderId="1" xfId="12" applyFont="1" applyFill="1" applyBorder="1" applyAlignment="1">
      <alignment horizontal="center"/>
    </xf>
    <xf numFmtId="0" fontId="104" fillId="11" borderId="1" xfId="12" applyFont="1" applyFill="1" applyBorder="1" applyAlignment="1">
      <alignment horizontal="center"/>
    </xf>
    <xf numFmtId="0" fontId="122" fillId="11" borderId="1" xfId="12" applyFont="1" applyFill="1" applyBorder="1" applyAlignment="1">
      <alignment horizontal="center"/>
    </xf>
    <xf numFmtId="0" fontId="254" fillId="11" borderId="1" xfId="12" applyFont="1" applyFill="1" applyBorder="1" applyAlignment="1">
      <alignment horizontal="center"/>
    </xf>
    <xf numFmtId="177" fontId="80" fillId="0" borderId="1" xfId="1" applyNumberFormat="1" applyFont="1" applyFill="1" applyBorder="1" applyAlignment="1" applyProtection="1">
      <alignment vertical="center"/>
      <protection locked="0" hidden="1"/>
    </xf>
    <xf numFmtId="2" fontId="104" fillId="0" borderId="0" xfId="12" applyNumberFormat="1" applyFont="1" applyAlignment="1">
      <alignment horizontal="center"/>
    </xf>
    <xf numFmtId="0" fontId="104" fillId="0" borderId="1" xfId="12" applyFont="1" applyFill="1" applyBorder="1" applyAlignment="1">
      <alignment horizontal="center"/>
    </xf>
    <xf numFmtId="0" fontId="122" fillId="0" borderId="1" xfId="12" applyFont="1" applyFill="1" applyBorder="1" applyAlignment="1">
      <alignment horizontal="center"/>
    </xf>
    <xf numFmtId="0" fontId="254" fillId="0" borderId="1" xfId="12" applyFont="1" applyFill="1" applyBorder="1" applyAlignment="1">
      <alignment horizontal="center"/>
    </xf>
    <xf numFmtId="0" fontId="0" fillId="0" borderId="0" xfId="0" applyFill="1">
      <alignment vertical="center"/>
    </xf>
    <xf numFmtId="0" fontId="104" fillId="0" borderId="1" xfId="0" applyFont="1" applyBorder="1">
      <alignment vertical="center"/>
    </xf>
    <xf numFmtId="0" fontId="104" fillId="0" borderId="1" xfId="0" applyFont="1" applyFill="1" applyBorder="1">
      <alignment vertical="center"/>
    </xf>
    <xf numFmtId="0" fontId="104" fillId="0" borderId="1" xfId="0" applyFont="1" applyBorder="1" applyAlignment="1">
      <alignment horizontal="center" vertical="center"/>
    </xf>
    <xf numFmtId="0" fontId="104" fillId="0" borderId="0" xfId="0" applyFont="1" applyFill="1" applyBorder="1" applyAlignment="1">
      <alignment horizontal="center" vertical="center"/>
    </xf>
    <xf numFmtId="0" fontId="104"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22" fillId="19" borderId="5" xfId="12" applyFont="1" applyFill="1" applyBorder="1" applyAlignment="1">
      <alignment horizontal="center"/>
    </xf>
    <xf numFmtId="0" fontId="104" fillId="19" borderId="54" xfId="12" applyFont="1" applyFill="1" applyBorder="1" applyAlignment="1">
      <alignment horizontal="center"/>
    </xf>
    <xf numFmtId="0" fontId="104" fillId="19" borderId="3" xfId="12" applyFont="1" applyFill="1" applyBorder="1" applyAlignment="1">
      <alignment horizontal="center"/>
    </xf>
    <xf numFmtId="0" fontId="122" fillId="10" borderId="5" xfId="12" applyFont="1" applyFill="1" applyBorder="1" applyAlignment="1">
      <alignment horizontal="center"/>
    </xf>
    <xf numFmtId="0" fontId="104" fillId="10" borderId="54" xfId="12" applyFont="1" applyFill="1" applyBorder="1" applyAlignment="1">
      <alignment horizontal="center"/>
    </xf>
    <xf numFmtId="0" fontId="104" fillId="10" borderId="3" xfId="12" applyFont="1" applyFill="1" applyBorder="1" applyAlignment="1">
      <alignment horizontal="center"/>
    </xf>
    <xf numFmtId="0" fontId="122" fillId="20" borderId="5" xfId="12" applyFont="1" applyFill="1" applyBorder="1" applyAlignment="1">
      <alignment horizontal="center"/>
    </xf>
    <xf numFmtId="0" fontId="104" fillId="20" borderId="54" xfId="12" applyFont="1" applyFill="1" applyBorder="1" applyAlignment="1">
      <alignment horizontal="center"/>
    </xf>
    <xf numFmtId="0" fontId="104" fillId="20" borderId="3" xfId="12" applyFont="1" applyFill="1" applyBorder="1" applyAlignment="1">
      <alignment horizontal="center"/>
    </xf>
    <xf numFmtId="0" fontId="122" fillId="15" borderId="5" xfId="12" applyFont="1" applyFill="1" applyBorder="1" applyAlignment="1">
      <alignment horizontal="center"/>
    </xf>
    <xf numFmtId="0" fontId="104" fillId="15" borderId="54" xfId="12" applyFont="1" applyFill="1" applyBorder="1" applyAlignment="1">
      <alignment horizontal="center"/>
    </xf>
    <xf numFmtId="0" fontId="104" fillId="15" borderId="3" xfId="12" applyFont="1" applyFill="1" applyBorder="1" applyAlignment="1">
      <alignment horizontal="center"/>
    </xf>
    <xf numFmtId="0" fontId="122" fillId="21" borderId="5" xfId="12" applyFont="1" applyFill="1" applyBorder="1" applyAlignment="1">
      <alignment horizontal="center"/>
    </xf>
    <xf numFmtId="0" fontId="104" fillId="21" borderId="54" xfId="12" applyFont="1" applyFill="1" applyBorder="1" applyAlignment="1">
      <alignment horizontal="center"/>
    </xf>
    <xf numFmtId="0" fontId="104" fillId="21" borderId="3" xfId="12" applyFont="1" applyFill="1" applyBorder="1" applyAlignment="1">
      <alignment horizontal="center"/>
    </xf>
    <xf numFmtId="0" fontId="122" fillId="18" borderId="5" xfId="12" applyFont="1" applyFill="1" applyBorder="1" applyAlignment="1">
      <alignment horizontal="center"/>
    </xf>
    <xf numFmtId="0" fontId="104" fillId="18" borderId="54" xfId="12" applyFont="1" applyFill="1" applyBorder="1" applyAlignment="1">
      <alignment horizontal="center"/>
    </xf>
    <xf numFmtId="0" fontId="104" fillId="18" borderId="3" xfId="12" applyFont="1" applyFill="1" applyBorder="1" applyAlignment="1">
      <alignment horizontal="center"/>
    </xf>
    <xf numFmtId="0" fontId="122" fillId="17" borderId="5" xfId="12" applyFont="1" applyFill="1" applyBorder="1" applyAlignment="1">
      <alignment horizontal="center"/>
    </xf>
    <xf numFmtId="0" fontId="104" fillId="17" borderId="54" xfId="12" applyFont="1" applyFill="1" applyBorder="1" applyAlignment="1">
      <alignment horizontal="center"/>
    </xf>
    <xf numFmtId="0" fontId="104" fillId="17" borderId="3" xfId="12" applyFont="1" applyFill="1" applyBorder="1" applyAlignment="1">
      <alignment horizontal="center"/>
    </xf>
    <xf numFmtId="0" fontId="122" fillId="11" borderId="5" xfId="12" applyFont="1" applyFill="1" applyBorder="1" applyAlignment="1">
      <alignment horizontal="center"/>
    </xf>
    <xf numFmtId="0" fontId="104" fillId="11" borderId="54" xfId="12" applyFont="1" applyFill="1" applyBorder="1" applyAlignment="1">
      <alignment horizontal="center"/>
    </xf>
    <xf numFmtId="0" fontId="104" fillId="11" borderId="3" xfId="12" applyFont="1" applyFill="1" applyBorder="1" applyAlignment="1">
      <alignment horizont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北京市海淀区八家嘉苑房地产市场价值预评估</v>
      </c>
    </row>
    <row r="3" spans="1:2" s="1596" customFormat="1">
      <c r="A3" s="1594" t="s">
        <v>1221</v>
      </c>
      <c r="B3" s="1595" t="str">
        <f>'预评函-封皮'!B40</f>
        <v>北京八家嘉苑房地产开发有限公司</v>
      </c>
    </row>
    <row r="4" spans="1:2" s="1596" customFormat="1">
      <c r="A4" s="1594" t="s">
        <v>1222</v>
      </c>
      <c r="B4" s="1595" t="str">
        <f ca="1">'预评函-封皮'!B46</f>
        <v>欧红伟（注册号：1120000080)、李立（注册号：1119970074)</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受贵公司委托，我公司对北京市海淀区八家嘉苑房地产市场价值进行了预评估。</v>
      </c>
    </row>
    <row r="7" spans="1:2" s="1596" customFormat="1">
      <c r="A7" s="1594" t="s">
        <v>1264</v>
      </c>
      <c r="B7" s="1595" t="str">
        <f>'预评函-1'!A7</f>
        <v>估价对象为北京市海淀区八家嘉苑房地产，为所有。根据《国有土地使用证》[]，估价对象（分摊）出让国有建设用地使用权面积为2227.66平方米，建筑面积为39021.71平方米。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估价对象为北京市海淀区八家嘉苑房地产,属开发建设的，该项目尚在开发建设中。根据《国有土地使用证》[]，估价对象（分摊）出让国有建设用地使用权面积为2227.66平方米，规划建筑面积为39021.71平方米。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为估价委托人在向北京农商银行海淀支行办理贷款手续过程中，确定房地产抵押贷款额度提供参考依据而评估房地产抵押价值。</v>
      </c>
    </row>
    <row r="12" spans="1:2" s="1596" customFormat="1">
      <c r="A12" s="1594" t="s">
        <v>1226</v>
      </c>
      <c r="B12" s="1595" t="str">
        <f>'预评函-1'!A15</f>
        <v>2018年5月16日（评估专业人员实地查勘之日）</v>
      </c>
    </row>
    <row r="13" spans="1:2" s="1596" customFormat="1">
      <c r="A13" s="1594" t="s">
        <v>1227</v>
      </c>
      <c r="B13" s="1595" t="str">
        <f>'预评函-1'!A18</f>
        <v>本次估价的“房地产价值”是指在正常市场情况下，在价值时点2018年5月16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45557</v>
      </c>
    </row>
    <row r="21" spans="1:2" s="1596" customFormat="1">
      <c r="A21" s="1594" t="s">
        <v>1235</v>
      </c>
      <c r="B21" s="1595">
        <f ca="1">'预评函-2'!D7</f>
        <v>11675</v>
      </c>
    </row>
    <row r="22" spans="1:2" s="1596" customFormat="1">
      <c r="A22" s="1594" t="s">
        <v>1236</v>
      </c>
      <c r="B22" s="1595" t="str">
        <f ca="1">'预评函-2'!D6</f>
        <v>肆亿伍仟伍佰伍拾柒万元整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45557</v>
      </c>
    </row>
    <row r="31" spans="1:2" s="1596" customFormat="1">
      <c r="A31" s="1594" t="s">
        <v>1274</v>
      </c>
      <c r="B31" s="1595">
        <f ca="1">'预评函-2'!D15</f>
        <v>11675</v>
      </c>
    </row>
    <row r="32" spans="1:2" s="1596" customFormat="1">
      <c r="A32" s="1594" t="s">
        <v>1241</v>
      </c>
      <c r="B32" s="1595" t="str">
        <f ca="1">'预评函-2'!D14</f>
        <v>肆亿伍仟伍佰伍拾柒万元整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北京市海淀区八家嘉苑房地产</v>
      </c>
    </row>
    <row r="42" spans="1:2" s="1596" customFormat="1">
      <c r="A42" s="1594" t="s">
        <v>1288</v>
      </c>
      <c r="B42" s="1595" t="str">
        <f>'预评函-3'!B2</f>
        <v>建筑面积</v>
      </c>
    </row>
    <row r="43" spans="1:2" s="1596" customFormat="1">
      <c r="A43" s="1594" t="s">
        <v>1289</v>
      </c>
      <c r="B43" s="1595">
        <f>'预评函-3'!B4</f>
        <v>39021.709999999977</v>
      </c>
    </row>
    <row r="44" spans="1:2" s="1596" customFormat="1">
      <c r="A44" s="1594" t="s">
        <v>1273</v>
      </c>
      <c r="B44" s="1595" t="str">
        <f>'预评函-3'!C2</f>
        <v>(分摊)土地面积</v>
      </c>
    </row>
    <row r="45" spans="1:2" s="1596" customFormat="1">
      <c r="A45" s="1594" t="s">
        <v>1245</v>
      </c>
      <c r="B45" s="1595">
        <f>'预评函-3'!C4</f>
        <v>2227.66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李立</v>
      </c>
    </row>
    <row r="73" spans="1:2" s="1590" customFormat="1" ht="15" thickBot="1">
      <c r="A73" s="1597" t="s">
        <v>1263</v>
      </c>
      <c r="B73" s="1598">
        <f ca="1">'预评函-4'!B5</f>
        <v>1119970074</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为估价委托人在向北京农商银行海淀支行办理贷款手续过程中，确定房地产抵押贷款额度提供参考依据而评估房地产抵押价值。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八家嘉苑房地产开发有限公司拟使用北京市海淀区八家嘉苑房地产作为抵押担保物，向北京农商银行海淀支行办理贷款手续。北京农商银行海淀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5" t="s">
        <v>864</v>
      </c>
      <c r="C54" s="2022" t="s">
        <v>1281</v>
      </c>
    </row>
    <row r="55" spans="1:4">
      <c r="A55" s="3030"/>
      <c r="B55" s="2025" t="s">
        <v>865</v>
      </c>
      <c r="C55" s="2022" t="s">
        <v>1282</v>
      </c>
    </row>
    <row r="56" spans="1:4">
      <c r="A56" s="3030"/>
      <c r="B56" s="2025" t="s">
        <v>866</v>
      </c>
      <c r="C56" s="2022" t="s">
        <v>1286</v>
      </c>
    </row>
    <row r="57" spans="1:4">
      <c r="A57" s="303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4" sqref="H14"/>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31" t="str">
        <f>IF(B10="北京市","北京市",C10)&amp;F10&amp;IF(结果表!G1="在建","出让国有建设用地使用权及在建建筑物",IF(结果表!G1="土地","出让国有建设用地使用权",))&amp;B9&amp;"预评估"</f>
        <v>北京市海淀区八家嘉苑房地产市场价值预评估</v>
      </c>
      <c r="C1" s="3032"/>
      <c r="D1" s="3032"/>
      <c r="E1" s="3032"/>
      <c r="F1" s="3032"/>
      <c r="G1" s="3032"/>
      <c r="H1" s="3032"/>
      <c r="I1" s="303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北京市海淀区八家嘉苑房地产市场价值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北京市海淀区八家嘉苑房地产</v>
      </c>
    </row>
    <row r="3" spans="1:19" ht="18" customHeight="1">
      <c r="A3" s="2038" t="s">
        <v>1778</v>
      </c>
      <c r="B3" s="2039">
        <v>43236</v>
      </c>
      <c r="C3" s="2040" t="s">
        <v>1779</v>
      </c>
      <c r="D3" s="2039">
        <v>43236</v>
      </c>
      <c r="E3" s="2029"/>
      <c r="F3" s="2029"/>
      <c r="G3" s="2029"/>
      <c r="H3" s="2029"/>
      <c r="I3" s="2029"/>
      <c r="J3" s="2029"/>
      <c r="K3" s="2030"/>
      <c r="L3" s="2031"/>
      <c r="M3" s="2031"/>
      <c r="N3" s="2032"/>
      <c r="O3" s="2033"/>
      <c r="P3" s="2032"/>
      <c r="Q3" s="2032"/>
      <c r="R3" s="2032"/>
      <c r="S3" s="2034"/>
    </row>
    <row r="4" spans="1:19" ht="18" customHeight="1" thickBot="1">
      <c r="A4" s="2041" t="s">
        <v>1780</v>
      </c>
      <c r="B4" s="2042" t="s">
        <v>3055</v>
      </c>
      <c r="C4" s="1040">
        <f ca="1">SUMIF(注册房地产估价师,B4,估价师及机构信息!B3:B24)</f>
        <v>1120000080</v>
      </c>
      <c r="D4" s="2042" t="s">
        <v>3056</v>
      </c>
      <c r="E4" s="1041">
        <f ca="1">SUMIF(注册房地产估价师,D4,估价师及机构信息!B3:B24)</f>
        <v>1119970074</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欧红伟（注册号：1120000080)、李立（注册号：1119970074)</v>
      </c>
      <c r="L4" s="2031"/>
      <c r="M4" s="2031"/>
      <c r="N4" s="2032"/>
      <c r="O4" s="2033"/>
      <c r="P4" s="2032"/>
      <c r="Q4" s="2032"/>
      <c r="R4" s="2032"/>
      <c r="S4" s="2034"/>
    </row>
    <row r="5" spans="1:19" ht="18" customHeight="1" thickTop="1">
      <c r="A5" s="2047" t="s">
        <v>1781</v>
      </c>
      <c r="B5" s="2946" t="s">
        <v>3057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7" t="s">
        <v>3058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北京八家嘉苑房地产开发有限公司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3059</v>
      </c>
      <c r="C8" s="2057"/>
      <c r="D8" s="3034" t="s">
        <v>1785</v>
      </c>
      <c r="E8" s="2058" t="s">
        <v>3060</v>
      </c>
      <c r="F8" s="2059"/>
      <c r="G8" s="2029"/>
      <c r="H8" s="2029"/>
      <c r="I8" s="2029"/>
      <c r="J8" s="2045"/>
      <c r="K8" s="2046"/>
      <c r="L8" s="2031"/>
      <c r="M8" s="2031"/>
      <c r="N8" s="2032"/>
      <c r="O8" s="2033"/>
      <c r="P8" s="2032"/>
      <c r="Q8" s="2032"/>
      <c r="R8" s="2032"/>
    </row>
    <row r="9" spans="1:19" ht="18" customHeight="1" thickBot="1">
      <c r="A9" s="2043" t="s">
        <v>1786</v>
      </c>
      <c r="B9" s="2060" t="s">
        <v>3053</v>
      </c>
      <c r="C9" s="2061"/>
      <c r="D9" s="3035"/>
      <c r="E9" s="2060"/>
      <c r="F9" s="2062"/>
      <c r="G9" s="2063"/>
      <c r="H9" s="2063"/>
      <c r="I9" s="2063"/>
      <c r="J9" s="2045"/>
      <c r="K9" s="2055"/>
      <c r="L9" s="2031"/>
      <c r="M9" s="2031"/>
      <c r="N9" s="2032"/>
      <c r="O9" s="2033"/>
      <c r="P9" s="2032"/>
      <c r="Q9" s="2032"/>
      <c r="R9" s="2032"/>
    </row>
    <row r="10" spans="1:19" ht="18" customHeight="1" thickTop="1">
      <c r="A10" s="2064" t="s">
        <v>1787</v>
      </c>
      <c r="B10" s="2065" t="s">
        <v>3061</v>
      </c>
      <c r="C10" s="2066"/>
      <c r="D10" s="2049"/>
      <c r="E10" s="2067" t="s">
        <v>1788</v>
      </c>
      <c r="F10" s="2948" t="s">
        <v>3062</v>
      </c>
      <c r="G10" s="2068"/>
      <c r="H10" s="2069"/>
      <c r="I10" s="2049"/>
      <c r="J10" s="2045"/>
      <c r="K10" s="2055"/>
      <c r="L10" s="2031"/>
      <c r="M10" s="2031"/>
      <c r="N10" s="2032"/>
      <c r="O10" s="2033"/>
      <c r="P10" s="2032"/>
      <c r="Q10" s="2032"/>
      <c r="R10" s="2032"/>
    </row>
    <row r="11" spans="1:19" ht="18" customHeight="1">
      <c r="A11" s="2070" t="s">
        <v>1789</v>
      </c>
      <c r="B11" s="2071"/>
      <c r="C11" s="2072"/>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3054</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v>50537</v>
      </c>
      <c r="E13" s="2080"/>
      <c r="F13" s="2080"/>
      <c r="G13" s="2080"/>
      <c r="H13" s="2080"/>
      <c r="I13" s="1050"/>
      <c r="J13" s="2045"/>
      <c r="K13" s="2055"/>
      <c r="L13" s="2031"/>
      <c r="M13" s="2031"/>
      <c r="N13" s="2032"/>
      <c r="O13" s="2033"/>
      <c r="P13" s="2032"/>
      <c r="Q13" s="2032"/>
      <c r="R13" s="2032"/>
    </row>
    <row r="14" spans="1:19" ht="18" customHeight="1">
      <c r="A14" s="2077"/>
      <c r="B14" s="2078"/>
      <c r="C14" s="2079" t="s">
        <v>1799</v>
      </c>
      <c r="D14" s="1053">
        <v>70</v>
      </c>
      <c r="E14" s="1053"/>
      <c r="F14" s="1053"/>
      <c r="G14" s="1053"/>
      <c r="H14" s="1053"/>
      <c r="I14" s="1053"/>
      <c r="J14" s="2045"/>
      <c r="K14" s="2081"/>
      <c r="L14" s="2031"/>
      <c r="M14" s="2031"/>
      <c r="N14" s="2032"/>
      <c r="O14" s="2033"/>
      <c r="P14" s="2032"/>
      <c r="Q14" s="2032"/>
      <c r="R14" s="2032"/>
    </row>
    <row r="15" spans="1:19" ht="18" customHeight="1">
      <c r="A15" s="2064"/>
      <c r="B15" s="2082"/>
      <c r="C15" s="2079" t="s">
        <v>1800</v>
      </c>
      <c r="D15" s="1052">
        <f>IF(B12="出让",IF(D13="","",ROUNDDOWN(MIN((D13-$D$3)/365,D14),2)),D14)</f>
        <v>20</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41"/>
      <c r="C16" s="3042"/>
      <c r="D16" s="3043"/>
      <c r="E16" s="2086" t="s">
        <v>1802</v>
      </c>
      <c r="F16" s="3044"/>
      <c r="G16" s="3045"/>
      <c r="H16" s="3045"/>
      <c r="I16" s="3046"/>
      <c r="J16" s="2032"/>
      <c r="K16" s="2083"/>
      <c r="L16" s="2084"/>
      <c r="M16" s="2084"/>
      <c r="N16" s="2085"/>
      <c r="O16" s="2084"/>
      <c r="P16" s="2085"/>
      <c r="Q16" s="2032"/>
      <c r="R16" s="2032"/>
    </row>
    <row r="17" spans="1:22" ht="18" customHeight="1">
      <c r="A17" s="2087" t="s">
        <v>1803</v>
      </c>
      <c r="B17" s="2038" t="s">
        <v>1804</v>
      </c>
      <c r="C17" s="1057">
        <f>'数据-汇总表'!E3</f>
        <v>39021.709999999977</v>
      </c>
      <c r="D17" s="2088" t="s">
        <v>1805</v>
      </c>
      <c r="E17" s="3047" t="s">
        <v>1806</v>
      </c>
      <c r="F17" s="3048"/>
      <c r="G17" s="3048"/>
      <c r="H17" s="3048"/>
      <c r="I17" s="3049"/>
      <c r="J17" s="2032"/>
      <c r="K17" s="2089"/>
      <c r="L17" s="2084"/>
      <c r="M17" s="2084"/>
      <c r="N17" s="2085"/>
      <c r="O17" s="2084"/>
      <c r="P17" s="2085"/>
      <c r="Q17" s="2032"/>
      <c r="R17" s="2032"/>
      <c r="S17" s="2032"/>
      <c r="T17" s="2032"/>
      <c r="U17" s="2032"/>
      <c r="V17" s="2032"/>
    </row>
    <row r="18" spans="1:22" ht="36" customHeight="1" thickBot="1">
      <c r="A18" s="2090" t="s">
        <v>1807</v>
      </c>
      <c r="B18" s="2041" t="s">
        <v>1808</v>
      </c>
      <c r="C18" s="1447">
        <f>'数据-汇总表'!D3</f>
        <v>2227.66</v>
      </c>
      <c r="D18" s="2091" t="s">
        <v>1805</v>
      </c>
      <c r="E18" s="3050" t="s">
        <v>1809</v>
      </c>
      <c r="F18" s="3051"/>
      <c r="G18" s="3051"/>
      <c r="H18" s="3051"/>
      <c r="I18" s="3052"/>
      <c r="J18" s="2032"/>
      <c r="K18" s="2089"/>
      <c r="L18" s="2084"/>
      <c r="M18" s="2084"/>
      <c r="N18" s="2085"/>
      <c r="O18" s="2084"/>
      <c r="P18" s="2085"/>
      <c r="Q18" s="2032"/>
      <c r="R18" s="2032"/>
      <c r="S18" s="2032"/>
      <c r="T18" s="2032"/>
      <c r="U18" s="2032"/>
      <c r="V18" s="2032"/>
    </row>
    <row r="19" spans="1:22" ht="37.5" customHeight="1" thickTop="1" thickBot="1">
      <c r="A19" s="373" t="s">
        <v>1810</v>
      </c>
      <c r="B19" s="352" t="s">
        <v>1811</v>
      </c>
      <c r="C19" s="2092"/>
      <c r="D19" s="2093" t="s">
        <v>1812</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1813</v>
      </c>
      <c r="B20" s="3037" t="s">
        <v>1814</v>
      </c>
      <c r="C20" s="3038"/>
      <c r="D20" s="3039" t="s">
        <v>1815</v>
      </c>
      <c r="E20" s="3040"/>
      <c r="F20" s="2098" t="s">
        <v>1816</v>
      </c>
      <c r="G20" s="2045"/>
      <c r="H20" s="2045"/>
      <c r="I20" s="2045"/>
      <c r="J20" s="2045"/>
      <c r="K20" s="303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1818</v>
      </c>
      <c r="C21" s="2100" t="s">
        <v>1819</v>
      </c>
      <c r="D21" s="2101" t="s">
        <v>1820</v>
      </c>
      <c r="E21" s="2102" t="s">
        <v>1819</v>
      </c>
      <c r="F21" s="2103"/>
      <c r="G21" s="2045"/>
      <c r="H21" s="2045"/>
      <c r="I21" s="2045"/>
      <c r="J21" s="2045"/>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1821</v>
      </c>
      <c r="C22" s="2100" t="s">
        <v>1822</v>
      </c>
      <c r="D22" s="2029"/>
      <c r="E22" s="2029"/>
      <c r="F22" s="2105"/>
      <c r="G22" s="2045"/>
      <c r="H22" s="2045"/>
      <c r="I22" s="2045"/>
      <c r="J22" s="2045"/>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1823</v>
      </c>
      <c r="B23" s="183" t="s">
        <v>1824</v>
      </c>
      <c r="C23" s="2107"/>
      <c r="D23" s="2108" t="s">
        <v>1824</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1825</v>
      </c>
      <c r="C24" s="2112"/>
      <c r="D24" s="2106" t="s">
        <v>1825</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1826</v>
      </c>
      <c r="C25" s="2112"/>
      <c r="D25" s="2106" t="s">
        <v>1826</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1827</v>
      </c>
      <c r="C26" s="2116"/>
      <c r="D26" s="2117" t="s">
        <v>1828</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54" t="s">
        <v>1829</v>
      </c>
      <c r="B27" s="2064" t="s">
        <v>1830</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54"/>
      <c r="B28" s="2038" t="s">
        <v>1831</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54"/>
      <c r="B29" s="2038" t="s">
        <v>1832</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55"/>
      <c r="B30" s="2038" t="s">
        <v>1833</v>
      </c>
      <c r="C30" s="3056"/>
      <c r="D30" s="3057"/>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58" t="s">
        <v>1834</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59"/>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59"/>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4"/>
      <c r="C34" s="2134"/>
      <c r="D34" s="2134"/>
      <c r="E34" s="2134"/>
      <c r="F34" s="2134"/>
      <c r="G34" s="2134"/>
      <c r="H34" s="2134"/>
      <c r="I34" s="2045"/>
      <c r="J34" s="2045"/>
      <c r="K34" s="1798">
        <f>COUNTIF(B34:H34,"——")</f>
        <v>0</v>
      </c>
      <c r="L34" s="2075" t="s">
        <v>1836</v>
      </c>
      <c r="M34" s="2075" t="s">
        <v>1837</v>
      </c>
      <c r="N34" s="2075" t="s">
        <v>1838</v>
      </c>
      <c r="O34" s="2075" t="s">
        <v>1839</v>
      </c>
      <c r="P34" s="2075" t="s">
        <v>1840</v>
      </c>
      <c r="Q34" s="2075" t="s">
        <v>1841</v>
      </c>
      <c r="R34" s="2075" t="s">
        <v>1842</v>
      </c>
      <c r="S34" s="3053" t="s">
        <v>1843</v>
      </c>
      <c r="T34" s="2135" t="str">
        <f>NUMBERSTRING(7-K34,1)&amp;"通"</f>
        <v>七通</v>
      </c>
      <c r="U34" s="2032"/>
      <c r="V34" s="2032"/>
    </row>
    <row r="35" spans="1:22" ht="18" customHeight="1">
      <c r="A35" s="2136"/>
      <c r="B35" s="3060" t="s">
        <v>1844</v>
      </c>
      <c r="C35" s="3060"/>
      <c r="D35" s="3060"/>
      <c r="E35" s="3060"/>
      <c r="F35" s="2137">
        <f>C10</f>
        <v>0</v>
      </c>
      <c r="G35" s="2045"/>
      <c r="H35" s="2045"/>
      <c r="I35" s="2045"/>
      <c r="J35" s="2045"/>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3"/>
      <c r="T35" s="48" t="str">
        <f>IF(T34="一通",L35,IF(T34="二通",M35,IF(T34="三通",N35,IF(T34="四通",O35,IF(T34="五通",P35,IF(T34="六通",Q35,R35))))))</f>
        <v>、、、、、、</v>
      </c>
      <c r="U35" s="2032"/>
      <c r="V35" s="2032"/>
    </row>
    <row r="36" spans="1:22" ht="18" customHeight="1">
      <c r="A36" s="2138"/>
      <c r="B36" s="2137" t="s">
        <v>1845</v>
      </c>
      <c r="C36" s="2137" t="s">
        <v>1846</v>
      </c>
      <c r="D36" s="2137" t="s">
        <v>1847</v>
      </c>
      <c r="E36" s="2137" t="s">
        <v>1848</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1849</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1850</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1852</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1853</v>
      </c>
      <c r="B42" s="1798" t="s">
        <v>1854</v>
      </c>
      <c r="C42" s="1798" t="s">
        <v>1855</v>
      </c>
      <c r="D42" s="1798" t="s">
        <v>1856</v>
      </c>
      <c r="E42" s="1798" t="s">
        <v>1857</v>
      </c>
      <c r="F42" s="1798" t="s">
        <v>1858</v>
      </c>
      <c r="G42" s="1798" t="s">
        <v>1859</v>
      </c>
      <c r="H42" s="1798" t="s">
        <v>1860</v>
      </c>
      <c r="I42" s="1798" t="s">
        <v>1861</v>
      </c>
      <c r="J42" s="2153" t="s">
        <v>1862</v>
      </c>
      <c r="K42" s="2076" t="s">
        <v>1863</v>
      </c>
      <c r="L42" s="2076" t="s">
        <v>1864</v>
      </c>
      <c r="M42" s="2076" t="s">
        <v>1865</v>
      </c>
      <c r="N42" s="1798" t="s">
        <v>1866</v>
      </c>
      <c r="O42" s="1798" t="s">
        <v>1867</v>
      </c>
      <c r="P42" s="1798" t="s">
        <v>1868</v>
      </c>
      <c r="Q42" s="2075" t="s">
        <v>1869</v>
      </c>
      <c r="R42" s="2075" t="s">
        <v>1870</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44"/>
  <sheetViews>
    <sheetView topLeftCell="E1" workbookViewId="0">
      <pane ySplit="3" topLeftCell="A4" activePane="bottomLeft" state="frozen"/>
      <selection pane="bottomLeft" activeCell="Y78" sqref="U4:Y78"/>
    </sheetView>
  </sheetViews>
  <sheetFormatPr defaultRowHeight="14.25"/>
  <cols>
    <col min="1" max="1" width="2" style="2951" customWidth="1"/>
    <col min="2" max="2" width="7.25" style="2949" customWidth="1"/>
    <col min="3" max="3" width="10" style="2949" customWidth="1"/>
    <col min="4" max="4" width="7.25" style="2949" customWidth="1"/>
    <col min="5" max="5" width="13.25" style="2949" customWidth="1"/>
    <col min="6" max="6" width="14.125" style="2949" customWidth="1"/>
    <col min="7" max="7" width="2" style="2951" customWidth="1"/>
    <col min="8" max="12" width="9" style="2951"/>
    <col min="13" max="13" width="3" style="2951" customWidth="1"/>
    <col min="14" max="14" width="1.625" style="2951" customWidth="1"/>
    <col min="15" max="19" width="9" style="2951"/>
    <col min="20" max="20" width="2.75" style="2951" customWidth="1"/>
    <col min="21" max="25" width="9" style="2951"/>
    <col min="26" max="26" width="3.25" style="2951" customWidth="1"/>
    <col min="27" max="16384" width="9" style="2951"/>
  </cols>
  <sheetData>
    <row r="1" spans="2:25">
      <c r="C1" s="2950" t="s">
        <v>3063</v>
      </c>
      <c r="E1" s="2949">
        <f>SUM(F118,L107,L101,L93,L82,L73,L65,L57,L51,L43,L37,L27,L20,L13,S43,S72,S94,S114,Y118,Y80)</f>
        <v>39021.709999999977</v>
      </c>
    </row>
    <row r="2" spans="2:25">
      <c r="C2" s="2950" t="s">
        <v>3087</v>
      </c>
      <c r="E2" s="2949">
        <f>SUM(B117,H106,H100,H92,H81,H72,H64,H55,H50,H42,H36,H26,H19,H12,O42,O71,O93,O113,U117,U78)</f>
        <v>390</v>
      </c>
    </row>
    <row r="3" spans="2:25">
      <c r="B3" s="2952" t="s">
        <v>3064</v>
      </c>
      <c r="C3" s="2952" t="s">
        <v>3065</v>
      </c>
      <c r="D3" s="2953" t="s">
        <v>3066</v>
      </c>
      <c r="E3" s="2954" t="s">
        <v>3067</v>
      </c>
      <c r="F3" s="2952" t="s">
        <v>3068</v>
      </c>
      <c r="H3" s="2955" t="s">
        <v>3064</v>
      </c>
      <c r="I3" s="2955" t="s">
        <v>3065</v>
      </c>
      <c r="J3" s="2956" t="s">
        <v>3066</v>
      </c>
      <c r="K3" s="2957" t="s">
        <v>3067</v>
      </c>
      <c r="L3" s="2955" t="s">
        <v>3068</v>
      </c>
      <c r="O3" s="2958" t="s">
        <v>3069</v>
      </c>
      <c r="P3" s="2958" t="s">
        <v>3070</v>
      </c>
      <c r="Q3" s="2959" t="s">
        <v>3071</v>
      </c>
      <c r="R3" s="2960" t="s">
        <v>3072</v>
      </c>
      <c r="S3" s="2958" t="s">
        <v>3073</v>
      </c>
      <c r="U3" s="2961" t="s">
        <v>3074</v>
      </c>
      <c r="V3" s="2961" t="s">
        <v>3075</v>
      </c>
      <c r="W3" s="2962" t="s">
        <v>3076</v>
      </c>
      <c r="X3" s="2963" t="s">
        <v>3077</v>
      </c>
      <c r="Y3" s="2961" t="s">
        <v>3078</v>
      </c>
    </row>
    <row r="4" spans="2:25">
      <c r="B4" s="2952">
        <v>1</v>
      </c>
      <c r="C4" s="2952">
        <v>15</v>
      </c>
      <c r="D4" s="2952">
        <v>1</v>
      </c>
      <c r="E4" s="2952">
        <v>2901</v>
      </c>
      <c r="F4" s="2952">
        <v>92.66</v>
      </c>
      <c r="H4" s="2955">
        <v>1</v>
      </c>
      <c r="I4" s="2955">
        <v>6</v>
      </c>
      <c r="J4" s="2955">
        <v>1</v>
      </c>
      <c r="K4" s="2955">
        <v>3001</v>
      </c>
      <c r="L4" s="2955">
        <v>92.68</v>
      </c>
      <c r="O4" s="2958">
        <v>1</v>
      </c>
      <c r="P4" s="2958">
        <v>5</v>
      </c>
      <c r="Q4" s="2958">
        <v>1</v>
      </c>
      <c r="R4" s="2958">
        <v>2901</v>
      </c>
      <c r="S4" s="2958">
        <v>92.71</v>
      </c>
      <c r="U4" s="2961">
        <v>1</v>
      </c>
      <c r="V4" s="2961">
        <v>15</v>
      </c>
      <c r="W4" s="2961">
        <v>1</v>
      </c>
      <c r="X4" s="2961">
        <v>204</v>
      </c>
      <c r="Y4" s="2961">
        <v>93.91</v>
      </c>
    </row>
    <row r="5" spans="2:25">
      <c r="B5" s="2952">
        <v>2</v>
      </c>
      <c r="C5" s="2952">
        <v>15</v>
      </c>
      <c r="D5" s="2952">
        <v>1</v>
      </c>
      <c r="E5" s="2952">
        <v>3001</v>
      </c>
      <c r="F5" s="2952">
        <v>92.66</v>
      </c>
      <c r="H5" s="2955">
        <v>2</v>
      </c>
      <c r="I5" s="2955">
        <v>6</v>
      </c>
      <c r="J5" s="2955">
        <v>2</v>
      </c>
      <c r="K5" s="2955">
        <v>204</v>
      </c>
      <c r="L5" s="2955">
        <v>92.68</v>
      </c>
      <c r="O5" s="2958">
        <v>2</v>
      </c>
      <c r="P5" s="2958">
        <v>5</v>
      </c>
      <c r="Q5" s="2958">
        <v>2</v>
      </c>
      <c r="R5" s="2958">
        <v>204</v>
      </c>
      <c r="S5" s="2958">
        <v>92.71</v>
      </c>
      <c r="U5" s="2961">
        <v>2</v>
      </c>
      <c r="V5" s="2961">
        <v>15</v>
      </c>
      <c r="W5" s="2961">
        <v>1</v>
      </c>
      <c r="X5" s="2961">
        <v>304</v>
      </c>
      <c r="Y5" s="2961">
        <v>93.91</v>
      </c>
    </row>
    <row r="6" spans="2:25">
      <c r="B6" s="2952">
        <v>3</v>
      </c>
      <c r="C6" s="2952">
        <v>15</v>
      </c>
      <c r="D6" s="2952">
        <v>1</v>
      </c>
      <c r="E6" s="2952">
        <v>3101</v>
      </c>
      <c r="F6" s="2952">
        <v>92.66</v>
      </c>
      <c r="H6" s="2955">
        <v>3</v>
      </c>
      <c r="I6" s="2955">
        <v>6</v>
      </c>
      <c r="J6" s="2955">
        <v>2</v>
      </c>
      <c r="K6" s="2955">
        <v>304</v>
      </c>
      <c r="L6" s="2955">
        <v>92.68</v>
      </c>
      <c r="O6" s="2958">
        <v>3</v>
      </c>
      <c r="P6" s="2958">
        <v>5</v>
      </c>
      <c r="Q6" s="2958">
        <v>2</v>
      </c>
      <c r="R6" s="2958">
        <v>304</v>
      </c>
      <c r="S6" s="2958">
        <v>92.71</v>
      </c>
      <c r="U6" s="2961">
        <v>3</v>
      </c>
      <c r="V6" s="2961">
        <v>15</v>
      </c>
      <c r="W6" s="2961">
        <v>1</v>
      </c>
      <c r="X6" s="2961">
        <v>504</v>
      </c>
      <c r="Y6" s="2961">
        <v>93.91</v>
      </c>
    </row>
    <row r="7" spans="2:25">
      <c r="B7" s="2952">
        <v>4</v>
      </c>
      <c r="C7" s="2952">
        <v>15</v>
      </c>
      <c r="D7" s="2952">
        <v>2</v>
      </c>
      <c r="E7" s="2952">
        <v>204</v>
      </c>
      <c r="F7" s="2952">
        <v>92.66</v>
      </c>
      <c r="H7" s="2955">
        <v>4</v>
      </c>
      <c r="I7" s="2955">
        <v>6</v>
      </c>
      <c r="J7" s="2955">
        <v>2</v>
      </c>
      <c r="K7" s="2955">
        <v>504</v>
      </c>
      <c r="L7" s="2955">
        <v>92.68</v>
      </c>
      <c r="O7" s="2958">
        <v>4</v>
      </c>
      <c r="P7" s="2958">
        <v>5</v>
      </c>
      <c r="Q7" s="2958">
        <v>2</v>
      </c>
      <c r="R7" s="2958">
        <v>2204</v>
      </c>
      <c r="S7" s="2958">
        <v>92.71</v>
      </c>
      <c r="U7" s="2961">
        <v>4</v>
      </c>
      <c r="V7" s="2961">
        <v>15</v>
      </c>
      <c r="W7" s="2961">
        <v>1</v>
      </c>
      <c r="X7" s="2961">
        <v>2304</v>
      </c>
      <c r="Y7" s="2961">
        <v>93.91</v>
      </c>
    </row>
    <row r="8" spans="2:25">
      <c r="B8" s="2952">
        <v>5</v>
      </c>
      <c r="C8" s="2952">
        <v>15</v>
      </c>
      <c r="D8" s="2952">
        <v>2</v>
      </c>
      <c r="E8" s="2952">
        <v>304</v>
      </c>
      <c r="F8" s="2952">
        <v>92.66</v>
      </c>
      <c r="H8" s="2955">
        <v>5</v>
      </c>
      <c r="I8" s="2955">
        <v>6</v>
      </c>
      <c r="J8" s="2955">
        <v>2</v>
      </c>
      <c r="K8" s="2955">
        <v>904</v>
      </c>
      <c r="L8" s="2955">
        <v>92.68</v>
      </c>
      <c r="O8" s="2958">
        <v>5</v>
      </c>
      <c r="P8" s="2958">
        <v>5</v>
      </c>
      <c r="Q8" s="2958">
        <v>2</v>
      </c>
      <c r="R8" s="2958">
        <v>2704</v>
      </c>
      <c r="S8" s="2958">
        <v>92.71</v>
      </c>
      <c r="U8" s="2961">
        <v>5</v>
      </c>
      <c r="V8" s="2961">
        <v>15</v>
      </c>
      <c r="W8" s="2961">
        <v>1</v>
      </c>
      <c r="X8" s="2961">
        <v>2504</v>
      </c>
      <c r="Y8" s="2961">
        <v>93.91</v>
      </c>
    </row>
    <row r="9" spans="2:25">
      <c r="B9" s="2952">
        <v>6</v>
      </c>
      <c r="C9" s="2952">
        <v>15</v>
      </c>
      <c r="D9" s="2952">
        <v>2</v>
      </c>
      <c r="E9" s="2952">
        <v>504</v>
      </c>
      <c r="F9" s="2952">
        <v>92.66</v>
      </c>
      <c r="H9" s="2955">
        <v>6</v>
      </c>
      <c r="I9" s="2955">
        <v>6</v>
      </c>
      <c r="J9" s="2955">
        <v>2</v>
      </c>
      <c r="K9" s="2955">
        <v>1004</v>
      </c>
      <c r="L9" s="2955">
        <v>92.68</v>
      </c>
      <c r="O9" s="2958">
        <v>6</v>
      </c>
      <c r="P9" s="2958">
        <v>5</v>
      </c>
      <c r="Q9" s="2958">
        <v>2</v>
      </c>
      <c r="R9" s="2958">
        <v>2804</v>
      </c>
      <c r="S9" s="2958">
        <v>92.71</v>
      </c>
      <c r="U9" s="2961">
        <v>6</v>
      </c>
      <c r="V9" s="2961">
        <v>15</v>
      </c>
      <c r="W9" s="2961">
        <v>1</v>
      </c>
      <c r="X9" s="2961">
        <v>3104</v>
      </c>
      <c r="Y9" s="2961">
        <v>93.91</v>
      </c>
    </row>
    <row r="10" spans="2:25">
      <c r="B10" s="2952">
        <v>7</v>
      </c>
      <c r="C10" s="2952">
        <v>15</v>
      </c>
      <c r="D10" s="2952">
        <v>2</v>
      </c>
      <c r="E10" s="2952">
        <v>604</v>
      </c>
      <c r="F10" s="2952">
        <v>92.66</v>
      </c>
      <c r="H10" s="2955">
        <v>7</v>
      </c>
      <c r="I10" s="2955">
        <v>6</v>
      </c>
      <c r="J10" s="2955">
        <v>2</v>
      </c>
      <c r="K10" s="2955">
        <v>2804</v>
      </c>
      <c r="L10" s="2955">
        <v>92.68</v>
      </c>
      <c r="O10" s="2958">
        <v>7</v>
      </c>
      <c r="P10" s="2958">
        <v>5</v>
      </c>
      <c r="Q10" s="2958">
        <v>2</v>
      </c>
      <c r="R10" s="2958">
        <v>2904</v>
      </c>
      <c r="S10" s="2958">
        <v>92.71</v>
      </c>
      <c r="U10" s="2961">
        <v>7</v>
      </c>
      <c r="V10" s="2961">
        <v>15</v>
      </c>
      <c r="W10" s="2961">
        <v>2</v>
      </c>
      <c r="X10" s="2961">
        <v>3101</v>
      </c>
      <c r="Y10" s="2961">
        <v>93.91</v>
      </c>
    </row>
    <row r="11" spans="2:25">
      <c r="B11" s="2952">
        <v>8</v>
      </c>
      <c r="C11" s="2952">
        <v>15</v>
      </c>
      <c r="D11" s="2952">
        <v>2</v>
      </c>
      <c r="E11" s="2952">
        <v>704</v>
      </c>
      <c r="F11" s="2952">
        <v>92.66</v>
      </c>
      <c r="H11" s="2955">
        <v>8</v>
      </c>
      <c r="I11" s="2955">
        <v>6</v>
      </c>
      <c r="J11" s="2955">
        <v>2</v>
      </c>
      <c r="K11" s="2955">
        <v>3004</v>
      </c>
      <c r="L11" s="2955">
        <v>92.68</v>
      </c>
      <c r="O11" s="2958">
        <v>8</v>
      </c>
      <c r="P11" s="2958">
        <v>9</v>
      </c>
      <c r="Q11" s="2958">
        <v>1</v>
      </c>
      <c r="R11" s="2958">
        <v>201</v>
      </c>
      <c r="S11" s="2958">
        <v>92.71</v>
      </c>
      <c r="U11" s="2961">
        <v>8</v>
      </c>
      <c r="V11" s="2961">
        <v>15</v>
      </c>
      <c r="W11" s="2961">
        <v>3</v>
      </c>
      <c r="X11" s="2961">
        <v>504</v>
      </c>
      <c r="Y11" s="2961">
        <v>93.91</v>
      </c>
    </row>
    <row r="12" spans="2:25">
      <c r="B12" s="2952">
        <v>9</v>
      </c>
      <c r="C12" s="2952">
        <v>15</v>
      </c>
      <c r="D12" s="2952">
        <v>2</v>
      </c>
      <c r="E12" s="2952">
        <v>804</v>
      </c>
      <c r="F12" s="2952">
        <v>92.66</v>
      </c>
      <c r="H12" s="2955">
        <v>9</v>
      </c>
      <c r="I12" s="2955">
        <v>11</v>
      </c>
      <c r="J12" s="2955">
        <v>2</v>
      </c>
      <c r="K12" s="2955">
        <v>3001</v>
      </c>
      <c r="L12" s="2955">
        <v>92.68</v>
      </c>
      <c r="O12" s="2958">
        <v>9</v>
      </c>
      <c r="P12" s="2958">
        <v>9</v>
      </c>
      <c r="Q12" s="2958">
        <v>1</v>
      </c>
      <c r="R12" s="2958">
        <v>501</v>
      </c>
      <c r="S12" s="2958">
        <v>92.71</v>
      </c>
      <c r="U12" s="2961">
        <v>9</v>
      </c>
      <c r="V12" s="2961">
        <v>15</v>
      </c>
      <c r="W12" s="2961">
        <v>3</v>
      </c>
      <c r="X12" s="2961">
        <v>3104</v>
      </c>
      <c r="Y12" s="2961">
        <v>93.91</v>
      </c>
    </row>
    <row r="13" spans="2:25">
      <c r="B13" s="2952">
        <v>10</v>
      </c>
      <c r="C13" s="2952">
        <v>15</v>
      </c>
      <c r="D13" s="2952">
        <v>2</v>
      </c>
      <c r="E13" s="2952">
        <v>904</v>
      </c>
      <c r="F13" s="2952">
        <v>92.66</v>
      </c>
      <c r="H13" s="3064" t="s">
        <v>3079</v>
      </c>
      <c r="I13" s="3065"/>
      <c r="J13" s="3065"/>
      <c r="K13" s="3066"/>
      <c r="L13" s="2955">
        <f>SUM(L4:L12)</f>
        <v>834.12000000000012</v>
      </c>
      <c r="O13" s="2958">
        <v>10</v>
      </c>
      <c r="P13" s="2958">
        <v>9</v>
      </c>
      <c r="Q13" s="2958">
        <v>1</v>
      </c>
      <c r="R13" s="2958">
        <v>701</v>
      </c>
      <c r="S13" s="2958">
        <v>92.71</v>
      </c>
      <c r="U13" s="2961">
        <v>10</v>
      </c>
      <c r="V13" s="2961">
        <v>15</v>
      </c>
      <c r="W13" s="2961">
        <v>4</v>
      </c>
      <c r="X13" s="2961">
        <v>201</v>
      </c>
      <c r="Y13" s="2961">
        <v>93.91</v>
      </c>
    </row>
    <row r="14" spans="2:25">
      <c r="B14" s="2952">
        <v>11</v>
      </c>
      <c r="C14" s="2952">
        <v>15</v>
      </c>
      <c r="D14" s="2952">
        <v>2</v>
      </c>
      <c r="E14" s="2952">
        <v>1704</v>
      </c>
      <c r="F14" s="2952">
        <v>92.66</v>
      </c>
      <c r="O14" s="2958">
        <v>11</v>
      </c>
      <c r="P14" s="2958">
        <v>9</v>
      </c>
      <c r="Q14" s="2958">
        <v>1</v>
      </c>
      <c r="R14" s="2958">
        <v>1601</v>
      </c>
      <c r="S14" s="2958">
        <v>92.71</v>
      </c>
      <c r="U14" s="2961">
        <v>11</v>
      </c>
      <c r="V14" s="2961">
        <v>15</v>
      </c>
      <c r="W14" s="2961">
        <v>4</v>
      </c>
      <c r="X14" s="2961">
        <v>301</v>
      </c>
      <c r="Y14" s="2961">
        <v>93.91</v>
      </c>
    </row>
    <row r="15" spans="2:25">
      <c r="B15" s="2952">
        <v>12</v>
      </c>
      <c r="C15" s="2952">
        <v>15</v>
      </c>
      <c r="D15" s="2952">
        <v>2</v>
      </c>
      <c r="E15" s="2952">
        <v>2304</v>
      </c>
      <c r="F15" s="2952">
        <v>92.66</v>
      </c>
      <c r="H15" s="2964" t="s">
        <v>3074</v>
      </c>
      <c r="I15" s="2964" t="s">
        <v>3075</v>
      </c>
      <c r="J15" s="2965" t="s">
        <v>3076</v>
      </c>
      <c r="K15" s="2966" t="s">
        <v>3077</v>
      </c>
      <c r="L15" s="2964" t="s">
        <v>3078</v>
      </c>
      <c r="O15" s="2958">
        <v>12</v>
      </c>
      <c r="P15" s="2958">
        <v>9</v>
      </c>
      <c r="Q15" s="2958">
        <v>1</v>
      </c>
      <c r="R15" s="2958">
        <v>1701</v>
      </c>
      <c r="S15" s="2958">
        <v>92.71</v>
      </c>
      <c r="U15" s="2961">
        <v>12</v>
      </c>
      <c r="V15" s="2961">
        <v>15</v>
      </c>
      <c r="W15" s="2961">
        <v>4</v>
      </c>
      <c r="X15" s="2961">
        <v>501</v>
      </c>
      <c r="Y15" s="2961">
        <v>93.91</v>
      </c>
    </row>
    <row r="16" spans="2:25">
      <c r="B16" s="2952">
        <v>13</v>
      </c>
      <c r="C16" s="2952">
        <v>15</v>
      </c>
      <c r="D16" s="2952">
        <v>2</v>
      </c>
      <c r="E16" s="2952">
        <v>2504</v>
      </c>
      <c r="F16" s="2952">
        <v>92.66</v>
      </c>
      <c r="H16" s="2964">
        <v>1</v>
      </c>
      <c r="I16" s="2964">
        <v>12</v>
      </c>
      <c r="J16" s="2964">
        <v>2</v>
      </c>
      <c r="K16" s="2964">
        <v>204</v>
      </c>
      <c r="L16" s="2964">
        <v>92.7</v>
      </c>
      <c r="O16" s="2958">
        <v>13</v>
      </c>
      <c r="P16" s="2958">
        <v>9</v>
      </c>
      <c r="Q16" s="2958">
        <v>1</v>
      </c>
      <c r="R16" s="2958">
        <v>2201</v>
      </c>
      <c r="S16" s="2958">
        <v>92.71</v>
      </c>
      <c r="U16" s="2961">
        <v>13</v>
      </c>
      <c r="V16" s="2961">
        <v>15</v>
      </c>
      <c r="W16" s="2961">
        <v>4</v>
      </c>
      <c r="X16" s="2961">
        <v>701</v>
      </c>
      <c r="Y16" s="2961">
        <v>93.91</v>
      </c>
    </row>
    <row r="17" spans="2:25">
      <c r="B17" s="2952">
        <v>14</v>
      </c>
      <c r="C17" s="2952">
        <v>15</v>
      </c>
      <c r="D17" s="2952">
        <v>2</v>
      </c>
      <c r="E17" s="2952">
        <v>2604</v>
      </c>
      <c r="F17" s="2952">
        <v>92.66</v>
      </c>
      <c r="H17" s="2964">
        <v>2</v>
      </c>
      <c r="I17" s="2964">
        <v>12</v>
      </c>
      <c r="J17" s="2964">
        <v>2</v>
      </c>
      <c r="K17" s="2964">
        <v>504</v>
      </c>
      <c r="L17" s="2964">
        <v>92.7</v>
      </c>
      <c r="O17" s="2958">
        <v>14</v>
      </c>
      <c r="P17" s="2958">
        <v>9</v>
      </c>
      <c r="Q17" s="2958">
        <v>1</v>
      </c>
      <c r="R17" s="2958">
        <v>2601</v>
      </c>
      <c r="S17" s="2958">
        <v>92.71</v>
      </c>
      <c r="U17" s="2961">
        <v>14</v>
      </c>
      <c r="V17" s="2961">
        <v>15</v>
      </c>
      <c r="W17" s="2961">
        <v>4</v>
      </c>
      <c r="X17" s="2961">
        <v>2501</v>
      </c>
      <c r="Y17" s="2961">
        <v>93.91</v>
      </c>
    </row>
    <row r="18" spans="2:25">
      <c r="B18" s="2952">
        <v>15</v>
      </c>
      <c r="C18" s="2952">
        <v>15</v>
      </c>
      <c r="D18" s="2952">
        <v>2</v>
      </c>
      <c r="E18" s="2952">
        <v>2704</v>
      </c>
      <c r="F18" s="2952">
        <v>92.66</v>
      </c>
      <c r="H18" s="2964">
        <v>3</v>
      </c>
      <c r="I18" s="2964">
        <v>12</v>
      </c>
      <c r="J18" s="2964">
        <v>2</v>
      </c>
      <c r="K18" s="2964">
        <v>2904</v>
      </c>
      <c r="L18" s="2964">
        <v>92.7</v>
      </c>
      <c r="O18" s="2958">
        <v>15</v>
      </c>
      <c r="P18" s="2958">
        <v>9</v>
      </c>
      <c r="Q18" s="2958">
        <v>1</v>
      </c>
      <c r="R18" s="2958">
        <v>2801</v>
      </c>
      <c r="S18" s="2958">
        <v>92.71</v>
      </c>
      <c r="U18" s="2961">
        <v>15</v>
      </c>
      <c r="V18" s="2961">
        <v>15</v>
      </c>
      <c r="W18" s="2961">
        <v>4</v>
      </c>
      <c r="X18" s="2961">
        <v>3001</v>
      </c>
      <c r="Y18" s="2961">
        <v>93.91</v>
      </c>
    </row>
    <row r="19" spans="2:25">
      <c r="B19" s="2952">
        <v>16</v>
      </c>
      <c r="C19" s="2952">
        <v>15</v>
      </c>
      <c r="D19" s="2952">
        <v>2</v>
      </c>
      <c r="E19" s="2952">
        <v>2804</v>
      </c>
      <c r="F19" s="2952">
        <v>92.66</v>
      </c>
      <c r="H19" s="2964">
        <v>4</v>
      </c>
      <c r="I19" s="2964">
        <v>12</v>
      </c>
      <c r="J19" s="2964">
        <v>2</v>
      </c>
      <c r="K19" s="2964">
        <v>3004</v>
      </c>
      <c r="L19" s="2964">
        <v>92.7</v>
      </c>
      <c r="O19" s="2958">
        <v>16</v>
      </c>
      <c r="P19" s="2958">
        <v>9</v>
      </c>
      <c r="Q19" s="2958">
        <v>2</v>
      </c>
      <c r="R19" s="2958">
        <v>204</v>
      </c>
      <c r="S19" s="2958">
        <v>92.71</v>
      </c>
      <c r="U19" s="2961">
        <v>16</v>
      </c>
      <c r="V19" s="2961">
        <v>15</v>
      </c>
      <c r="W19" s="2961">
        <v>4</v>
      </c>
      <c r="X19" s="2961">
        <v>3101</v>
      </c>
      <c r="Y19" s="2961">
        <v>93.91</v>
      </c>
    </row>
    <row r="20" spans="2:25">
      <c r="B20" s="2952">
        <v>17</v>
      </c>
      <c r="C20" s="2952">
        <v>15</v>
      </c>
      <c r="D20" s="2952">
        <v>2</v>
      </c>
      <c r="E20" s="2952">
        <v>2904</v>
      </c>
      <c r="F20" s="2952">
        <v>92.66</v>
      </c>
      <c r="H20" s="3067" t="s">
        <v>3079</v>
      </c>
      <c r="I20" s="3068"/>
      <c r="J20" s="3068"/>
      <c r="K20" s="3069"/>
      <c r="L20" s="2964">
        <f>SUM(L16:L19)</f>
        <v>370.8</v>
      </c>
      <c r="O20" s="2958">
        <v>17</v>
      </c>
      <c r="P20" s="2958">
        <v>9</v>
      </c>
      <c r="Q20" s="2958">
        <v>2</v>
      </c>
      <c r="R20" s="2958">
        <v>304</v>
      </c>
      <c r="S20" s="2958">
        <v>92.71</v>
      </c>
      <c r="U20" s="2961">
        <v>17</v>
      </c>
      <c r="V20" s="2961">
        <v>18</v>
      </c>
      <c r="W20" s="2961">
        <v>1</v>
      </c>
      <c r="X20" s="2961">
        <v>204</v>
      </c>
      <c r="Y20" s="2961">
        <v>93.91</v>
      </c>
    </row>
    <row r="21" spans="2:25">
      <c r="B21" s="2952">
        <v>18</v>
      </c>
      <c r="C21" s="2952">
        <v>15</v>
      </c>
      <c r="D21" s="2952">
        <v>2</v>
      </c>
      <c r="E21" s="2952">
        <v>3004</v>
      </c>
      <c r="F21" s="2952">
        <v>92.66</v>
      </c>
      <c r="O21" s="2958">
        <v>18</v>
      </c>
      <c r="P21" s="2958">
        <v>9</v>
      </c>
      <c r="Q21" s="2958">
        <v>2</v>
      </c>
      <c r="R21" s="2958">
        <v>504</v>
      </c>
      <c r="S21" s="2958">
        <v>92.71</v>
      </c>
      <c r="U21" s="2961">
        <v>18</v>
      </c>
      <c r="V21" s="2961">
        <v>18</v>
      </c>
      <c r="W21" s="2961">
        <v>1</v>
      </c>
      <c r="X21" s="2961">
        <v>804</v>
      </c>
      <c r="Y21" s="2961">
        <v>93.91</v>
      </c>
    </row>
    <row r="22" spans="2:25">
      <c r="B22" s="2952">
        <v>19</v>
      </c>
      <c r="C22" s="2952">
        <v>15</v>
      </c>
      <c r="D22" s="2952">
        <v>2</v>
      </c>
      <c r="E22" s="2952">
        <v>3104</v>
      </c>
      <c r="F22" s="2952">
        <v>92.66</v>
      </c>
      <c r="H22" s="2967" t="s">
        <v>3069</v>
      </c>
      <c r="I22" s="2967" t="s">
        <v>3070</v>
      </c>
      <c r="J22" s="2968" t="s">
        <v>3071</v>
      </c>
      <c r="K22" s="2969" t="s">
        <v>3072</v>
      </c>
      <c r="L22" s="2967" t="s">
        <v>3073</v>
      </c>
      <c r="O22" s="2958">
        <v>19</v>
      </c>
      <c r="P22" s="2958">
        <v>9</v>
      </c>
      <c r="Q22" s="2958">
        <v>2</v>
      </c>
      <c r="R22" s="2958">
        <v>604</v>
      </c>
      <c r="S22" s="2958">
        <v>92.71</v>
      </c>
      <c r="U22" s="2961">
        <v>19</v>
      </c>
      <c r="V22" s="2961">
        <v>18</v>
      </c>
      <c r="W22" s="2961">
        <v>1</v>
      </c>
      <c r="X22" s="2961">
        <v>2904</v>
      </c>
      <c r="Y22" s="2961">
        <v>93.91</v>
      </c>
    </row>
    <row r="23" spans="2:25">
      <c r="B23" s="2952">
        <v>20</v>
      </c>
      <c r="C23" s="2952">
        <v>15</v>
      </c>
      <c r="D23" s="2952">
        <v>3</v>
      </c>
      <c r="E23" s="2952">
        <v>201</v>
      </c>
      <c r="F23" s="2952">
        <v>92.66</v>
      </c>
      <c r="H23" s="2967">
        <v>1</v>
      </c>
      <c r="I23" s="2967">
        <v>7</v>
      </c>
      <c r="J23" s="2967">
        <v>2</v>
      </c>
      <c r="K23" s="2967">
        <v>204</v>
      </c>
      <c r="L23" s="2967">
        <v>92.74</v>
      </c>
      <c r="O23" s="2958">
        <v>20</v>
      </c>
      <c r="P23" s="2958">
        <v>9</v>
      </c>
      <c r="Q23" s="2958">
        <v>2</v>
      </c>
      <c r="R23" s="2958">
        <v>704</v>
      </c>
      <c r="S23" s="2958">
        <v>92.71</v>
      </c>
      <c r="U23" s="2961">
        <v>20</v>
      </c>
      <c r="V23" s="2961">
        <v>18</v>
      </c>
      <c r="W23" s="2961">
        <v>2</v>
      </c>
      <c r="X23" s="2961">
        <v>2201</v>
      </c>
      <c r="Y23" s="2961">
        <v>93.91</v>
      </c>
    </row>
    <row r="24" spans="2:25">
      <c r="B24" s="2952">
        <v>21</v>
      </c>
      <c r="C24" s="2952">
        <v>15</v>
      </c>
      <c r="D24" s="2952">
        <v>3</v>
      </c>
      <c r="E24" s="2952">
        <v>301</v>
      </c>
      <c r="F24" s="2952">
        <v>92.66</v>
      </c>
      <c r="H24" s="2967">
        <v>2</v>
      </c>
      <c r="I24" s="2967">
        <v>7</v>
      </c>
      <c r="J24" s="2967">
        <v>2</v>
      </c>
      <c r="K24" s="2967">
        <v>304</v>
      </c>
      <c r="L24" s="2967">
        <v>92.74</v>
      </c>
      <c r="O24" s="2958">
        <v>21</v>
      </c>
      <c r="P24" s="2958">
        <v>9</v>
      </c>
      <c r="Q24" s="2958">
        <v>2</v>
      </c>
      <c r="R24" s="2958">
        <v>804</v>
      </c>
      <c r="S24" s="2958">
        <v>92.71</v>
      </c>
      <c r="U24" s="2961">
        <v>21</v>
      </c>
      <c r="V24" s="2961">
        <v>18</v>
      </c>
      <c r="W24" s="2961">
        <v>2</v>
      </c>
      <c r="X24" s="2961">
        <v>3101</v>
      </c>
      <c r="Y24" s="2961">
        <v>93.91</v>
      </c>
    </row>
    <row r="25" spans="2:25">
      <c r="B25" s="2952">
        <v>22</v>
      </c>
      <c r="C25" s="2952">
        <v>15</v>
      </c>
      <c r="D25" s="2952">
        <v>3</v>
      </c>
      <c r="E25" s="2952">
        <v>701</v>
      </c>
      <c r="F25" s="2952">
        <v>92.66</v>
      </c>
      <c r="H25" s="2967">
        <v>3</v>
      </c>
      <c r="I25" s="2967">
        <v>7</v>
      </c>
      <c r="J25" s="2967">
        <v>2</v>
      </c>
      <c r="K25" s="2967">
        <v>504</v>
      </c>
      <c r="L25" s="2967">
        <v>92.74</v>
      </c>
      <c r="O25" s="2958">
        <v>22</v>
      </c>
      <c r="P25" s="2958">
        <v>9</v>
      </c>
      <c r="Q25" s="2958">
        <v>2</v>
      </c>
      <c r="R25" s="2958">
        <v>904</v>
      </c>
      <c r="S25" s="2958">
        <v>92.71</v>
      </c>
      <c r="U25" s="2961">
        <v>22</v>
      </c>
      <c r="V25" s="2961">
        <v>19</v>
      </c>
      <c r="W25" s="2961">
        <v>1</v>
      </c>
      <c r="X25" s="2961">
        <v>3104</v>
      </c>
      <c r="Y25" s="2961">
        <v>93.91</v>
      </c>
    </row>
    <row r="26" spans="2:25">
      <c r="B26" s="2952">
        <v>23</v>
      </c>
      <c r="C26" s="2952">
        <v>15</v>
      </c>
      <c r="D26" s="2952">
        <v>3</v>
      </c>
      <c r="E26" s="2952">
        <v>3101</v>
      </c>
      <c r="F26" s="2952">
        <v>92.66</v>
      </c>
      <c r="H26" s="2967">
        <v>4</v>
      </c>
      <c r="I26" s="2967">
        <v>7</v>
      </c>
      <c r="J26" s="2967">
        <v>2</v>
      </c>
      <c r="K26" s="2967">
        <v>2804</v>
      </c>
      <c r="L26" s="2967">
        <v>92.74</v>
      </c>
      <c r="O26" s="2958">
        <v>23</v>
      </c>
      <c r="P26" s="2958">
        <v>9</v>
      </c>
      <c r="Q26" s="2958">
        <v>2</v>
      </c>
      <c r="R26" s="2958">
        <v>1104</v>
      </c>
      <c r="S26" s="2958">
        <v>92.71</v>
      </c>
      <c r="U26" s="2961">
        <v>23</v>
      </c>
      <c r="V26" s="2961">
        <v>19</v>
      </c>
      <c r="W26" s="2961">
        <v>2</v>
      </c>
      <c r="X26" s="2961">
        <v>201</v>
      </c>
      <c r="Y26" s="2961">
        <v>93.91</v>
      </c>
    </row>
    <row r="27" spans="2:25">
      <c r="B27" s="2952">
        <v>24</v>
      </c>
      <c r="C27" s="2952">
        <v>15</v>
      </c>
      <c r="D27" s="2952">
        <v>4</v>
      </c>
      <c r="E27" s="2952">
        <v>204</v>
      </c>
      <c r="F27" s="2952">
        <v>92.66</v>
      </c>
      <c r="H27" s="3070" t="s">
        <v>3080</v>
      </c>
      <c r="I27" s="3071"/>
      <c r="J27" s="3071"/>
      <c r="K27" s="3072"/>
      <c r="L27" s="2967">
        <f>SUM(L23:L26)</f>
        <v>370.96</v>
      </c>
      <c r="O27" s="2958">
        <v>24</v>
      </c>
      <c r="P27" s="2958">
        <v>9</v>
      </c>
      <c r="Q27" s="2958">
        <v>2</v>
      </c>
      <c r="R27" s="2958">
        <v>1204</v>
      </c>
      <c r="S27" s="2958">
        <v>92.71</v>
      </c>
      <c r="U27" s="2961">
        <v>24</v>
      </c>
      <c r="V27" s="2961">
        <v>19</v>
      </c>
      <c r="W27" s="2961">
        <v>2</v>
      </c>
      <c r="X27" s="2961">
        <v>301</v>
      </c>
      <c r="Y27" s="2961">
        <v>93.91</v>
      </c>
    </row>
    <row r="28" spans="2:25">
      <c r="B28" s="2952">
        <v>25</v>
      </c>
      <c r="C28" s="2952">
        <v>15</v>
      </c>
      <c r="D28" s="2952">
        <v>4</v>
      </c>
      <c r="E28" s="2952">
        <v>304</v>
      </c>
      <c r="F28" s="2952">
        <v>92.66</v>
      </c>
      <c r="O28" s="2958">
        <v>25</v>
      </c>
      <c r="P28" s="2958">
        <v>9</v>
      </c>
      <c r="Q28" s="2958">
        <v>2</v>
      </c>
      <c r="R28" s="2958">
        <v>1504</v>
      </c>
      <c r="S28" s="2958">
        <v>92.71</v>
      </c>
      <c r="U28" s="2961">
        <v>25</v>
      </c>
      <c r="V28" s="2961">
        <v>19</v>
      </c>
      <c r="W28" s="2961">
        <v>2</v>
      </c>
      <c r="X28" s="2961">
        <v>701</v>
      </c>
      <c r="Y28" s="2961">
        <v>93.91</v>
      </c>
    </row>
    <row r="29" spans="2:25">
      <c r="B29" s="2952">
        <v>26</v>
      </c>
      <c r="C29" s="2952">
        <v>15</v>
      </c>
      <c r="D29" s="2952">
        <v>4</v>
      </c>
      <c r="E29" s="2952">
        <v>504</v>
      </c>
      <c r="F29" s="2952">
        <v>92.66</v>
      </c>
      <c r="H29" s="2970" t="s">
        <v>3074</v>
      </c>
      <c r="I29" s="2970" t="s">
        <v>3075</v>
      </c>
      <c r="J29" s="2971" t="s">
        <v>3076</v>
      </c>
      <c r="K29" s="2972" t="s">
        <v>3077</v>
      </c>
      <c r="L29" s="2970" t="s">
        <v>3078</v>
      </c>
      <c r="O29" s="2958">
        <v>26</v>
      </c>
      <c r="P29" s="2958">
        <v>9</v>
      </c>
      <c r="Q29" s="2958">
        <v>2</v>
      </c>
      <c r="R29" s="2958">
        <v>1604</v>
      </c>
      <c r="S29" s="2958">
        <v>92.71</v>
      </c>
      <c r="U29" s="2961">
        <v>26</v>
      </c>
      <c r="V29" s="2961">
        <v>19</v>
      </c>
      <c r="W29" s="2961">
        <v>2</v>
      </c>
      <c r="X29" s="2961">
        <v>801</v>
      </c>
      <c r="Y29" s="2961">
        <v>93.91</v>
      </c>
    </row>
    <row r="30" spans="2:25">
      <c r="B30" s="2952">
        <v>27</v>
      </c>
      <c r="C30" s="2952">
        <v>15</v>
      </c>
      <c r="D30" s="2952">
        <v>4</v>
      </c>
      <c r="E30" s="2952">
        <v>604</v>
      </c>
      <c r="F30" s="2952">
        <v>92.66</v>
      </c>
      <c r="H30" s="2970">
        <v>1</v>
      </c>
      <c r="I30" s="2970">
        <v>8</v>
      </c>
      <c r="J30" s="2970">
        <v>1</v>
      </c>
      <c r="K30" s="2970">
        <v>901</v>
      </c>
      <c r="L30" s="2970">
        <v>92.76</v>
      </c>
      <c r="O30" s="2958">
        <v>27</v>
      </c>
      <c r="P30" s="2958">
        <v>9</v>
      </c>
      <c r="Q30" s="2958">
        <v>2</v>
      </c>
      <c r="R30" s="2958">
        <v>1704</v>
      </c>
      <c r="S30" s="2958">
        <v>92.71</v>
      </c>
      <c r="U30" s="2961">
        <v>27</v>
      </c>
      <c r="V30" s="2961">
        <v>19</v>
      </c>
      <c r="W30" s="2961">
        <v>2</v>
      </c>
      <c r="X30" s="2961">
        <v>1001</v>
      </c>
      <c r="Y30" s="2961">
        <v>93.91</v>
      </c>
    </row>
    <row r="31" spans="2:25">
      <c r="B31" s="2952">
        <v>28</v>
      </c>
      <c r="C31" s="2952">
        <v>15</v>
      </c>
      <c r="D31" s="2952">
        <v>4</v>
      </c>
      <c r="E31" s="2952">
        <v>704</v>
      </c>
      <c r="F31" s="2952">
        <v>92.66</v>
      </c>
      <c r="H31" s="2970">
        <v>2</v>
      </c>
      <c r="I31" s="2970">
        <v>8</v>
      </c>
      <c r="J31" s="2970">
        <v>2</v>
      </c>
      <c r="K31" s="2970">
        <v>204</v>
      </c>
      <c r="L31" s="2970">
        <v>92.76</v>
      </c>
      <c r="O31" s="2958">
        <v>28</v>
      </c>
      <c r="P31" s="2958">
        <v>9</v>
      </c>
      <c r="Q31" s="2958">
        <v>2</v>
      </c>
      <c r="R31" s="2958">
        <v>1804</v>
      </c>
      <c r="S31" s="2958">
        <v>92.71</v>
      </c>
      <c r="U31" s="2961">
        <v>28</v>
      </c>
      <c r="V31" s="2961">
        <v>19</v>
      </c>
      <c r="W31" s="2961">
        <v>2</v>
      </c>
      <c r="X31" s="2961">
        <v>1601</v>
      </c>
      <c r="Y31" s="2961">
        <v>93.91</v>
      </c>
    </row>
    <row r="32" spans="2:25">
      <c r="B32" s="2952">
        <v>29</v>
      </c>
      <c r="C32" s="2952">
        <v>15</v>
      </c>
      <c r="D32" s="2952">
        <v>4</v>
      </c>
      <c r="E32" s="2952">
        <v>804</v>
      </c>
      <c r="F32" s="2952">
        <v>92.66</v>
      </c>
      <c r="H32" s="2970">
        <v>3</v>
      </c>
      <c r="I32" s="2970">
        <v>8</v>
      </c>
      <c r="J32" s="2970">
        <v>2</v>
      </c>
      <c r="K32" s="2970">
        <v>704</v>
      </c>
      <c r="L32" s="2970">
        <v>92.76</v>
      </c>
      <c r="O32" s="2958">
        <v>29</v>
      </c>
      <c r="P32" s="2958">
        <v>9</v>
      </c>
      <c r="Q32" s="2958">
        <v>2</v>
      </c>
      <c r="R32" s="2958">
        <v>2104</v>
      </c>
      <c r="S32" s="2958">
        <v>92.71</v>
      </c>
      <c r="U32" s="2961">
        <v>29</v>
      </c>
      <c r="V32" s="2961">
        <v>19</v>
      </c>
      <c r="W32" s="2961">
        <v>2</v>
      </c>
      <c r="X32" s="2961">
        <v>2601</v>
      </c>
      <c r="Y32" s="2961">
        <v>93.91</v>
      </c>
    </row>
    <row r="33" spans="2:25">
      <c r="B33" s="2952">
        <v>30</v>
      </c>
      <c r="C33" s="2952">
        <v>15</v>
      </c>
      <c r="D33" s="2952">
        <v>4</v>
      </c>
      <c r="E33" s="2952">
        <v>904</v>
      </c>
      <c r="F33" s="2952">
        <v>92.66</v>
      </c>
      <c r="H33" s="2970">
        <v>4</v>
      </c>
      <c r="I33" s="2970">
        <v>8</v>
      </c>
      <c r="J33" s="2970">
        <v>2</v>
      </c>
      <c r="K33" s="2970">
        <v>804</v>
      </c>
      <c r="L33" s="2970">
        <v>92.76</v>
      </c>
      <c r="O33" s="2958">
        <v>30</v>
      </c>
      <c r="P33" s="2958">
        <v>9</v>
      </c>
      <c r="Q33" s="2958">
        <v>2</v>
      </c>
      <c r="R33" s="2958">
        <v>2204</v>
      </c>
      <c r="S33" s="2958">
        <v>92.71</v>
      </c>
      <c r="U33" s="2961">
        <v>30</v>
      </c>
      <c r="V33" s="2961">
        <v>19</v>
      </c>
      <c r="W33" s="2961">
        <v>2</v>
      </c>
      <c r="X33" s="2961">
        <v>2701</v>
      </c>
      <c r="Y33" s="2961">
        <v>93.91</v>
      </c>
    </row>
    <row r="34" spans="2:25">
      <c r="B34" s="2952">
        <v>31</v>
      </c>
      <c r="C34" s="2952">
        <v>15</v>
      </c>
      <c r="D34" s="2952">
        <v>4</v>
      </c>
      <c r="E34" s="2952">
        <v>1004</v>
      </c>
      <c r="F34" s="2952">
        <v>92.66</v>
      </c>
      <c r="H34" s="2970">
        <v>5</v>
      </c>
      <c r="I34" s="2970">
        <v>8</v>
      </c>
      <c r="J34" s="2970">
        <v>2</v>
      </c>
      <c r="K34" s="2970">
        <v>2304</v>
      </c>
      <c r="L34" s="2970">
        <v>92.76</v>
      </c>
      <c r="O34" s="2958">
        <v>31</v>
      </c>
      <c r="P34" s="2958">
        <v>9</v>
      </c>
      <c r="Q34" s="2958">
        <v>2</v>
      </c>
      <c r="R34" s="2958">
        <v>2304</v>
      </c>
      <c r="S34" s="2958">
        <v>92.71</v>
      </c>
      <c r="U34" s="2961">
        <v>31</v>
      </c>
      <c r="V34" s="2961">
        <v>19</v>
      </c>
      <c r="W34" s="2961">
        <v>2</v>
      </c>
      <c r="X34" s="2961">
        <v>2801</v>
      </c>
      <c r="Y34" s="2961">
        <v>93.91</v>
      </c>
    </row>
    <row r="35" spans="2:25">
      <c r="B35" s="2952">
        <v>32</v>
      </c>
      <c r="C35" s="2952">
        <v>15</v>
      </c>
      <c r="D35" s="2952">
        <v>4</v>
      </c>
      <c r="E35" s="2952">
        <v>1104</v>
      </c>
      <c r="F35" s="2952">
        <v>92.66</v>
      </c>
      <c r="H35" s="2970">
        <v>6</v>
      </c>
      <c r="I35" s="2970">
        <v>8</v>
      </c>
      <c r="J35" s="2970">
        <v>2</v>
      </c>
      <c r="K35" s="2970">
        <v>2704</v>
      </c>
      <c r="L35" s="2970">
        <v>92.76</v>
      </c>
      <c r="O35" s="2958">
        <v>32</v>
      </c>
      <c r="P35" s="2958">
        <v>9</v>
      </c>
      <c r="Q35" s="2958">
        <v>2</v>
      </c>
      <c r="R35" s="2958">
        <v>2504</v>
      </c>
      <c r="S35" s="2958">
        <v>92.71</v>
      </c>
      <c r="U35" s="2961">
        <v>32</v>
      </c>
      <c r="V35" s="2961">
        <v>19</v>
      </c>
      <c r="W35" s="2961">
        <v>2</v>
      </c>
      <c r="X35" s="2961">
        <v>2901</v>
      </c>
      <c r="Y35" s="2961">
        <v>93.91</v>
      </c>
    </row>
    <row r="36" spans="2:25">
      <c r="B36" s="2952">
        <v>33</v>
      </c>
      <c r="C36" s="2952">
        <v>15</v>
      </c>
      <c r="D36" s="2952">
        <v>4</v>
      </c>
      <c r="E36" s="2952">
        <v>1204</v>
      </c>
      <c r="F36" s="2952">
        <v>92.66</v>
      </c>
      <c r="H36" s="2970">
        <v>7</v>
      </c>
      <c r="I36" s="2970">
        <v>8</v>
      </c>
      <c r="J36" s="2970">
        <v>2</v>
      </c>
      <c r="K36" s="2970">
        <v>2804</v>
      </c>
      <c r="L36" s="2970">
        <v>92.76</v>
      </c>
      <c r="O36" s="2958">
        <v>33</v>
      </c>
      <c r="P36" s="2958">
        <v>9</v>
      </c>
      <c r="Q36" s="2958">
        <v>2</v>
      </c>
      <c r="R36" s="2958">
        <v>2604</v>
      </c>
      <c r="S36" s="2958">
        <v>92.71</v>
      </c>
      <c r="U36" s="2961">
        <v>33</v>
      </c>
      <c r="V36" s="2961">
        <v>19</v>
      </c>
      <c r="W36" s="2961">
        <v>2</v>
      </c>
      <c r="X36" s="2961">
        <v>3001</v>
      </c>
      <c r="Y36" s="2961">
        <v>93.91</v>
      </c>
    </row>
    <row r="37" spans="2:25">
      <c r="B37" s="2952">
        <v>34</v>
      </c>
      <c r="C37" s="2952">
        <v>15</v>
      </c>
      <c r="D37" s="2952">
        <v>4</v>
      </c>
      <c r="E37" s="2952">
        <v>1504</v>
      </c>
      <c r="F37" s="2952">
        <v>92.66</v>
      </c>
      <c r="H37" s="3073" t="s">
        <v>3079</v>
      </c>
      <c r="I37" s="3074"/>
      <c r="J37" s="3074"/>
      <c r="K37" s="3075"/>
      <c r="L37" s="2970">
        <f>SUM(L30:L36)</f>
        <v>649.32000000000005</v>
      </c>
      <c r="O37" s="2958">
        <v>34</v>
      </c>
      <c r="P37" s="2958">
        <v>9</v>
      </c>
      <c r="Q37" s="2958">
        <v>2</v>
      </c>
      <c r="R37" s="2958">
        <v>2704</v>
      </c>
      <c r="S37" s="2958">
        <v>92.71</v>
      </c>
      <c r="U37" s="2961">
        <v>34</v>
      </c>
      <c r="V37" s="2961">
        <v>19</v>
      </c>
      <c r="W37" s="2961">
        <v>2</v>
      </c>
      <c r="X37" s="2961">
        <v>3101</v>
      </c>
      <c r="Y37" s="2961">
        <v>93.91</v>
      </c>
    </row>
    <row r="38" spans="2:25">
      <c r="B38" s="2952">
        <v>35</v>
      </c>
      <c r="C38" s="2952">
        <v>15</v>
      </c>
      <c r="D38" s="2952">
        <v>4</v>
      </c>
      <c r="E38" s="2952">
        <v>1604</v>
      </c>
      <c r="F38" s="2952">
        <v>92.66</v>
      </c>
      <c r="O38" s="2958">
        <v>35</v>
      </c>
      <c r="P38" s="2958">
        <v>9</v>
      </c>
      <c r="Q38" s="2958">
        <v>2</v>
      </c>
      <c r="R38" s="2958">
        <v>2804</v>
      </c>
      <c r="S38" s="2958">
        <v>92.71</v>
      </c>
      <c r="U38" s="2961">
        <v>35</v>
      </c>
      <c r="V38" s="2961">
        <v>20</v>
      </c>
      <c r="W38" s="2961">
        <v>1</v>
      </c>
      <c r="X38" s="2961">
        <v>204</v>
      </c>
      <c r="Y38" s="2961">
        <v>93.91</v>
      </c>
    </row>
    <row r="39" spans="2:25">
      <c r="B39" s="2952">
        <v>36</v>
      </c>
      <c r="C39" s="2952">
        <v>15</v>
      </c>
      <c r="D39" s="2952">
        <v>4</v>
      </c>
      <c r="E39" s="2952">
        <v>1704</v>
      </c>
      <c r="F39" s="2952">
        <v>92.66</v>
      </c>
      <c r="H39" s="2964" t="s">
        <v>3074</v>
      </c>
      <c r="I39" s="2964" t="s">
        <v>3075</v>
      </c>
      <c r="J39" s="2965" t="s">
        <v>3076</v>
      </c>
      <c r="K39" s="2966" t="s">
        <v>3077</v>
      </c>
      <c r="L39" s="2964" t="s">
        <v>3078</v>
      </c>
      <c r="O39" s="2958">
        <v>36</v>
      </c>
      <c r="P39" s="2958">
        <v>9</v>
      </c>
      <c r="Q39" s="2958">
        <v>2</v>
      </c>
      <c r="R39" s="2958">
        <v>2904</v>
      </c>
      <c r="S39" s="2958">
        <v>92.71</v>
      </c>
      <c r="U39" s="2961">
        <v>36</v>
      </c>
      <c r="V39" s="2961">
        <v>20</v>
      </c>
      <c r="W39" s="2961">
        <v>1</v>
      </c>
      <c r="X39" s="2961">
        <v>304</v>
      </c>
      <c r="Y39" s="2961">
        <v>93.91</v>
      </c>
    </row>
    <row r="40" spans="2:25">
      <c r="B40" s="2952">
        <v>37</v>
      </c>
      <c r="C40" s="2952">
        <v>15</v>
      </c>
      <c r="D40" s="2952">
        <v>4</v>
      </c>
      <c r="E40" s="2952">
        <v>1804</v>
      </c>
      <c r="F40" s="2952">
        <v>92.66</v>
      </c>
      <c r="H40" s="2964">
        <v>1</v>
      </c>
      <c r="I40" s="2964">
        <v>2</v>
      </c>
      <c r="J40" s="2964">
        <v>2</v>
      </c>
      <c r="K40" s="2964">
        <v>304</v>
      </c>
      <c r="L40" s="2964">
        <v>93.48</v>
      </c>
      <c r="O40" s="2958">
        <v>37</v>
      </c>
      <c r="P40" s="2958">
        <v>9</v>
      </c>
      <c r="Q40" s="2958">
        <v>2</v>
      </c>
      <c r="R40" s="2958">
        <v>3104</v>
      </c>
      <c r="S40" s="2958">
        <v>92.71</v>
      </c>
      <c r="U40" s="2961">
        <v>37</v>
      </c>
      <c r="V40" s="2961">
        <v>20</v>
      </c>
      <c r="W40" s="2961">
        <v>1</v>
      </c>
      <c r="X40" s="2961">
        <v>504</v>
      </c>
      <c r="Y40" s="2961">
        <v>93.91</v>
      </c>
    </row>
    <row r="41" spans="2:25">
      <c r="B41" s="2952">
        <v>38</v>
      </c>
      <c r="C41" s="2952">
        <v>15</v>
      </c>
      <c r="D41" s="2952">
        <v>4</v>
      </c>
      <c r="E41" s="2952">
        <v>1904</v>
      </c>
      <c r="F41" s="2952">
        <v>92.66</v>
      </c>
      <c r="H41" s="2964">
        <v>2</v>
      </c>
      <c r="I41" s="2964">
        <v>2</v>
      </c>
      <c r="J41" s="2964">
        <v>2</v>
      </c>
      <c r="K41" s="2964">
        <v>2904</v>
      </c>
      <c r="L41" s="2964">
        <v>93.48</v>
      </c>
      <c r="O41" s="2958">
        <v>38</v>
      </c>
      <c r="P41" s="2958">
        <v>10</v>
      </c>
      <c r="Q41" s="2958">
        <v>1</v>
      </c>
      <c r="R41" s="2958">
        <v>201</v>
      </c>
      <c r="S41" s="2958">
        <v>92.71</v>
      </c>
      <c r="U41" s="2961">
        <v>38</v>
      </c>
      <c r="V41" s="2961">
        <v>20</v>
      </c>
      <c r="W41" s="2961">
        <v>1</v>
      </c>
      <c r="X41" s="2961">
        <v>604</v>
      </c>
      <c r="Y41" s="2961">
        <v>93.91</v>
      </c>
    </row>
    <row r="42" spans="2:25">
      <c r="B42" s="2952">
        <v>39</v>
      </c>
      <c r="C42" s="2952">
        <v>15</v>
      </c>
      <c r="D42" s="2952">
        <v>4</v>
      </c>
      <c r="E42" s="2952">
        <v>2004</v>
      </c>
      <c r="F42" s="2952">
        <v>92.66</v>
      </c>
      <c r="H42" s="2964">
        <v>3</v>
      </c>
      <c r="I42" s="2964">
        <v>3</v>
      </c>
      <c r="J42" s="2964">
        <v>2</v>
      </c>
      <c r="K42" s="2964">
        <v>2904</v>
      </c>
      <c r="L42" s="2964">
        <v>93.48</v>
      </c>
      <c r="O42" s="2958">
        <v>39</v>
      </c>
      <c r="P42" s="2958">
        <v>10</v>
      </c>
      <c r="Q42" s="2958">
        <v>1</v>
      </c>
      <c r="R42" s="2958">
        <v>2901</v>
      </c>
      <c r="S42" s="2958">
        <v>92.71</v>
      </c>
      <c r="U42" s="2961">
        <v>39</v>
      </c>
      <c r="V42" s="2961">
        <v>20</v>
      </c>
      <c r="W42" s="2961">
        <v>1</v>
      </c>
      <c r="X42" s="2961">
        <v>704</v>
      </c>
      <c r="Y42" s="2961">
        <v>93.91</v>
      </c>
    </row>
    <row r="43" spans="2:25">
      <c r="B43" s="2952">
        <v>40</v>
      </c>
      <c r="C43" s="2952">
        <v>15</v>
      </c>
      <c r="D43" s="2952">
        <v>4</v>
      </c>
      <c r="E43" s="2952">
        <v>2104</v>
      </c>
      <c r="F43" s="2952">
        <v>92.66</v>
      </c>
      <c r="H43" s="3067" t="s">
        <v>3079</v>
      </c>
      <c r="I43" s="3068"/>
      <c r="J43" s="3068"/>
      <c r="K43" s="3069"/>
      <c r="L43" s="2964">
        <f>SUM(L40:L42)</f>
        <v>280.44</v>
      </c>
      <c r="O43" s="3076" t="s">
        <v>3080</v>
      </c>
      <c r="P43" s="3077"/>
      <c r="Q43" s="3077"/>
      <c r="R43" s="3078"/>
      <c r="S43" s="2958">
        <f>SUM(S4:S42)</f>
        <v>3615.690000000001</v>
      </c>
      <c r="U43" s="2961">
        <v>40</v>
      </c>
      <c r="V43" s="2961">
        <v>20</v>
      </c>
      <c r="W43" s="2961">
        <v>1</v>
      </c>
      <c r="X43" s="2961">
        <v>804</v>
      </c>
      <c r="Y43" s="2961">
        <v>93.91</v>
      </c>
    </row>
    <row r="44" spans="2:25">
      <c r="B44" s="2952">
        <v>41</v>
      </c>
      <c r="C44" s="2952">
        <v>15</v>
      </c>
      <c r="D44" s="2952">
        <v>4</v>
      </c>
      <c r="E44" s="2952">
        <v>2204</v>
      </c>
      <c r="F44" s="2952">
        <v>92.66</v>
      </c>
      <c r="U44" s="2961">
        <v>41</v>
      </c>
      <c r="V44" s="2961">
        <v>20</v>
      </c>
      <c r="W44" s="2961">
        <v>1</v>
      </c>
      <c r="X44" s="2961">
        <v>904</v>
      </c>
      <c r="Y44" s="2961">
        <v>93.91</v>
      </c>
    </row>
    <row r="45" spans="2:25">
      <c r="B45" s="2952">
        <v>42</v>
      </c>
      <c r="C45" s="2952">
        <v>15</v>
      </c>
      <c r="D45" s="2952">
        <v>4</v>
      </c>
      <c r="E45" s="2952">
        <v>2304</v>
      </c>
      <c r="F45" s="2952">
        <v>92.66</v>
      </c>
      <c r="H45" s="2964" t="s">
        <v>3069</v>
      </c>
      <c r="I45" s="2964" t="s">
        <v>3070</v>
      </c>
      <c r="J45" s="2965" t="s">
        <v>3071</v>
      </c>
      <c r="K45" s="2966" t="s">
        <v>3072</v>
      </c>
      <c r="L45" s="2964" t="s">
        <v>3073</v>
      </c>
      <c r="U45" s="2961">
        <v>42</v>
      </c>
      <c r="V45" s="2961">
        <v>20</v>
      </c>
      <c r="W45" s="2961">
        <v>1</v>
      </c>
      <c r="X45" s="2961">
        <v>1004</v>
      </c>
      <c r="Y45" s="2961">
        <v>93.91</v>
      </c>
    </row>
    <row r="46" spans="2:25">
      <c r="B46" s="2952">
        <v>43</v>
      </c>
      <c r="C46" s="2952">
        <v>15</v>
      </c>
      <c r="D46" s="2952">
        <v>4</v>
      </c>
      <c r="E46" s="2952">
        <v>2504</v>
      </c>
      <c r="F46" s="2952">
        <v>92.66</v>
      </c>
      <c r="H46" s="2964">
        <v>1</v>
      </c>
      <c r="I46" s="2964">
        <v>6</v>
      </c>
      <c r="J46" s="2964">
        <v>1</v>
      </c>
      <c r="K46" s="2964">
        <v>3004</v>
      </c>
      <c r="L46" s="2964">
        <v>93.94</v>
      </c>
      <c r="O46" s="2961" t="s">
        <v>3069</v>
      </c>
      <c r="P46" s="2961" t="s">
        <v>3070</v>
      </c>
      <c r="Q46" s="2962" t="s">
        <v>3071</v>
      </c>
      <c r="R46" s="2963" t="s">
        <v>3072</v>
      </c>
      <c r="S46" s="2961" t="s">
        <v>3073</v>
      </c>
      <c r="U46" s="2961">
        <v>43</v>
      </c>
      <c r="V46" s="2961">
        <v>20</v>
      </c>
      <c r="W46" s="2961">
        <v>1</v>
      </c>
      <c r="X46" s="2961">
        <v>1104</v>
      </c>
      <c r="Y46" s="2961">
        <v>93.91</v>
      </c>
    </row>
    <row r="47" spans="2:25">
      <c r="B47" s="2952">
        <v>44</v>
      </c>
      <c r="C47" s="2952">
        <v>15</v>
      </c>
      <c r="D47" s="2952">
        <v>4</v>
      </c>
      <c r="E47" s="2952">
        <v>2604</v>
      </c>
      <c r="F47" s="2952">
        <v>92.66</v>
      </c>
      <c r="H47" s="2964">
        <v>2</v>
      </c>
      <c r="I47" s="2964">
        <v>6</v>
      </c>
      <c r="J47" s="2964">
        <v>2</v>
      </c>
      <c r="K47" s="2964">
        <v>501</v>
      </c>
      <c r="L47" s="2964">
        <v>93.94</v>
      </c>
      <c r="O47" s="2961">
        <v>1</v>
      </c>
      <c r="P47" s="2961">
        <v>17</v>
      </c>
      <c r="Q47" s="2961">
        <v>3</v>
      </c>
      <c r="R47" s="2961">
        <v>205</v>
      </c>
      <c r="S47" s="2961">
        <v>93.3</v>
      </c>
      <c r="U47" s="2961">
        <v>44</v>
      </c>
      <c r="V47" s="2961">
        <v>20</v>
      </c>
      <c r="W47" s="2961">
        <v>1</v>
      </c>
      <c r="X47" s="2961">
        <v>1204</v>
      </c>
      <c r="Y47" s="2961">
        <v>93.91</v>
      </c>
    </row>
    <row r="48" spans="2:25">
      <c r="B48" s="2952">
        <v>45</v>
      </c>
      <c r="C48" s="2952">
        <v>15</v>
      </c>
      <c r="D48" s="2952">
        <v>4</v>
      </c>
      <c r="E48" s="2952">
        <v>2704</v>
      </c>
      <c r="F48" s="2952">
        <v>92.66</v>
      </c>
      <c r="H48" s="2964">
        <v>3</v>
      </c>
      <c r="I48" s="2964">
        <v>6</v>
      </c>
      <c r="J48" s="2964">
        <v>2</v>
      </c>
      <c r="K48" s="2964">
        <v>3001</v>
      </c>
      <c r="L48" s="2964">
        <v>93.94</v>
      </c>
      <c r="O48" s="2961">
        <v>2</v>
      </c>
      <c r="P48" s="2961">
        <v>17</v>
      </c>
      <c r="Q48" s="2961">
        <v>3</v>
      </c>
      <c r="R48" s="2961">
        <v>305</v>
      </c>
      <c r="S48" s="2961">
        <v>93.3</v>
      </c>
      <c r="U48" s="2961">
        <v>45</v>
      </c>
      <c r="V48" s="2961">
        <v>20</v>
      </c>
      <c r="W48" s="2961">
        <v>1</v>
      </c>
      <c r="X48" s="2961">
        <v>1504</v>
      </c>
      <c r="Y48" s="2961">
        <v>93.91</v>
      </c>
    </row>
    <row r="49" spans="2:25">
      <c r="B49" s="2952">
        <v>46</v>
      </c>
      <c r="C49" s="2952">
        <v>15</v>
      </c>
      <c r="D49" s="2952">
        <v>4</v>
      </c>
      <c r="E49" s="2952">
        <v>2804</v>
      </c>
      <c r="F49" s="2952">
        <v>92.66</v>
      </c>
      <c r="H49" s="2964">
        <v>4</v>
      </c>
      <c r="I49" s="2964">
        <v>11</v>
      </c>
      <c r="J49" s="2964">
        <v>1</v>
      </c>
      <c r="K49" s="2964">
        <v>3004</v>
      </c>
      <c r="L49" s="2964">
        <v>93.94</v>
      </c>
      <c r="O49" s="2961">
        <v>3</v>
      </c>
      <c r="P49" s="2961">
        <v>17</v>
      </c>
      <c r="Q49" s="2961">
        <v>3</v>
      </c>
      <c r="R49" s="2961">
        <v>505</v>
      </c>
      <c r="S49" s="2961">
        <v>93.3</v>
      </c>
      <c r="U49" s="2961">
        <v>46</v>
      </c>
      <c r="V49" s="2961">
        <v>20</v>
      </c>
      <c r="W49" s="2961">
        <v>1</v>
      </c>
      <c r="X49" s="2961">
        <v>1604</v>
      </c>
      <c r="Y49" s="2961">
        <v>93.91</v>
      </c>
    </row>
    <row r="50" spans="2:25">
      <c r="B50" s="2952">
        <v>47</v>
      </c>
      <c r="C50" s="2952">
        <v>15</v>
      </c>
      <c r="D50" s="2952">
        <v>4</v>
      </c>
      <c r="E50" s="2952">
        <v>3104</v>
      </c>
      <c r="F50" s="2952">
        <v>92.66</v>
      </c>
      <c r="H50" s="2964">
        <v>5</v>
      </c>
      <c r="I50" s="2964">
        <v>11</v>
      </c>
      <c r="J50" s="2964">
        <v>2</v>
      </c>
      <c r="K50" s="2964">
        <v>3001</v>
      </c>
      <c r="L50" s="2964">
        <v>93.94</v>
      </c>
      <c r="O50" s="2961">
        <v>4</v>
      </c>
      <c r="P50" s="2961">
        <v>17</v>
      </c>
      <c r="Q50" s="2961">
        <v>3</v>
      </c>
      <c r="R50" s="2961">
        <v>605</v>
      </c>
      <c r="S50" s="2961">
        <v>93.3</v>
      </c>
      <c r="U50" s="2961">
        <v>47</v>
      </c>
      <c r="V50" s="2961">
        <v>20</v>
      </c>
      <c r="W50" s="2961">
        <v>1</v>
      </c>
      <c r="X50" s="2961">
        <v>1804</v>
      </c>
      <c r="Y50" s="2961">
        <v>93.91</v>
      </c>
    </row>
    <row r="51" spans="2:25">
      <c r="B51" s="2952">
        <v>48</v>
      </c>
      <c r="C51" s="2952">
        <v>18</v>
      </c>
      <c r="D51" s="2952">
        <v>1</v>
      </c>
      <c r="E51" s="2952">
        <v>2501</v>
      </c>
      <c r="F51" s="2952">
        <v>92.66</v>
      </c>
      <c r="H51" s="3067" t="s">
        <v>3080</v>
      </c>
      <c r="I51" s="3068"/>
      <c r="J51" s="3068"/>
      <c r="K51" s="3069"/>
      <c r="L51" s="2964">
        <f>SUM(L46:L50)</f>
        <v>469.7</v>
      </c>
      <c r="O51" s="2961">
        <v>5</v>
      </c>
      <c r="P51" s="2961">
        <v>17</v>
      </c>
      <c r="Q51" s="2961">
        <v>3</v>
      </c>
      <c r="R51" s="2961">
        <v>705</v>
      </c>
      <c r="S51" s="2961">
        <v>93.3</v>
      </c>
      <c r="U51" s="2961">
        <v>48</v>
      </c>
      <c r="V51" s="2961">
        <v>20</v>
      </c>
      <c r="W51" s="2961">
        <v>1</v>
      </c>
      <c r="X51" s="2961">
        <v>2004</v>
      </c>
      <c r="Y51" s="2961">
        <v>93.91</v>
      </c>
    </row>
    <row r="52" spans="2:25">
      <c r="B52" s="2952">
        <v>49</v>
      </c>
      <c r="C52" s="2952">
        <v>18</v>
      </c>
      <c r="D52" s="2952">
        <v>1</v>
      </c>
      <c r="E52" s="2952">
        <v>3101</v>
      </c>
      <c r="F52" s="2952">
        <v>92.66</v>
      </c>
      <c r="O52" s="2961">
        <v>6</v>
      </c>
      <c r="P52" s="2961">
        <v>17</v>
      </c>
      <c r="Q52" s="2961">
        <v>3</v>
      </c>
      <c r="R52" s="2961">
        <v>805</v>
      </c>
      <c r="S52" s="2961">
        <v>93.3</v>
      </c>
      <c r="U52" s="2961">
        <v>49</v>
      </c>
      <c r="V52" s="2961">
        <v>20</v>
      </c>
      <c r="W52" s="2961">
        <v>1</v>
      </c>
      <c r="X52" s="2961">
        <v>2104</v>
      </c>
      <c r="Y52" s="2961">
        <v>93.91</v>
      </c>
    </row>
    <row r="53" spans="2:25">
      <c r="B53" s="2952">
        <v>50</v>
      </c>
      <c r="C53" s="2952">
        <v>18</v>
      </c>
      <c r="D53" s="2952">
        <v>2</v>
      </c>
      <c r="E53" s="2952">
        <v>304</v>
      </c>
      <c r="F53" s="2952">
        <v>92.66</v>
      </c>
      <c r="H53" s="2967" t="s">
        <v>3069</v>
      </c>
      <c r="I53" s="2967" t="s">
        <v>3070</v>
      </c>
      <c r="J53" s="2968" t="s">
        <v>3071</v>
      </c>
      <c r="K53" s="2969" t="s">
        <v>3072</v>
      </c>
      <c r="L53" s="2967" t="s">
        <v>3073</v>
      </c>
      <c r="O53" s="2961">
        <v>7</v>
      </c>
      <c r="P53" s="2961">
        <v>17</v>
      </c>
      <c r="Q53" s="2961">
        <v>3</v>
      </c>
      <c r="R53" s="2961">
        <v>905</v>
      </c>
      <c r="S53" s="2961">
        <v>93.3</v>
      </c>
      <c r="U53" s="2961">
        <v>50</v>
      </c>
      <c r="V53" s="2961">
        <v>20</v>
      </c>
      <c r="W53" s="2961">
        <v>1</v>
      </c>
      <c r="X53" s="2961">
        <v>2204</v>
      </c>
      <c r="Y53" s="2961">
        <v>93.91</v>
      </c>
    </row>
    <row r="54" spans="2:25">
      <c r="B54" s="2952">
        <v>51</v>
      </c>
      <c r="C54" s="2952">
        <v>18</v>
      </c>
      <c r="D54" s="2952">
        <v>2</v>
      </c>
      <c r="E54" s="2952">
        <v>704</v>
      </c>
      <c r="F54" s="2952">
        <v>92.66</v>
      </c>
      <c r="H54" s="2967">
        <v>1</v>
      </c>
      <c r="I54" s="2967">
        <v>12</v>
      </c>
      <c r="J54" s="2967">
        <v>1</v>
      </c>
      <c r="K54" s="2967">
        <v>2904</v>
      </c>
      <c r="L54" s="2967">
        <v>93.95</v>
      </c>
      <c r="O54" s="2961">
        <v>8</v>
      </c>
      <c r="P54" s="2961">
        <v>17</v>
      </c>
      <c r="Q54" s="2961">
        <v>3</v>
      </c>
      <c r="R54" s="2961">
        <v>1005</v>
      </c>
      <c r="S54" s="2961">
        <v>93.3</v>
      </c>
      <c r="U54" s="2961">
        <v>51</v>
      </c>
      <c r="V54" s="2961">
        <v>20</v>
      </c>
      <c r="W54" s="2961">
        <v>1</v>
      </c>
      <c r="X54" s="2961">
        <v>2504</v>
      </c>
      <c r="Y54" s="2961">
        <v>93.91</v>
      </c>
    </row>
    <row r="55" spans="2:25">
      <c r="B55" s="2952">
        <v>52</v>
      </c>
      <c r="C55" s="2952">
        <v>18</v>
      </c>
      <c r="D55" s="2952">
        <v>2</v>
      </c>
      <c r="E55" s="2952">
        <v>1004</v>
      </c>
      <c r="F55" s="2952">
        <v>92.66</v>
      </c>
      <c r="H55" s="2967">
        <v>2</v>
      </c>
      <c r="I55" s="2967">
        <v>12</v>
      </c>
      <c r="J55" s="2967">
        <v>2</v>
      </c>
      <c r="K55" s="2967">
        <v>3001</v>
      </c>
      <c r="L55" s="2967">
        <v>93.95</v>
      </c>
      <c r="O55" s="2961">
        <v>9</v>
      </c>
      <c r="P55" s="2961">
        <v>17</v>
      </c>
      <c r="Q55" s="2961">
        <v>3</v>
      </c>
      <c r="R55" s="2961">
        <v>1105</v>
      </c>
      <c r="S55" s="2961">
        <v>93.3</v>
      </c>
      <c r="U55" s="2961">
        <v>52</v>
      </c>
      <c r="V55" s="2961">
        <v>20</v>
      </c>
      <c r="W55" s="2961">
        <v>1</v>
      </c>
      <c r="X55" s="2961">
        <v>2704</v>
      </c>
      <c r="Y55" s="2961">
        <v>93.91</v>
      </c>
    </row>
    <row r="56" spans="2:25">
      <c r="B56" s="2952">
        <v>53</v>
      </c>
      <c r="C56" s="2952">
        <v>18</v>
      </c>
      <c r="D56" s="2952">
        <v>2</v>
      </c>
      <c r="E56" s="2952">
        <v>1604</v>
      </c>
      <c r="F56" s="2952">
        <v>92.66</v>
      </c>
      <c r="H56" s="2967"/>
      <c r="I56" s="2967"/>
      <c r="J56" s="2967"/>
      <c r="K56" s="2967"/>
      <c r="L56" s="2967"/>
      <c r="O56" s="2961">
        <v>10</v>
      </c>
      <c r="P56" s="2961">
        <v>17</v>
      </c>
      <c r="Q56" s="2961">
        <v>3</v>
      </c>
      <c r="R56" s="2961">
        <v>1205</v>
      </c>
      <c r="S56" s="2961">
        <v>93.3</v>
      </c>
      <c r="U56" s="2961">
        <v>53</v>
      </c>
      <c r="V56" s="2961">
        <v>20</v>
      </c>
      <c r="W56" s="2961">
        <v>1</v>
      </c>
      <c r="X56" s="2961">
        <v>2804</v>
      </c>
      <c r="Y56" s="2961">
        <v>93.91</v>
      </c>
    </row>
    <row r="57" spans="2:25">
      <c r="B57" s="2952">
        <v>54</v>
      </c>
      <c r="C57" s="2952">
        <v>18</v>
      </c>
      <c r="D57" s="2952">
        <v>2</v>
      </c>
      <c r="E57" s="2952">
        <v>2604</v>
      </c>
      <c r="F57" s="2952">
        <v>92.66</v>
      </c>
      <c r="H57" s="3070" t="s">
        <v>3080</v>
      </c>
      <c r="I57" s="3071"/>
      <c r="J57" s="3071"/>
      <c r="K57" s="3072"/>
      <c r="L57" s="2967">
        <f>SUM(L54:L56)</f>
        <v>187.9</v>
      </c>
      <c r="O57" s="2961">
        <v>11</v>
      </c>
      <c r="P57" s="2961">
        <v>17</v>
      </c>
      <c r="Q57" s="2961">
        <v>3</v>
      </c>
      <c r="R57" s="2961">
        <v>1505</v>
      </c>
      <c r="S57" s="2961">
        <v>93.3</v>
      </c>
      <c r="U57" s="2961">
        <v>54</v>
      </c>
      <c r="V57" s="2961">
        <v>20</v>
      </c>
      <c r="W57" s="2961">
        <v>1</v>
      </c>
      <c r="X57" s="2961">
        <v>2904</v>
      </c>
      <c r="Y57" s="2961">
        <v>93.91</v>
      </c>
    </row>
    <row r="58" spans="2:25">
      <c r="B58" s="2952">
        <v>55</v>
      </c>
      <c r="C58" s="2952">
        <v>18</v>
      </c>
      <c r="D58" s="2952">
        <v>2</v>
      </c>
      <c r="E58" s="2952">
        <v>3104</v>
      </c>
      <c r="F58" s="2952">
        <v>92.66</v>
      </c>
      <c r="O58" s="2961">
        <v>12</v>
      </c>
      <c r="P58" s="2961">
        <v>17</v>
      </c>
      <c r="Q58" s="2961">
        <v>3</v>
      </c>
      <c r="R58" s="2961">
        <v>1605</v>
      </c>
      <c r="S58" s="2961">
        <v>93.3</v>
      </c>
      <c r="U58" s="2961">
        <v>55</v>
      </c>
      <c r="V58" s="2961">
        <v>20</v>
      </c>
      <c r="W58" s="2961">
        <v>1</v>
      </c>
      <c r="X58" s="2961">
        <v>3004</v>
      </c>
      <c r="Y58" s="2961">
        <v>93.91</v>
      </c>
    </row>
    <row r="59" spans="2:25">
      <c r="B59" s="2952">
        <v>56</v>
      </c>
      <c r="C59" s="2952">
        <v>19</v>
      </c>
      <c r="D59" s="2952">
        <v>1</v>
      </c>
      <c r="E59" s="2952">
        <v>3101</v>
      </c>
      <c r="F59" s="2952">
        <v>92.66</v>
      </c>
      <c r="H59" s="2964" t="s">
        <v>3069</v>
      </c>
      <c r="I59" s="2964" t="s">
        <v>3070</v>
      </c>
      <c r="J59" s="2965" t="s">
        <v>3071</v>
      </c>
      <c r="K59" s="2966" t="s">
        <v>3072</v>
      </c>
      <c r="L59" s="2964" t="s">
        <v>3073</v>
      </c>
      <c r="O59" s="2961">
        <v>13</v>
      </c>
      <c r="P59" s="2961">
        <v>17</v>
      </c>
      <c r="Q59" s="2961">
        <v>3</v>
      </c>
      <c r="R59" s="2961">
        <v>1705</v>
      </c>
      <c r="S59" s="2961">
        <v>93.3</v>
      </c>
      <c r="U59" s="2961">
        <v>56</v>
      </c>
      <c r="V59" s="2961">
        <v>20</v>
      </c>
      <c r="W59" s="2961">
        <v>1</v>
      </c>
      <c r="X59" s="2961">
        <v>3104</v>
      </c>
      <c r="Y59" s="2961">
        <v>93.91</v>
      </c>
    </row>
    <row r="60" spans="2:25">
      <c r="B60" s="2952">
        <v>57</v>
      </c>
      <c r="C60" s="2952">
        <v>19</v>
      </c>
      <c r="D60" s="2952">
        <v>2</v>
      </c>
      <c r="E60" s="2952">
        <v>204</v>
      </c>
      <c r="F60" s="2952">
        <v>92.66</v>
      </c>
      <c r="H60" s="2964">
        <v>1</v>
      </c>
      <c r="I60" s="2964">
        <v>5</v>
      </c>
      <c r="J60" s="2964">
        <v>1</v>
      </c>
      <c r="K60" s="2964">
        <v>2904</v>
      </c>
      <c r="L60" s="2964">
        <v>93.96</v>
      </c>
      <c r="O60" s="2961">
        <v>14</v>
      </c>
      <c r="P60" s="2961">
        <v>17</v>
      </c>
      <c r="Q60" s="2961">
        <v>3</v>
      </c>
      <c r="R60" s="2961">
        <v>1805</v>
      </c>
      <c r="S60" s="2961">
        <v>93.3</v>
      </c>
      <c r="U60" s="2961">
        <v>57</v>
      </c>
      <c r="V60" s="2961">
        <v>20</v>
      </c>
      <c r="W60" s="2961">
        <v>2</v>
      </c>
      <c r="X60" s="2961">
        <v>201</v>
      </c>
      <c r="Y60" s="2961">
        <v>93.91</v>
      </c>
    </row>
    <row r="61" spans="2:25">
      <c r="B61" s="2952">
        <v>58</v>
      </c>
      <c r="C61" s="2952">
        <v>19</v>
      </c>
      <c r="D61" s="2952">
        <v>2</v>
      </c>
      <c r="E61" s="2952">
        <v>304</v>
      </c>
      <c r="F61" s="2952">
        <v>92.66</v>
      </c>
      <c r="H61" s="2964">
        <v>2</v>
      </c>
      <c r="I61" s="2964">
        <v>5</v>
      </c>
      <c r="J61" s="2964">
        <v>2</v>
      </c>
      <c r="K61" s="2964">
        <v>2901</v>
      </c>
      <c r="L61" s="2964">
        <v>93.96</v>
      </c>
      <c r="O61" s="2961">
        <v>15</v>
      </c>
      <c r="P61" s="2961">
        <v>17</v>
      </c>
      <c r="Q61" s="2961">
        <v>3</v>
      </c>
      <c r="R61" s="2961">
        <v>1905</v>
      </c>
      <c r="S61" s="2961">
        <v>93.3</v>
      </c>
      <c r="U61" s="2961">
        <v>58</v>
      </c>
      <c r="V61" s="2961">
        <v>20</v>
      </c>
      <c r="W61" s="2961">
        <v>2</v>
      </c>
      <c r="X61" s="2961">
        <v>301</v>
      </c>
      <c r="Y61" s="2961">
        <v>93.91</v>
      </c>
    </row>
    <row r="62" spans="2:25">
      <c r="B62" s="2952">
        <v>59</v>
      </c>
      <c r="C62" s="2952">
        <v>19</v>
      </c>
      <c r="D62" s="2952">
        <v>2</v>
      </c>
      <c r="E62" s="2952">
        <v>504</v>
      </c>
      <c r="F62" s="2952">
        <v>92.66</v>
      </c>
      <c r="H62" s="2964">
        <v>3</v>
      </c>
      <c r="I62" s="2964">
        <v>10</v>
      </c>
      <c r="J62" s="2964">
        <v>1</v>
      </c>
      <c r="K62" s="2964">
        <v>204</v>
      </c>
      <c r="L62" s="2964">
        <v>93.96</v>
      </c>
      <c r="O62" s="2961">
        <v>16</v>
      </c>
      <c r="P62" s="2961">
        <v>17</v>
      </c>
      <c r="Q62" s="2961">
        <v>3</v>
      </c>
      <c r="R62" s="2961">
        <v>2005</v>
      </c>
      <c r="S62" s="2961">
        <v>93.3</v>
      </c>
      <c r="U62" s="2961">
        <v>59</v>
      </c>
      <c r="V62" s="2961">
        <v>20</v>
      </c>
      <c r="W62" s="2961">
        <v>2</v>
      </c>
      <c r="X62" s="2961">
        <v>501</v>
      </c>
      <c r="Y62" s="2961">
        <v>93.91</v>
      </c>
    </row>
    <row r="63" spans="2:25">
      <c r="B63" s="2952">
        <v>60</v>
      </c>
      <c r="C63" s="2952">
        <v>19</v>
      </c>
      <c r="D63" s="2952">
        <v>2</v>
      </c>
      <c r="E63" s="2952">
        <v>604</v>
      </c>
      <c r="F63" s="2952">
        <v>92.66</v>
      </c>
      <c r="H63" s="2964">
        <v>4</v>
      </c>
      <c r="I63" s="2964">
        <v>10</v>
      </c>
      <c r="J63" s="2964">
        <v>1</v>
      </c>
      <c r="K63" s="2964">
        <v>2904</v>
      </c>
      <c r="L63" s="2964">
        <v>93.96</v>
      </c>
      <c r="O63" s="2961">
        <v>17</v>
      </c>
      <c r="P63" s="2961">
        <v>17</v>
      </c>
      <c r="Q63" s="2961">
        <v>3</v>
      </c>
      <c r="R63" s="2961">
        <v>2105</v>
      </c>
      <c r="S63" s="2961">
        <v>93.3</v>
      </c>
      <c r="U63" s="2961">
        <v>60</v>
      </c>
      <c r="V63" s="2961">
        <v>20</v>
      </c>
      <c r="W63" s="2961">
        <v>2</v>
      </c>
      <c r="X63" s="2961">
        <v>601</v>
      </c>
      <c r="Y63" s="2961">
        <v>93.91</v>
      </c>
    </row>
    <row r="64" spans="2:25">
      <c r="B64" s="2952">
        <v>61</v>
      </c>
      <c r="C64" s="2952">
        <v>19</v>
      </c>
      <c r="D64" s="2952">
        <v>2</v>
      </c>
      <c r="E64" s="2952">
        <v>704</v>
      </c>
      <c r="F64" s="2952">
        <v>92.66</v>
      </c>
      <c r="H64" s="2964">
        <v>5</v>
      </c>
      <c r="I64" s="2964">
        <v>10</v>
      </c>
      <c r="J64" s="2964">
        <v>2</v>
      </c>
      <c r="K64" s="2964">
        <v>2901</v>
      </c>
      <c r="L64" s="2964">
        <v>93.96</v>
      </c>
      <c r="O64" s="2961">
        <v>18</v>
      </c>
      <c r="P64" s="2961">
        <v>17</v>
      </c>
      <c r="Q64" s="2961">
        <v>3</v>
      </c>
      <c r="R64" s="2961">
        <v>2205</v>
      </c>
      <c r="S64" s="2961">
        <v>93.3</v>
      </c>
      <c r="U64" s="2961">
        <v>61</v>
      </c>
      <c r="V64" s="2961">
        <v>20</v>
      </c>
      <c r="W64" s="2961">
        <v>2</v>
      </c>
      <c r="X64" s="2961">
        <v>701</v>
      </c>
      <c r="Y64" s="2961">
        <v>93.91</v>
      </c>
    </row>
    <row r="65" spans="2:25">
      <c r="B65" s="2952">
        <v>62</v>
      </c>
      <c r="C65" s="2952">
        <v>19</v>
      </c>
      <c r="D65" s="2952">
        <v>2</v>
      </c>
      <c r="E65" s="2952">
        <v>804</v>
      </c>
      <c r="F65" s="2952">
        <v>92.66</v>
      </c>
      <c r="H65" s="3067" t="s">
        <v>3080</v>
      </c>
      <c r="I65" s="3068"/>
      <c r="J65" s="3068"/>
      <c r="K65" s="3069"/>
      <c r="L65" s="2964">
        <f>SUM(L60:L64)</f>
        <v>469.79999999999995</v>
      </c>
      <c r="O65" s="2961">
        <v>19</v>
      </c>
      <c r="P65" s="2961">
        <v>17</v>
      </c>
      <c r="Q65" s="2961">
        <v>3</v>
      </c>
      <c r="R65" s="2961">
        <v>2305</v>
      </c>
      <c r="S65" s="2961">
        <v>93.3</v>
      </c>
      <c r="U65" s="2961">
        <v>62</v>
      </c>
      <c r="V65" s="2961">
        <v>20</v>
      </c>
      <c r="W65" s="2961">
        <v>2</v>
      </c>
      <c r="X65" s="2961">
        <v>801</v>
      </c>
      <c r="Y65" s="2961">
        <v>93.91</v>
      </c>
    </row>
    <row r="66" spans="2:25">
      <c r="B66" s="2952">
        <v>63</v>
      </c>
      <c r="C66" s="2952">
        <v>19</v>
      </c>
      <c r="D66" s="2952">
        <v>2</v>
      </c>
      <c r="E66" s="2952">
        <v>904</v>
      </c>
      <c r="F66" s="2952">
        <v>92.66</v>
      </c>
      <c r="O66" s="2961">
        <v>20</v>
      </c>
      <c r="P66" s="2961">
        <v>17</v>
      </c>
      <c r="Q66" s="2961">
        <v>3</v>
      </c>
      <c r="R66" s="2961">
        <v>2505</v>
      </c>
      <c r="S66" s="2961">
        <v>93.3</v>
      </c>
      <c r="U66" s="2961">
        <v>63</v>
      </c>
      <c r="V66" s="2961">
        <v>20</v>
      </c>
      <c r="W66" s="2961">
        <v>2</v>
      </c>
      <c r="X66" s="2961">
        <v>901</v>
      </c>
      <c r="Y66" s="2961">
        <v>93.91</v>
      </c>
    </row>
    <row r="67" spans="2:25">
      <c r="B67" s="2952">
        <v>64</v>
      </c>
      <c r="C67" s="2952">
        <v>19</v>
      </c>
      <c r="D67" s="2952">
        <v>2</v>
      </c>
      <c r="E67" s="2952">
        <v>1104</v>
      </c>
      <c r="F67" s="2952">
        <v>92.66</v>
      </c>
      <c r="H67" s="2964" t="s">
        <v>3069</v>
      </c>
      <c r="I67" s="2964" t="s">
        <v>3070</v>
      </c>
      <c r="J67" s="2965" t="s">
        <v>3071</v>
      </c>
      <c r="K67" s="2966" t="s">
        <v>3072</v>
      </c>
      <c r="L67" s="2964" t="s">
        <v>3073</v>
      </c>
      <c r="O67" s="2961">
        <v>21</v>
      </c>
      <c r="P67" s="2961">
        <v>17</v>
      </c>
      <c r="Q67" s="2961">
        <v>3</v>
      </c>
      <c r="R67" s="2961">
        <v>2605</v>
      </c>
      <c r="S67" s="2961">
        <v>93.3</v>
      </c>
      <c r="U67" s="2961">
        <v>64</v>
      </c>
      <c r="V67" s="2961">
        <v>20</v>
      </c>
      <c r="W67" s="2961">
        <v>2</v>
      </c>
      <c r="X67" s="2961">
        <v>1901</v>
      </c>
      <c r="Y67" s="2961">
        <v>93.91</v>
      </c>
    </row>
    <row r="68" spans="2:25">
      <c r="B68" s="2952">
        <v>65</v>
      </c>
      <c r="C68" s="2952">
        <v>19</v>
      </c>
      <c r="D68" s="2952">
        <v>2</v>
      </c>
      <c r="E68" s="2952">
        <v>1204</v>
      </c>
      <c r="F68" s="2952">
        <v>92.66</v>
      </c>
      <c r="H68" s="2964">
        <v>1</v>
      </c>
      <c r="I68" s="2964">
        <v>7</v>
      </c>
      <c r="J68" s="2964">
        <v>1</v>
      </c>
      <c r="K68" s="2964">
        <v>204</v>
      </c>
      <c r="L68" s="2964">
        <v>93.99</v>
      </c>
      <c r="O68" s="2961">
        <v>22</v>
      </c>
      <c r="P68" s="2961">
        <v>17</v>
      </c>
      <c r="Q68" s="2961">
        <v>3</v>
      </c>
      <c r="R68" s="2961">
        <v>2705</v>
      </c>
      <c r="S68" s="2961">
        <v>93.3</v>
      </c>
      <c r="U68" s="2961">
        <v>65</v>
      </c>
      <c r="V68" s="2961">
        <v>20</v>
      </c>
      <c r="W68" s="2961">
        <v>2</v>
      </c>
      <c r="X68" s="2961">
        <v>2001</v>
      </c>
      <c r="Y68" s="2961">
        <v>93.91</v>
      </c>
    </row>
    <row r="69" spans="2:25">
      <c r="B69" s="2952">
        <v>66</v>
      </c>
      <c r="C69" s="2952">
        <v>19</v>
      </c>
      <c r="D69" s="2952">
        <v>2</v>
      </c>
      <c r="E69" s="2952">
        <v>1504</v>
      </c>
      <c r="F69" s="2952">
        <v>92.66</v>
      </c>
      <c r="H69" s="2964">
        <v>2</v>
      </c>
      <c r="I69" s="2964">
        <v>7</v>
      </c>
      <c r="J69" s="2964">
        <v>1</v>
      </c>
      <c r="K69" s="2964">
        <v>304</v>
      </c>
      <c r="L69" s="2964">
        <v>93.99</v>
      </c>
      <c r="O69" s="2961">
        <v>23</v>
      </c>
      <c r="P69" s="2961">
        <v>17</v>
      </c>
      <c r="Q69" s="2961">
        <v>3</v>
      </c>
      <c r="R69" s="2961">
        <v>2805</v>
      </c>
      <c r="S69" s="2961">
        <v>93.3</v>
      </c>
      <c r="U69" s="2961">
        <v>66</v>
      </c>
      <c r="V69" s="2961">
        <v>20</v>
      </c>
      <c r="W69" s="2961">
        <v>2</v>
      </c>
      <c r="X69" s="2961">
        <v>2101</v>
      </c>
      <c r="Y69" s="2961">
        <v>93.91</v>
      </c>
    </row>
    <row r="70" spans="2:25">
      <c r="B70" s="2952">
        <v>67</v>
      </c>
      <c r="C70" s="2952">
        <v>19</v>
      </c>
      <c r="D70" s="2952">
        <v>2</v>
      </c>
      <c r="E70" s="2952">
        <v>1604</v>
      </c>
      <c r="F70" s="2952">
        <v>92.66</v>
      </c>
      <c r="H70" s="2964">
        <v>3</v>
      </c>
      <c r="I70" s="2964">
        <v>7</v>
      </c>
      <c r="J70" s="2964">
        <v>1</v>
      </c>
      <c r="K70" s="2964">
        <v>2804</v>
      </c>
      <c r="L70" s="2964">
        <v>93.99</v>
      </c>
      <c r="O70" s="2961">
        <v>24</v>
      </c>
      <c r="P70" s="2961">
        <v>17</v>
      </c>
      <c r="Q70" s="2961">
        <v>3</v>
      </c>
      <c r="R70" s="2961">
        <v>3005</v>
      </c>
      <c r="S70" s="2961">
        <v>93.3</v>
      </c>
      <c r="U70" s="2961">
        <v>67</v>
      </c>
      <c r="V70" s="2961">
        <v>20</v>
      </c>
      <c r="W70" s="2961">
        <v>2</v>
      </c>
      <c r="X70" s="2961">
        <v>2201</v>
      </c>
      <c r="Y70" s="2961">
        <v>93.91</v>
      </c>
    </row>
    <row r="71" spans="2:25">
      <c r="B71" s="2952">
        <v>68</v>
      </c>
      <c r="C71" s="2952">
        <v>19</v>
      </c>
      <c r="D71" s="2952">
        <v>2</v>
      </c>
      <c r="E71" s="2952">
        <v>1704</v>
      </c>
      <c r="F71" s="2952">
        <v>92.66</v>
      </c>
      <c r="H71" s="2964">
        <v>4</v>
      </c>
      <c r="I71" s="2964">
        <v>7</v>
      </c>
      <c r="J71" s="2964">
        <v>2</v>
      </c>
      <c r="K71" s="2964">
        <v>801</v>
      </c>
      <c r="L71" s="2964">
        <v>93.99</v>
      </c>
      <c r="O71" s="2961">
        <v>25</v>
      </c>
      <c r="P71" s="2961">
        <v>17</v>
      </c>
      <c r="Q71" s="2961">
        <v>3</v>
      </c>
      <c r="R71" s="2961">
        <v>3105</v>
      </c>
      <c r="S71" s="2961">
        <v>93.3</v>
      </c>
      <c r="U71" s="2961">
        <v>68</v>
      </c>
      <c r="V71" s="2961">
        <v>20</v>
      </c>
      <c r="W71" s="2961">
        <v>2</v>
      </c>
      <c r="X71" s="2961">
        <v>2301</v>
      </c>
      <c r="Y71" s="2961">
        <v>93.91</v>
      </c>
    </row>
    <row r="72" spans="2:25">
      <c r="B72" s="2952">
        <v>69</v>
      </c>
      <c r="C72" s="2952">
        <v>19</v>
      </c>
      <c r="D72" s="2952">
        <v>2</v>
      </c>
      <c r="E72" s="2952">
        <v>1904</v>
      </c>
      <c r="F72" s="2952">
        <v>92.66</v>
      </c>
      <c r="H72" s="2964">
        <v>5</v>
      </c>
      <c r="I72" s="2964">
        <v>7</v>
      </c>
      <c r="J72" s="2964">
        <v>2</v>
      </c>
      <c r="K72" s="2964">
        <v>2801</v>
      </c>
      <c r="L72" s="2964">
        <v>93.99</v>
      </c>
      <c r="O72" s="3061" t="s">
        <v>3080</v>
      </c>
      <c r="P72" s="3062"/>
      <c r="Q72" s="3062"/>
      <c r="R72" s="3063"/>
      <c r="S72" s="2961">
        <f>SUM(S47:S71)</f>
        <v>2332.5</v>
      </c>
      <c r="U72" s="2961">
        <v>69</v>
      </c>
      <c r="V72" s="2961">
        <v>20</v>
      </c>
      <c r="W72" s="2961">
        <v>2</v>
      </c>
      <c r="X72" s="2961">
        <v>2501</v>
      </c>
      <c r="Y72" s="2961">
        <v>93.91</v>
      </c>
    </row>
    <row r="73" spans="2:25">
      <c r="B73" s="2952">
        <v>70</v>
      </c>
      <c r="C73" s="2952">
        <v>19</v>
      </c>
      <c r="D73" s="2952">
        <v>2</v>
      </c>
      <c r="E73" s="2952">
        <v>2004</v>
      </c>
      <c r="F73" s="2952">
        <v>92.66</v>
      </c>
      <c r="H73" s="3067" t="s">
        <v>3080</v>
      </c>
      <c r="I73" s="3068"/>
      <c r="J73" s="3068"/>
      <c r="K73" s="3069"/>
      <c r="L73" s="2964">
        <f>SUM(L68:L72)</f>
        <v>469.95</v>
      </c>
      <c r="U73" s="2961">
        <v>70</v>
      </c>
      <c r="V73" s="2961">
        <v>20</v>
      </c>
      <c r="W73" s="2961">
        <v>2</v>
      </c>
      <c r="X73" s="2961">
        <v>2601</v>
      </c>
      <c r="Y73" s="2961">
        <v>93.91</v>
      </c>
    </row>
    <row r="74" spans="2:25">
      <c r="B74" s="2952">
        <v>71</v>
      </c>
      <c r="C74" s="2952">
        <v>19</v>
      </c>
      <c r="D74" s="2952">
        <v>2</v>
      </c>
      <c r="E74" s="2952">
        <v>2104</v>
      </c>
      <c r="F74" s="2952">
        <v>92.66</v>
      </c>
      <c r="O74" s="2973" t="s">
        <v>3069</v>
      </c>
      <c r="P74" s="2973" t="s">
        <v>3070</v>
      </c>
      <c r="Q74" s="2974" t="s">
        <v>3071</v>
      </c>
      <c r="R74" s="2975" t="s">
        <v>3072</v>
      </c>
      <c r="S74" s="2973" t="s">
        <v>3073</v>
      </c>
      <c r="U74" s="2961">
        <v>71</v>
      </c>
      <c r="V74" s="2961">
        <v>20</v>
      </c>
      <c r="W74" s="2961">
        <v>2</v>
      </c>
      <c r="X74" s="2961">
        <v>2701</v>
      </c>
      <c r="Y74" s="2961">
        <v>93.91</v>
      </c>
    </row>
    <row r="75" spans="2:25">
      <c r="B75" s="2952">
        <v>72</v>
      </c>
      <c r="C75" s="2952">
        <v>19</v>
      </c>
      <c r="D75" s="2952">
        <v>2</v>
      </c>
      <c r="E75" s="2952">
        <v>2204</v>
      </c>
      <c r="F75" s="2952">
        <v>92.66</v>
      </c>
      <c r="H75" s="2961" t="s">
        <v>3069</v>
      </c>
      <c r="I75" s="2961" t="s">
        <v>3070</v>
      </c>
      <c r="J75" s="2962" t="s">
        <v>3071</v>
      </c>
      <c r="K75" s="2963" t="s">
        <v>3072</v>
      </c>
      <c r="L75" s="2961" t="s">
        <v>3073</v>
      </c>
      <c r="O75" s="2973">
        <v>1</v>
      </c>
      <c r="P75" s="2973">
        <v>9</v>
      </c>
      <c r="Q75" s="2973">
        <v>1</v>
      </c>
      <c r="R75" s="2973">
        <v>204</v>
      </c>
      <c r="S75" s="2973">
        <v>93.97</v>
      </c>
      <c r="U75" s="2961">
        <v>72</v>
      </c>
      <c r="V75" s="2961">
        <v>20</v>
      </c>
      <c r="W75" s="2961">
        <v>2</v>
      </c>
      <c r="X75" s="2961">
        <v>2801</v>
      </c>
      <c r="Y75" s="2961">
        <v>93.91</v>
      </c>
    </row>
    <row r="76" spans="2:25">
      <c r="B76" s="2952">
        <v>73</v>
      </c>
      <c r="C76" s="2952">
        <v>19</v>
      </c>
      <c r="D76" s="2952">
        <v>2</v>
      </c>
      <c r="E76" s="2952">
        <v>2304</v>
      </c>
      <c r="F76" s="2952">
        <v>92.66</v>
      </c>
      <c r="H76" s="2961">
        <v>1</v>
      </c>
      <c r="I76" s="2961">
        <v>8</v>
      </c>
      <c r="J76" s="2961">
        <v>1</v>
      </c>
      <c r="K76" s="2961">
        <v>204</v>
      </c>
      <c r="L76" s="2961">
        <v>94.01</v>
      </c>
      <c r="O76" s="2973">
        <v>2</v>
      </c>
      <c r="P76" s="2973">
        <v>9</v>
      </c>
      <c r="Q76" s="2973">
        <v>1</v>
      </c>
      <c r="R76" s="2973">
        <v>304</v>
      </c>
      <c r="S76" s="2973">
        <v>93.97</v>
      </c>
      <c r="U76" s="2961">
        <v>73</v>
      </c>
      <c r="V76" s="2961">
        <v>20</v>
      </c>
      <c r="W76" s="2961">
        <v>2</v>
      </c>
      <c r="X76" s="2961">
        <v>2901</v>
      </c>
      <c r="Y76" s="2961">
        <v>93.91</v>
      </c>
    </row>
    <row r="77" spans="2:25">
      <c r="B77" s="2952">
        <v>74</v>
      </c>
      <c r="C77" s="2952">
        <v>19</v>
      </c>
      <c r="D77" s="2952">
        <v>2</v>
      </c>
      <c r="E77" s="2952">
        <v>2504</v>
      </c>
      <c r="F77" s="2952">
        <v>92.66</v>
      </c>
      <c r="H77" s="2961">
        <v>2</v>
      </c>
      <c r="I77" s="2961">
        <v>8</v>
      </c>
      <c r="J77" s="2961">
        <v>1</v>
      </c>
      <c r="K77" s="2961">
        <v>2504</v>
      </c>
      <c r="L77" s="2961">
        <v>94.01</v>
      </c>
      <c r="O77" s="2973">
        <v>3</v>
      </c>
      <c r="P77" s="2973">
        <v>9</v>
      </c>
      <c r="Q77" s="2973">
        <v>1</v>
      </c>
      <c r="R77" s="2973">
        <v>504</v>
      </c>
      <c r="S77" s="2973">
        <v>93.97</v>
      </c>
      <c r="U77" s="2961">
        <v>74</v>
      </c>
      <c r="V77" s="2961">
        <v>20</v>
      </c>
      <c r="W77" s="2961">
        <v>2</v>
      </c>
      <c r="X77" s="2961">
        <v>3001</v>
      </c>
      <c r="Y77" s="2961">
        <v>93.91</v>
      </c>
    </row>
    <row r="78" spans="2:25">
      <c r="B78" s="2952">
        <v>75</v>
      </c>
      <c r="C78" s="2952">
        <v>19</v>
      </c>
      <c r="D78" s="2952">
        <v>2</v>
      </c>
      <c r="E78" s="2952">
        <v>2604</v>
      </c>
      <c r="F78" s="2952">
        <v>92.66</v>
      </c>
      <c r="H78" s="2961">
        <v>3</v>
      </c>
      <c r="I78" s="2961">
        <v>8</v>
      </c>
      <c r="J78" s="2961">
        <v>1</v>
      </c>
      <c r="K78" s="2961">
        <v>2704</v>
      </c>
      <c r="L78" s="2961">
        <v>94.01</v>
      </c>
      <c r="O78" s="2973">
        <v>4</v>
      </c>
      <c r="P78" s="2973">
        <v>9</v>
      </c>
      <c r="Q78" s="2973">
        <v>1</v>
      </c>
      <c r="R78" s="2973">
        <v>604</v>
      </c>
      <c r="S78" s="2973">
        <v>93.97</v>
      </c>
      <c r="U78" s="2961">
        <v>75</v>
      </c>
      <c r="V78" s="2961">
        <v>20</v>
      </c>
      <c r="W78" s="2961">
        <v>2</v>
      </c>
      <c r="X78" s="2961">
        <v>3101</v>
      </c>
      <c r="Y78" s="2961">
        <v>93.91</v>
      </c>
    </row>
    <row r="79" spans="2:25">
      <c r="B79" s="2952">
        <v>76</v>
      </c>
      <c r="C79" s="2952">
        <v>19</v>
      </c>
      <c r="D79" s="2952">
        <v>2</v>
      </c>
      <c r="E79" s="2952">
        <v>2704</v>
      </c>
      <c r="F79" s="2952">
        <v>92.66</v>
      </c>
      <c r="H79" s="2961">
        <v>4</v>
      </c>
      <c r="I79" s="2961">
        <v>8</v>
      </c>
      <c r="J79" s="2961">
        <v>2</v>
      </c>
      <c r="K79" s="2961">
        <v>201</v>
      </c>
      <c r="L79" s="2961">
        <v>94.01</v>
      </c>
      <c r="O79" s="2973">
        <v>5</v>
      </c>
      <c r="P79" s="2973">
        <v>9</v>
      </c>
      <c r="Q79" s="2973">
        <v>1</v>
      </c>
      <c r="R79" s="2973">
        <v>1704</v>
      </c>
      <c r="S79" s="2973">
        <v>93.97</v>
      </c>
      <c r="U79" s="2961"/>
      <c r="V79" s="2961"/>
      <c r="W79" s="2961"/>
      <c r="X79" s="2961"/>
      <c r="Y79" s="2961"/>
    </row>
    <row r="80" spans="2:25">
      <c r="B80" s="2952">
        <v>77</v>
      </c>
      <c r="C80" s="2952">
        <v>19</v>
      </c>
      <c r="D80" s="2952">
        <v>2</v>
      </c>
      <c r="E80" s="2952">
        <v>2804</v>
      </c>
      <c r="F80" s="2952">
        <v>92.66</v>
      </c>
      <c r="H80" s="2961">
        <v>5</v>
      </c>
      <c r="I80" s="2961">
        <v>8</v>
      </c>
      <c r="J80" s="2961">
        <v>2</v>
      </c>
      <c r="K80" s="2961">
        <v>2101</v>
      </c>
      <c r="L80" s="2961">
        <v>94.01</v>
      </c>
      <c r="O80" s="2973">
        <v>6</v>
      </c>
      <c r="P80" s="2973">
        <v>9</v>
      </c>
      <c r="Q80" s="2973">
        <v>1</v>
      </c>
      <c r="R80" s="2973">
        <v>2104</v>
      </c>
      <c r="S80" s="2973">
        <v>93.97</v>
      </c>
      <c r="U80" s="3061" t="s">
        <v>3080</v>
      </c>
      <c r="V80" s="3062"/>
      <c r="W80" s="3062"/>
      <c r="X80" s="3063"/>
      <c r="Y80" s="2961">
        <f>SUM(Y4:Y79)</f>
        <v>7043.2499999999927</v>
      </c>
    </row>
    <row r="81" spans="2:25">
      <c r="B81" s="2952">
        <v>78</v>
      </c>
      <c r="C81" s="2952">
        <v>19</v>
      </c>
      <c r="D81" s="2952">
        <v>2</v>
      </c>
      <c r="E81" s="2952">
        <v>2904</v>
      </c>
      <c r="F81" s="2952">
        <v>92.66</v>
      </c>
      <c r="H81" s="2961">
        <v>6</v>
      </c>
      <c r="I81" s="2961">
        <v>8</v>
      </c>
      <c r="J81" s="2961">
        <v>2</v>
      </c>
      <c r="K81" s="2961">
        <v>2801</v>
      </c>
      <c r="L81" s="2961">
        <v>94.01</v>
      </c>
      <c r="O81" s="2973">
        <v>7</v>
      </c>
      <c r="P81" s="2973">
        <v>9</v>
      </c>
      <c r="Q81" s="2973">
        <v>1</v>
      </c>
      <c r="R81" s="2973">
        <v>2204</v>
      </c>
      <c r="S81" s="2973">
        <v>93.97</v>
      </c>
    </row>
    <row r="82" spans="2:25">
      <c r="B82" s="2952">
        <v>79</v>
      </c>
      <c r="C82" s="2952">
        <v>19</v>
      </c>
      <c r="D82" s="2952">
        <v>2</v>
      </c>
      <c r="E82" s="2952">
        <v>3004</v>
      </c>
      <c r="F82" s="2952">
        <v>92.66</v>
      </c>
      <c r="H82" s="3061" t="s">
        <v>3080</v>
      </c>
      <c r="I82" s="3062"/>
      <c r="J82" s="3062"/>
      <c r="K82" s="3063"/>
      <c r="L82" s="2961">
        <f>SUM(L76:L81)</f>
        <v>564.06000000000006</v>
      </c>
      <c r="O82" s="2973">
        <v>8</v>
      </c>
      <c r="P82" s="2973">
        <v>9</v>
      </c>
      <c r="Q82" s="2973">
        <v>1</v>
      </c>
      <c r="R82" s="2973">
        <v>2304</v>
      </c>
      <c r="S82" s="2973">
        <v>93.97</v>
      </c>
      <c r="U82" s="2958" t="s">
        <v>3069</v>
      </c>
      <c r="V82" s="2958" t="s">
        <v>3070</v>
      </c>
      <c r="W82" s="2959" t="s">
        <v>3071</v>
      </c>
      <c r="X82" s="2960" t="s">
        <v>3072</v>
      </c>
      <c r="Y82" s="2958" t="s">
        <v>3073</v>
      </c>
    </row>
    <row r="83" spans="2:25">
      <c r="B83" s="2952">
        <v>80</v>
      </c>
      <c r="C83" s="2952">
        <v>19</v>
      </c>
      <c r="D83" s="2952">
        <v>2</v>
      </c>
      <c r="E83" s="2952">
        <v>3104</v>
      </c>
      <c r="F83" s="2952">
        <v>92.66</v>
      </c>
      <c r="O83" s="2973">
        <v>9</v>
      </c>
      <c r="P83" s="2973">
        <v>9</v>
      </c>
      <c r="Q83" s="2973">
        <v>1</v>
      </c>
      <c r="R83" s="2973">
        <v>2504</v>
      </c>
      <c r="S83" s="2973">
        <v>93.97</v>
      </c>
      <c r="U83" s="2958">
        <v>1</v>
      </c>
      <c r="V83" s="2958">
        <v>17</v>
      </c>
      <c r="W83" s="2958">
        <v>1</v>
      </c>
      <c r="X83" s="2958">
        <v>204</v>
      </c>
      <c r="Y83" s="2958">
        <v>137.43</v>
      </c>
    </row>
    <row r="84" spans="2:25">
      <c r="B84" s="2952">
        <v>81</v>
      </c>
      <c r="C84" s="2952">
        <v>20</v>
      </c>
      <c r="D84" s="2952">
        <v>1</v>
      </c>
      <c r="E84" s="2952">
        <v>201</v>
      </c>
      <c r="F84" s="2952">
        <v>92.66</v>
      </c>
      <c r="H84" s="2970" t="s">
        <v>3069</v>
      </c>
      <c r="I84" s="2970" t="s">
        <v>3070</v>
      </c>
      <c r="J84" s="2971" t="s">
        <v>3071</v>
      </c>
      <c r="K84" s="2972" t="s">
        <v>3072</v>
      </c>
      <c r="L84" s="2970" t="s">
        <v>3073</v>
      </c>
      <c r="O84" s="2973">
        <v>10</v>
      </c>
      <c r="P84" s="2973">
        <v>9</v>
      </c>
      <c r="Q84" s="2973">
        <v>1</v>
      </c>
      <c r="R84" s="2973">
        <v>2704</v>
      </c>
      <c r="S84" s="2973">
        <v>93.97</v>
      </c>
      <c r="U84" s="2958">
        <v>2</v>
      </c>
      <c r="V84" s="2958">
        <v>17</v>
      </c>
      <c r="W84" s="2958">
        <v>1</v>
      </c>
      <c r="X84" s="2958">
        <v>304</v>
      </c>
      <c r="Y84" s="2958">
        <v>137.43</v>
      </c>
    </row>
    <row r="85" spans="2:25">
      <c r="B85" s="2952">
        <v>82</v>
      </c>
      <c r="C85" s="2952">
        <v>20</v>
      </c>
      <c r="D85" s="2952">
        <v>1</v>
      </c>
      <c r="E85" s="2952">
        <v>301</v>
      </c>
      <c r="F85" s="2952">
        <v>92.66</v>
      </c>
      <c r="H85" s="2970">
        <v>1</v>
      </c>
      <c r="I85" s="2970">
        <v>2</v>
      </c>
      <c r="J85" s="2970">
        <v>1</v>
      </c>
      <c r="K85" s="2970">
        <v>2704</v>
      </c>
      <c r="L85" s="2970">
        <v>94.75</v>
      </c>
      <c r="O85" s="2973">
        <v>11</v>
      </c>
      <c r="P85" s="2973">
        <v>9</v>
      </c>
      <c r="Q85" s="2973">
        <v>1</v>
      </c>
      <c r="R85" s="2973">
        <v>2804</v>
      </c>
      <c r="S85" s="2973">
        <v>93.97</v>
      </c>
      <c r="U85" s="2958">
        <v>3</v>
      </c>
      <c r="V85" s="2958">
        <v>17</v>
      </c>
      <c r="W85" s="2958">
        <v>1</v>
      </c>
      <c r="X85" s="2958">
        <v>504</v>
      </c>
      <c r="Y85" s="2958">
        <v>137.43</v>
      </c>
    </row>
    <row r="86" spans="2:25">
      <c r="B86" s="2952">
        <v>83</v>
      </c>
      <c r="C86" s="2952">
        <v>20</v>
      </c>
      <c r="D86" s="2952">
        <v>1</v>
      </c>
      <c r="E86" s="2952">
        <v>501</v>
      </c>
      <c r="F86" s="2952">
        <v>92.66</v>
      </c>
      <c r="H86" s="2970">
        <v>2</v>
      </c>
      <c r="I86" s="2970">
        <v>2</v>
      </c>
      <c r="J86" s="2970">
        <v>1</v>
      </c>
      <c r="K86" s="2970">
        <v>2804</v>
      </c>
      <c r="L86" s="2970">
        <v>94.75</v>
      </c>
      <c r="O86" s="2973">
        <v>12</v>
      </c>
      <c r="P86" s="2973">
        <v>9</v>
      </c>
      <c r="Q86" s="2973">
        <v>2</v>
      </c>
      <c r="R86" s="2973">
        <v>701</v>
      </c>
      <c r="S86" s="2973">
        <v>93.97</v>
      </c>
      <c r="U86" s="2958">
        <v>4</v>
      </c>
      <c r="V86" s="2958">
        <v>17</v>
      </c>
      <c r="W86" s="2958">
        <v>1</v>
      </c>
      <c r="X86" s="2958">
        <v>604</v>
      </c>
      <c r="Y86" s="2958">
        <v>137.43</v>
      </c>
    </row>
    <row r="87" spans="2:25">
      <c r="B87" s="2952">
        <v>84</v>
      </c>
      <c r="C87" s="2952">
        <v>20</v>
      </c>
      <c r="D87" s="2952">
        <v>1</v>
      </c>
      <c r="E87" s="2952">
        <v>601</v>
      </c>
      <c r="F87" s="2952">
        <v>92.66</v>
      </c>
      <c r="H87" s="2970">
        <v>3</v>
      </c>
      <c r="I87" s="2970">
        <v>2</v>
      </c>
      <c r="J87" s="2970">
        <v>1</v>
      </c>
      <c r="K87" s="2970">
        <v>2904</v>
      </c>
      <c r="L87" s="2970">
        <v>94.75</v>
      </c>
      <c r="O87" s="2973">
        <v>13</v>
      </c>
      <c r="P87" s="2973">
        <v>9</v>
      </c>
      <c r="Q87" s="2973">
        <v>2</v>
      </c>
      <c r="R87" s="2973">
        <v>1701</v>
      </c>
      <c r="S87" s="2973">
        <v>93.97</v>
      </c>
      <c r="U87" s="2958">
        <v>5</v>
      </c>
      <c r="V87" s="2958">
        <v>17</v>
      </c>
      <c r="W87" s="2958">
        <v>1</v>
      </c>
      <c r="X87" s="2958">
        <v>704</v>
      </c>
      <c r="Y87" s="2958">
        <v>137.43</v>
      </c>
    </row>
    <row r="88" spans="2:25">
      <c r="B88" s="2952">
        <v>85</v>
      </c>
      <c r="C88" s="2952">
        <v>20</v>
      </c>
      <c r="D88" s="2952">
        <v>1</v>
      </c>
      <c r="E88" s="2952">
        <v>701</v>
      </c>
      <c r="F88" s="2952">
        <v>92.66</v>
      </c>
      <c r="H88" s="2970">
        <v>4</v>
      </c>
      <c r="I88" s="2970">
        <v>2</v>
      </c>
      <c r="J88" s="2970">
        <v>2</v>
      </c>
      <c r="K88" s="2970">
        <v>2201</v>
      </c>
      <c r="L88" s="2970">
        <v>94.75</v>
      </c>
      <c r="O88" s="2973">
        <v>14</v>
      </c>
      <c r="P88" s="2973">
        <v>9</v>
      </c>
      <c r="Q88" s="2973">
        <v>2</v>
      </c>
      <c r="R88" s="2973">
        <v>2501</v>
      </c>
      <c r="S88" s="2973">
        <v>93.97</v>
      </c>
      <c r="U88" s="2958">
        <v>6</v>
      </c>
      <c r="V88" s="2958">
        <v>17</v>
      </c>
      <c r="W88" s="2958">
        <v>1</v>
      </c>
      <c r="X88" s="2958">
        <v>804</v>
      </c>
      <c r="Y88" s="2958">
        <v>137.43</v>
      </c>
    </row>
    <row r="89" spans="2:25">
      <c r="B89" s="2952">
        <v>86</v>
      </c>
      <c r="C89" s="2952">
        <v>20</v>
      </c>
      <c r="D89" s="2952">
        <v>1</v>
      </c>
      <c r="E89" s="2952">
        <v>801</v>
      </c>
      <c r="F89" s="2952">
        <v>92.66</v>
      </c>
      <c r="H89" s="2970">
        <v>5</v>
      </c>
      <c r="I89" s="2970">
        <v>2</v>
      </c>
      <c r="J89" s="2970">
        <v>2</v>
      </c>
      <c r="K89" s="2970">
        <v>2601</v>
      </c>
      <c r="L89" s="2970">
        <v>94.75</v>
      </c>
      <c r="O89" s="2973">
        <v>15</v>
      </c>
      <c r="P89" s="2973">
        <v>9</v>
      </c>
      <c r="Q89" s="2973">
        <v>2</v>
      </c>
      <c r="R89" s="2973">
        <v>2601</v>
      </c>
      <c r="S89" s="2973">
        <v>93.97</v>
      </c>
      <c r="U89" s="2958">
        <v>7</v>
      </c>
      <c r="V89" s="2958">
        <v>17</v>
      </c>
      <c r="W89" s="2958">
        <v>1</v>
      </c>
      <c r="X89" s="2958">
        <v>904</v>
      </c>
      <c r="Y89" s="2958">
        <v>137.43</v>
      </c>
    </row>
    <row r="90" spans="2:25">
      <c r="B90" s="2952">
        <v>87</v>
      </c>
      <c r="C90" s="2952">
        <v>20</v>
      </c>
      <c r="D90" s="2952">
        <v>1</v>
      </c>
      <c r="E90" s="2952">
        <v>901</v>
      </c>
      <c r="F90" s="2952">
        <v>92.66</v>
      </c>
      <c r="H90" s="2970">
        <v>6</v>
      </c>
      <c r="I90" s="2970">
        <v>2</v>
      </c>
      <c r="J90" s="2970">
        <v>2</v>
      </c>
      <c r="K90" s="2970">
        <v>2901</v>
      </c>
      <c r="L90" s="2970">
        <v>94.75</v>
      </c>
      <c r="O90" s="2973">
        <v>16</v>
      </c>
      <c r="P90" s="2973">
        <v>9</v>
      </c>
      <c r="Q90" s="2973">
        <v>2</v>
      </c>
      <c r="R90" s="2973">
        <v>2701</v>
      </c>
      <c r="S90" s="2973">
        <v>93.97</v>
      </c>
      <c r="U90" s="2958">
        <v>8</v>
      </c>
      <c r="V90" s="2958">
        <v>17</v>
      </c>
      <c r="W90" s="2958">
        <v>1</v>
      </c>
      <c r="X90" s="2958">
        <v>1004</v>
      </c>
      <c r="Y90" s="2958">
        <v>137.43</v>
      </c>
    </row>
    <row r="91" spans="2:25">
      <c r="B91" s="2952">
        <v>88</v>
      </c>
      <c r="C91" s="2952">
        <v>20</v>
      </c>
      <c r="D91" s="2952">
        <v>1</v>
      </c>
      <c r="E91" s="2952">
        <v>1001</v>
      </c>
      <c r="F91" s="2952">
        <v>92.66</v>
      </c>
      <c r="H91" s="2970">
        <v>7</v>
      </c>
      <c r="I91" s="2970">
        <v>3</v>
      </c>
      <c r="J91" s="2970">
        <v>1</v>
      </c>
      <c r="K91" s="2970">
        <v>2904</v>
      </c>
      <c r="L91" s="2970">
        <v>94.75</v>
      </c>
      <c r="O91" s="2973">
        <v>17</v>
      </c>
      <c r="P91" s="2973">
        <v>9</v>
      </c>
      <c r="Q91" s="2973">
        <v>2</v>
      </c>
      <c r="R91" s="2973">
        <v>2801</v>
      </c>
      <c r="S91" s="2973">
        <v>93.97</v>
      </c>
      <c r="U91" s="2958">
        <v>9</v>
      </c>
      <c r="V91" s="2958">
        <v>17</v>
      </c>
      <c r="W91" s="2958">
        <v>1</v>
      </c>
      <c r="X91" s="2958">
        <v>1604</v>
      </c>
      <c r="Y91" s="2958">
        <v>137.43</v>
      </c>
    </row>
    <row r="92" spans="2:25">
      <c r="B92" s="2952">
        <v>89</v>
      </c>
      <c r="C92" s="2952">
        <v>20</v>
      </c>
      <c r="D92" s="2952">
        <v>1</v>
      </c>
      <c r="E92" s="2952">
        <v>1701</v>
      </c>
      <c r="F92" s="2952">
        <v>92.66</v>
      </c>
      <c r="H92" s="2970">
        <v>8</v>
      </c>
      <c r="I92" s="2970">
        <v>3</v>
      </c>
      <c r="J92" s="2970">
        <v>2</v>
      </c>
      <c r="K92" s="2970">
        <v>2701</v>
      </c>
      <c r="L92" s="2970">
        <v>94.75</v>
      </c>
      <c r="O92" s="2973">
        <v>18</v>
      </c>
      <c r="P92" s="2973">
        <v>9</v>
      </c>
      <c r="Q92" s="2973">
        <v>2</v>
      </c>
      <c r="R92" s="2973">
        <v>2901</v>
      </c>
      <c r="S92" s="2973">
        <v>93.97</v>
      </c>
      <c r="U92" s="2958">
        <v>10</v>
      </c>
      <c r="V92" s="2958">
        <v>17</v>
      </c>
      <c r="W92" s="2958">
        <v>1</v>
      </c>
      <c r="X92" s="2958">
        <v>1704</v>
      </c>
      <c r="Y92" s="2958">
        <v>137.43</v>
      </c>
    </row>
    <row r="93" spans="2:25">
      <c r="B93" s="2952">
        <v>90</v>
      </c>
      <c r="C93" s="2952">
        <v>20</v>
      </c>
      <c r="D93" s="2952">
        <v>1</v>
      </c>
      <c r="E93" s="2952">
        <v>3101</v>
      </c>
      <c r="F93" s="2952">
        <v>92.66</v>
      </c>
      <c r="H93" s="3073" t="s">
        <v>3080</v>
      </c>
      <c r="I93" s="3074"/>
      <c r="J93" s="3074"/>
      <c r="K93" s="3075"/>
      <c r="L93" s="2970">
        <f>SUM(L85:L92)</f>
        <v>758</v>
      </c>
      <c r="O93" s="2973">
        <v>19</v>
      </c>
      <c r="P93" s="2973">
        <v>9</v>
      </c>
      <c r="Q93" s="2973">
        <v>2</v>
      </c>
      <c r="R93" s="2973">
        <v>3101</v>
      </c>
      <c r="S93" s="2973">
        <v>93.97</v>
      </c>
      <c r="U93" s="2958">
        <v>11</v>
      </c>
      <c r="V93" s="2958">
        <v>17</v>
      </c>
      <c r="W93" s="2958">
        <v>1</v>
      </c>
      <c r="X93" s="2958">
        <v>1804</v>
      </c>
      <c r="Y93" s="2958">
        <v>137.43</v>
      </c>
    </row>
    <row r="94" spans="2:25">
      <c r="B94" s="2952">
        <v>91</v>
      </c>
      <c r="C94" s="2952">
        <v>20</v>
      </c>
      <c r="D94" s="2952">
        <v>2</v>
      </c>
      <c r="E94" s="2952">
        <v>204</v>
      </c>
      <c r="F94" s="2952">
        <v>92.66</v>
      </c>
      <c r="O94" s="3082" t="s">
        <v>3080</v>
      </c>
      <c r="P94" s="3083"/>
      <c r="Q94" s="3083"/>
      <c r="R94" s="3084"/>
      <c r="S94" s="2973">
        <f>SUM(S75:S93)</f>
        <v>1785.4300000000003</v>
      </c>
      <c r="U94" s="2958">
        <v>12</v>
      </c>
      <c r="V94" s="2958">
        <v>17</v>
      </c>
      <c r="W94" s="2958">
        <v>1</v>
      </c>
      <c r="X94" s="2958">
        <v>1904</v>
      </c>
      <c r="Y94" s="2958">
        <v>137.43</v>
      </c>
    </row>
    <row r="95" spans="2:25">
      <c r="B95" s="2952">
        <v>92</v>
      </c>
      <c r="C95" s="2952">
        <v>20</v>
      </c>
      <c r="D95" s="2952">
        <v>2</v>
      </c>
      <c r="E95" s="2952">
        <v>304</v>
      </c>
      <c r="F95" s="2952">
        <v>92.66</v>
      </c>
      <c r="H95" s="2964" t="s">
        <v>3069</v>
      </c>
      <c r="I95" s="2964" t="s">
        <v>3070</v>
      </c>
      <c r="J95" s="2965" t="s">
        <v>3071</v>
      </c>
      <c r="K95" s="2966" t="s">
        <v>3072</v>
      </c>
      <c r="L95" s="2964" t="s">
        <v>3073</v>
      </c>
      <c r="U95" s="2958">
        <v>13</v>
      </c>
      <c r="V95" s="2958">
        <v>17</v>
      </c>
      <c r="W95" s="2958">
        <v>1</v>
      </c>
      <c r="X95" s="2958">
        <v>2004</v>
      </c>
      <c r="Y95" s="2958">
        <v>137.43</v>
      </c>
    </row>
    <row r="96" spans="2:25">
      <c r="B96" s="2952">
        <v>93</v>
      </c>
      <c r="C96" s="2952">
        <v>20</v>
      </c>
      <c r="D96" s="2952">
        <v>2</v>
      </c>
      <c r="E96" s="2952">
        <v>504</v>
      </c>
      <c r="F96" s="2952">
        <v>92.66</v>
      </c>
      <c r="H96" s="2964">
        <v>1</v>
      </c>
      <c r="I96" s="2964">
        <v>16</v>
      </c>
      <c r="J96" s="2964">
        <v>1</v>
      </c>
      <c r="K96" s="2964">
        <v>2704</v>
      </c>
      <c r="L96" s="2964">
        <v>137.27000000000001</v>
      </c>
      <c r="O96" s="2961" t="s">
        <v>3069</v>
      </c>
      <c r="P96" s="2961" t="s">
        <v>3070</v>
      </c>
      <c r="Q96" s="2962" t="s">
        <v>3071</v>
      </c>
      <c r="R96" s="2963" t="s">
        <v>3072</v>
      </c>
      <c r="S96" s="2961" t="s">
        <v>3073</v>
      </c>
      <c r="U96" s="2958">
        <v>14</v>
      </c>
      <c r="V96" s="2958">
        <v>17</v>
      </c>
      <c r="W96" s="2958">
        <v>1</v>
      </c>
      <c r="X96" s="2958">
        <v>2104</v>
      </c>
      <c r="Y96" s="2958">
        <v>137.43</v>
      </c>
    </row>
    <row r="97" spans="2:25">
      <c r="B97" s="2952">
        <v>94</v>
      </c>
      <c r="C97" s="2952">
        <v>20</v>
      </c>
      <c r="D97" s="2952">
        <v>2</v>
      </c>
      <c r="E97" s="2952">
        <v>604</v>
      </c>
      <c r="F97" s="2952">
        <v>92.66</v>
      </c>
      <c r="H97" s="2964">
        <v>2</v>
      </c>
      <c r="I97" s="2964">
        <v>16</v>
      </c>
      <c r="J97" s="2964">
        <v>1</v>
      </c>
      <c r="K97" s="2964">
        <v>3104</v>
      </c>
      <c r="L97" s="2964">
        <v>137.27000000000001</v>
      </c>
      <c r="O97" s="2961">
        <v>1</v>
      </c>
      <c r="P97" s="2961">
        <v>17</v>
      </c>
      <c r="Q97" s="2961">
        <v>1</v>
      </c>
      <c r="R97" s="2961">
        <v>2701</v>
      </c>
      <c r="S97" s="2961">
        <v>138.03</v>
      </c>
      <c r="U97" s="2958">
        <v>15</v>
      </c>
      <c r="V97" s="2958">
        <v>17</v>
      </c>
      <c r="W97" s="2958">
        <v>1</v>
      </c>
      <c r="X97" s="2958">
        <v>2204</v>
      </c>
      <c r="Y97" s="2958">
        <v>137.43</v>
      </c>
    </row>
    <row r="98" spans="2:25">
      <c r="B98" s="2952">
        <v>95</v>
      </c>
      <c r="C98" s="2952">
        <v>20</v>
      </c>
      <c r="D98" s="2952">
        <v>2</v>
      </c>
      <c r="E98" s="2952">
        <v>704</v>
      </c>
      <c r="F98" s="2952">
        <v>92.66</v>
      </c>
      <c r="H98" s="2964">
        <v>3</v>
      </c>
      <c r="I98" s="2964">
        <v>16</v>
      </c>
      <c r="J98" s="2964">
        <v>2</v>
      </c>
      <c r="K98" s="2964">
        <v>2701</v>
      </c>
      <c r="L98" s="2964">
        <v>137.27000000000001</v>
      </c>
      <c r="O98" s="2961">
        <v>2</v>
      </c>
      <c r="P98" s="2961">
        <v>17</v>
      </c>
      <c r="Q98" s="2961">
        <v>1</v>
      </c>
      <c r="R98" s="2961">
        <v>2801</v>
      </c>
      <c r="S98" s="2961">
        <v>138.03</v>
      </c>
      <c r="U98" s="2958">
        <v>16</v>
      </c>
      <c r="V98" s="2958">
        <v>17</v>
      </c>
      <c r="W98" s="2958">
        <v>1</v>
      </c>
      <c r="X98" s="2958">
        <v>2304</v>
      </c>
      <c r="Y98" s="2958">
        <v>137.43</v>
      </c>
    </row>
    <row r="99" spans="2:25">
      <c r="B99" s="2952">
        <v>96</v>
      </c>
      <c r="C99" s="2952">
        <v>20</v>
      </c>
      <c r="D99" s="2952">
        <v>2</v>
      </c>
      <c r="E99" s="2952">
        <v>804</v>
      </c>
      <c r="F99" s="2952">
        <v>92.66</v>
      </c>
      <c r="H99" s="2964">
        <v>4</v>
      </c>
      <c r="I99" s="2964">
        <v>16</v>
      </c>
      <c r="J99" s="2964">
        <v>2</v>
      </c>
      <c r="K99" s="2964">
        <v>3001</v>
      </c>
      <c r="L99" s="2964">
        <v>137.27000000000001</v>
      </c>
      <c r="O99" s="2961">
        <v>3</v>
      </c>
      <c r="P99" s="2961">
        <v>17</v>
      </c>
      <c r="Q99" s="2961">
        <v>1</v>
      </c>
      <c r="R99" s="2961">
        <v>3101</v>
      </c>
      <c r="S99" s="2961">
        <v>138.03</v>
      </c>
      <c r="U99" s="2958">
        <v>17</v>
      </c>
      <c r="V99" s="2958">
        <v>17</v>
      </c>
      <c r="W99" s="2958">
        <v>1</v>
      </c>
      <c r="X99" s="2958">
        <v>2504</v>
      </c>
      <c r="Y99" s="2958">
        <v>137.43</v>
      </c>
    </row>
    <row r="100" spans="2:25">
      <c r="B100" s="2952">
        <v>97</v>
      </c>
      <c r="C100" s="2952">
        <v>20</v>
      </c>
      <c r="D100" s="2952">
        <v>2</v>
      </c>
      <c r="E100" s="2952">
        <v>904</v>
      </c>
      <c r="F100" s="2952">
        <v>92.66</v>
      </c>
      <c r="H100" s="2964">
        <v>5</v>
      </c>
      <c r="I100" s="2964">
        <v>16</v>
      </c>
      <c r="J100" s="2964">
        <v>2</v>
      </c>
      <c r="K100" s="2964">
        <v>3101</v>
      </c>
      <c r="L100" s="2964">
        <v>137.27000000000001</v>
      </c>
      <c r="O100" s="2961">
        <v>4</v>
      </c>
      <c r="P100" s="2961">
        <v>17</v>
      </c>
      <c r="Q100" s="2961">
        <v>2</v>
      </c>
      <c r="R100" s="2961">
        <v>204</v>
      </c>
      <c r="S100" s="2961">
        <v>138.03</v>
      </c>
      <c r="U100" s="2958">
        <v>18</v>
      </c>
      <c r="V100" s="2958">
        <v>17</v>
      </c>
      <c r="W100" s="2958">
        <v>1</v>
      </c>
      <c r="X100" s="2958">
        <v>2604</v>
      </c>
      <c r="Y100" s="2958">
        <v>137.43</v>
      </c>
    </row>
    <row r="101" spans="2:25">
      <c r="B101" s="2952">
        <v>98</v>
      </c>
      <c r="C101" s="2952">
        <v>20</v>
      </c>
      <c r="D101" s="2952">
        <v>2</v>
      </c>
      <c r="E101" s="2952">
        <v>1004</v>
      </c>
      <c r="F101" s="2952">
        <v>92.66</v>
      </c>
      <c r="H101" s="3067" t="s">
        <v>3080</v>
      </c>
      <c r="I101" s="3068"/>
      <c r="J101" s="3068"/>
      <c r="K101" s="3069"/>
      <c r="L101" s="2964">
        <f>SUM(L96:L100)</f>
        <v>686.35</v>
      </c>
      <c r="O101" s="2961">
        <v>5</v>
      </c>
      <c r="P101" s="2961">
        <v>17</v>
      </c>
      <c r="Q101" s="2961">
        <v>2</v>
      </c>
      <c r="R101" s="2961">
        <v>1804</v>
      </c>
      <c r="S101" s="2961">
        <v>138.03</v>
      </c>
      <c r="U101" s="2958">
        <v>19</v>
      </c>
      <c r="V101" s="2958">
        <v>17</v>
      </c>
      <c r="W101" s="2958">
        <v>1</v>
      </c>
      <c r="X101" s="2958">
        <v>2704</v>
      </c>
      <c r="Y101" s="2958">
        <v>137.43</v>
      </c>
    </row>
    <row r="102" spans="2:25">
      <c r="B102" s="2952">
        <v>99</v>
      </c>
      <c r="C102" s="2952">
        <v>20</v>
      </c>
      <c r="D102" s="2952">
        <v>2</v>
      </c>
      <c r="E102" s="2952">
        <v>1104</v>
      </c>
      <c r="F102" s="2952">
        <v>92.66</v>
      </c>
      <c r="O102" s="2961">
        <v>6</v>
      </c>
      <c r="P102" s="2961">
        <v>17</v>
      </c>
      <c r="Q102" s="2961">
        <v>2</v>
      </c>
      <c r="R102" s="2961">
        <v>2204</v>
      </c>
      <c r="S102" s="2961">
        <v>138.03</v>
      </c>
      <c r="U102" s="2958">
        <v>20</v>
      </c>
      <c r="V102" s="2958">
        <v>17</v>
      </c>
      <c r="W102" s="2958">
        <v>1</v>
      </c>
      <c r="X102" s="2958">
        <v>2804</v>
      </c>
      <c r="Y102" s="2958">
        <v>137.43</v>
      </c>
    </row>
    <row r="103" spans="2:25">
      <c r="B103" s="2952">
        <v>100</v>
      </c>
      <c r="C103" s="2952">
        <v>20</v>
      </c>
      <c r="D103" s="2952">
        <v>2</v>
      </c>
      <c r="E103" s="2952">
        <v>1204</v>
      </c>
      <c r="F103" s="2952">
        <v>92.66</v>
      </c>
      <c r="H103" s="2964" t="s">
        <v>3069</v>
      </c>
      <c r="I103" s="2964" t="s">
        <v>3070</v>
      </c>
      <c r="J103" s="2965" t="s">
        <v>3071</v>
      </c>
      <c r="K103" s="2966" t="s">
        <v>3072</v>
      </c>
      <c r="L103" s="2964" t="s">
        <v>3073</v>
      </c>
      <c r="O103" s="2961">
        <v>7</v>
      </c>
      <c r="P103" s="2961">
        <v>17</v>
      </c>
      <c r="Q103" s="2961">
        <v>2</v>
      </c>
      <c r="R103" s="2961">
        <v>2504</v>
      </c>
      <c r="S103" s="2961">
        <v>138.03</v>
      </c>
      <c r="U103" s="2958">
        <v>21</v>
      </c>
      <c r="V103" s="2958">
        <v>17</v>
      </c>
      <c r="W103" s="2958">
        <v>1</v>
      </c>
      <c r="X103" s="2958">
        <v>2904</v>
      </c>
      <c r="Y103" s="2958">
        <v>137.43</v>
      </c>
    </row>
    <row r="104" spans="2:25">
      <c r="B104" s="2952">
        <v>101</v>
      </c>
      <c r="C104" s="2952">
        <v>20</v>
      </c>
      <c r="D104" s="2952">
        <v>2</v>
      </c>
      <c r="E104" s="2952">
        <v>1504</v>
      </c>
      <c r="F104" s="2952">
        <v>92.66</v>
      </c>
      <c r="H104" s="2964">
        <v>1</v>
      </c>
      <c r="I104" s="2964">
        <v>16</v>
      </c>
      <c r="J104" s="2964">
        <v>2</v>
      </c>
      <c r="K104" s="2964">
        <v>204</v>
      </c>
      <c r="L104" s="2964">
        <v>137.88</v>
      </c>
      <c r="O104" s="2961">
        <v>8</v>
      </c>
      <c r="P104" s="2961">
        <v>17</v>
      </c>
      <c r="Q104" s="2961">
        <v>2</v>
      </c>
      <c r="R104" s="2961">
        <v>2604</v>
      </c>
      <c r="S104" s="2961">
        <v>138.03</v>
      </c>
      <c r="U104" s="2958">
        <v>22</v>
      </c>
      <c r="V104" s="2958">
        <v>17</v>
      </c>
      <c r="W104" s="2958">
        <v>1</v>
      </c>
      <c r="X104" s="2958">
        <v>3004</v>
      </c>
      <c r="Y104" s="2958">
        <v>137.43</v>
      </c>
    </row>
    <row r="105" spans="2:25">
      <c r="B105" s="2952">
        <v>102</v>
      </c>
      <c r="C105" s="2952">
        <v>20</v>
      </c>
      <c r="D105" s="2952">
        <v>2</v>
      </c>
      <c r="E105" s="2952">
        <v>1604</v>
      </c>
      <c r="F105" s="2952">
        <v>92.66</v>
      </c>
      <c r="H105" s="2964">
        <v>2</v>
      </c>
      <c r="I105" s="2964">
        <v>16</v>
      </c>
      <c r="J105" s="2964">
        <v>2</v>
      </c>
      <c r="K105" s="2964">
        <v>2704</v>
      </c>
      <c r="L105" s="2964">
        <v>137.88</v>
      </c>
      <c r="O105" s="2961">
        <v>9</v>
      </c>
      <c r="P105" s="2961">
        <v>17</v>
      </c>
      <c r="Q105" s="2961">
        <v>2</v>
      </c>
      <c r="R105" s="2961">
        <v>2704</v>
      </c>
      <c r="S105" s="2961">
        <v>138.03</v>
      </c>
      <c r="U105" s="2958">
        <v>23</v>
      </c>
      <c r="V105" s="2958">
        <v>17</v>
      </c>
      <c r="W105" s="2958">
        <v>1</v>
      </c>
      <c r="X105" s="2958">
        <v>3104</v>
      </c>
      <c r="Y105" s="2958">
        <v>137.43</v>
      </c>
    </row>
    <row r="106" spans="2:25">
      <c r="B106" s="2952">
        <v>103</v>
      </c>
      <c r="C106" s="2952">
        <v>20</v>
      </c>
      <c r="D106" s="2952">
        <v>2</v>
      </c>
      <c r="E106" s="2952">
        <v>1704</v>
      </c>
      <c r="F106" s="2952">
        <v>92.66</v>
      </c>
      <c r="H106" s="2964">
        <v>3</v>
      </c>
      <c r="I106" s="2964">
        <v>16</v>
      </c>
      <c r="J106" s="2964">
        <v>2</v>
      </c>
      <c r="K106" s="2964">
        <v>3104</v>
      </c>
      <c r="L106" s="2964">
        <v>137.88</v>
      </c>
      <c r="O106" s="2961">
        <v>10</v>
      </c>
      <c r="P106" s="2961">
        <v>17</v>
      </c>
      <c r="Q106" s="2961">
        <v>2</v>
      </c>
      <c r="R106" s="2961">
        <v>2904</v>
      </c>
      <c r="S106" s="2961">
        <v>138.03</v>
      </c>
      <c r="U106" s="2958">
        <v>24</v>
      </c>
      <c r="V106" s="2958">
        <v>17</v>
      </c>
      <c r="W106" s="2958">
        <v>2</v>
      </c>
      <c r="X106" s="2958">
        <v>201</v>
      </c>
      <c r="Y106" s="2958">
        <v>137.43</v>
      </c>
    </row>
    <row r="107" spans="2:25">
      <c r="B107" s="2952">
        <v>104</v>
      </c>
      <c r="C107" s="2952">
        <v>20</v>
      </c>
      <c r="D107" s="2952">
        <v>2</v>
      </c>
      <c r="E107" s="2952">
        <v>1804</v>
      </c>
      <c r="F107" s="2952">
        <v>92.66</v>
      </c>
      <c r="H107" s="3067" t="s">
        <v>3080</v>
      </c>
      <c r="I107" s="3068"/>
      <c r="J107" s="3068"/>
      <c r="K107" s="3069"/>
      <c r="L107" s="2964">
        <f>SUM(L104:L106)</f>
        <v>413.64</v>
      </c>
      <c r="O107" s="2961">
        <v>11</v>
      </c>
      <c r="P107" s="2961">
        <v>17</v>
      </c>
      <c r="Q107" s="2961">
        <v>2</v>
      </c>
      <c r="R107" s="2961">
        <v>3004</v>
      </c>
      <c r="S107" s="2961">
        <v>138.03</v>
      </c>
      <c r="U107" s="2958">
        <v>25</v>
      </c>
      <c r="V107" s="2958">
        <v>17</v>
      </c>
      <c r="W107" s="2958">
        <v>2</v>
      </c>
      <c r="X107" s="2958">
        <v>301</v>
      </c>
      <c r="Y107" s="2958">
        <v>137.43</v>
      </c>
    </row>
    <row r="108" spans="2:25">
      <c r="B108" s="2952">
        <v>105</v>
      </c>
      <c r="C108" s="2952">
        <v>20</v>
      </c>
      <c r="D108" s="2952">
        <v>2</v>
      </c>
      <c r="E108" s="2952">
        <v>2004</v>
      </c>
      <c r="F108" s="2952">
        <v>92.66</v>
      </c>
      <c r="O108" s="2961">
        <v>12</v>
      </c>
      <c r="P108" s="2961">
        <v>17</v>
      </c>
      <c r="Q108" s="2961">
        <v>2</v>
      </c>
      <c r="R108" s="2961">
        <v>3104</v>
      </c>
      <c r="S108" s="2961">
        <v>138.03</v>
      </c>
      <c r="U108" s="2958">
        <v>26</v>
      </c>
      <c r="V108" s="2958">
        <v>17</v>
      </c>
      <c r="W108" s="2958">
        <v>2</v>
      </c>
      <c r="X108" s="2958">
        <v>501</v>
      </c>
      <c r="Y108" s="2958">
        <v>137.43</v>
      </c>
    </row>
    <row r="109" spans="2:25">
      <c r="B109" s="2952">
        <v>106</v>
      </c>
      <c r="C109" s="2952">
        <v>20</v>
      </c>
      <c r="D109" s="2952">
        <v>2</v>
      </c>
      <c r="E109" s="2952">
        <v>2104</v>
      </c>
      <c r="F109" s="2952">
        <v>92.66</v>
      </c>
      <c r="O109" s="2961">
        <v>13</v>
      </c>
      <c r="P109" s="2961">
        <v>17</v>
      </c>
      <c r="Q109" s="2961">
        <v>2</v>
      </c>
      <c r="R109" s="2961">
        <v>1701</v>
      </c>
      <c r="S109" s="2961">
        <v>138.03</v>
      </c>
      <c r="U109" s="2958">
        <v>27</v>
      </c>
      <c r="V109" s="2958">
        <v>17</v>
      </c>
      <c r="W109" s="2958">
        <v>2</v>
      </c>
      <c r="X109" s="2958">
        <v>601</v>
      </c>
      <c r="Y109" s="2958">
        <v>137.43</v>
      </c>
    </row>
    <row r="110" spans="2:25">
      <c r="B110" s="2952">
        <v>107</v>
      </c>
      <c r="C110" s="2952">
        <v>20</v>
      </c>
      <c r="D110" s="2952">
        <v>2</v>
      </c>
      <c r="E110" s="2952">
        <v>2204</v>
      </c>
      <c r="F110" s="2952">
        <v>92.66</v>
      </c>
      <c r="O110" s="2961">
        <v>14</v>
      </c>
      <c r="P110" s="2961">
        <v>17</v>
      </c>
      <c r="Q110" s="2961">
        <v>2</v>
      </c>
      <c r="R110" s="2961">
        <v>2201</v>
      </c>
      <c r="S110" s="2961">
        <v>138.03</v>
      </c>
      <c r="U110" s="2958">
        <v>28</v>
      </c>
      <c r="V110" s="2958">
        <v>17</v>
      </c>
      <c r="W110" s="2958">
        <v>2</v>
      </c>
      <c r="X110" s="2958">
        <v>701</v>
      </c>
      <c r="Y110" s="2958">
        <v>137.43</v>
      </c>
    </row>
    <row r="111" spans="2:25">
      <c r="B111" s="2952">
        <v>108</v>
      </c>
      <c r="C111" s="2952">
        <v>20</v>
      </c>
      <c r="D111" s="2952">
        <v>2</v>
      </c>
      <c r="E111" s="2952">
        <v>2304</v>
      </c>
      <c r="F111" s="2952">
        <v>92.66</v>
      </c>
      <c r="O111" s="2961">
        <v>15</v>
      </c>
      <c r="P111" s="2961">
        <v>17</v>
      </c>
      <c r="Q111" s="2961">
        <v>2</v>
      </c>
      <c r="R111" s="2961">
        <v>2801</v>
      </c>
      <c r="S111" s="2961">
        <v>138.03</v>
      </c>
      <c r="U111" s="2958">
        <v>29</v>
      </c>
      <c r="V111" s="2958">
        <v>17</v>
      </c>
      <c r="W111" s="2958">
        <v>2</v>
      </c>
      <c r="X111" s="2958">
        <v>1701</v>
      </c>
      <c r="Y111" s="2958">
        <v>137.43</v>
      </c>
    </row>
    <row r="112" spans="2:25">
      <c r="B112" s="2952">
        <v>109</v>
      </c>
      <c r="C112" s="2952">
        <v>20</v>
      </c>
      <c r="D112" s="2952">
        <v>2</v>
      </c>
      <c r="E112" s="2952">
        <v>2504</v>
      </c>
      <c r="F112" s="2952">
        <v>92.66</v>
      </c>
      <c r="O112" s="2961">
        <v>16</v>
      </c>
      <c r="P112" s="2961">
        <v>17</v>
      </c>
      <c r="Q112" s="2961">
        <v>2</v>
      </c>
      <c r="R112" s="2961">
        <v>2901</v>
      </c>
      <c r="S112" s="2961">
        <v>138.03</v>
      </c>
      <c r="U112" s="2958">
        <v>30</v>
      </c>
      <c r="V112" s="2958">
        <v>17</v>
      </c>
      <c r="W112" s="2958">
        <v>2</v>
      </c>
      <c r="X112" s="2958">
        <v>2301</v>
      </c>
      <c r="Y112" s="2958">
        <v>137.43</v>
      </c>
    </row>
    <row r="113" spans="2:25">
      <c r="B113" s="2952">
        <v>110</v>
      </c>
      <c r="C113" s="2952">
        <v>20</v>
      </c>
      <c r="D113" s="2952">
        <v>2</v>
      </c>
      <c r="E113" s="2952">
        <v>2604</v>
      </c>
      <c r="F113" s="2952">
        <v>92.66</v>
      </c>
      <c r="O113" s="2961">
        <v>17</v>
      </c>
      <c r="P113" s="2961">
        <v>17</v>
      </c>
      <c r="Q113" s="2961">
        <v>2</v>
      </c>
      <c r="R113" s="2961">
        <v>3101</v>
      </c>
      <c r="S113" s="2961">
        <v>138.03</v>
      </c>
      <c r="U113" s="2958">
        <v>31</v>
      </c>
      <c r="V113" s="2958">
        <v>17</v>
      </c>
      <c r="W113" s="2958">
        <v>2</v>
      </c>
      <c r="X113" s="2958">
        <v>2501</v>
      </c>
      <c r="Y113" s="2958">
        <v>137.43</v>
      </c>
    </row>
    <row r="114" spans="2:25">
      <c r="B114" s="2952">
        <v>111</v>
      </c>
      <c r="C114" s="2952">
        <v>20</v>
      </c>
      <c r="D114" s="2952">
        <v>2</v>
      </c>
      <c r="E114" s="2952">
        <v>2704</v>
      </c>
      <c r="F114" s="2952">
        <v>92.66</v>
      </c>
      <c r="O114" s="3061" t="s">
        <v>3080</v>
      </c>
      <c r="P114" s="3062"/>
      <c r="Q114" s="3062"/>
      <c r="R114" s="3063"/>
      <c r="S114" s="2961">
        <f>SUM(S97:S113)</f>
        <v>2346.5100000000002</v>
      </c>
      <c r="U114" s="2958">
        <v>32</v>
      </c>
      <c r="V114" s="2958">
        <v>17</v>
      </c>
      <c r="W114" s="2958">
        <v>2</v>
      </c>
      <c r="X114" s="2958">
        <v>2601</v>
      </c>
      <c r="Y114" s="2958">
        <v>137.43</v>
      </c>
    </row>
    <row r="115" spans="2:25">
      <c r="B115" s="2952">
        <v>112</v>
      </c>
      <c r="C115" s="2952">
        <v>20</v>
      </c>
      <c r="D115" s="2952">
        <v>2</v>
      </c>
      <c r="E115" s="2952">
        <v>2804</v>
      </c>
      <c r="F115" s="2952">
        <v>92.66</v>
      </c>
      <c r="U115" s="2958">
        <v>33</v>
      </c>
      <c r="V115" s="2958">
        <v>17</v>
      </c>
      <c r="W115" s="2958">
        <v>2</v>
      </c>
      <c r="X115" s="2958">
        <v>2701</v>
      </c>
      <c r="Y115" s="2958">
        <v>137.43</v>
      </c>
    </row>
    <row r="116" spans="2:25">
      <c r="B116" s="2952">
        <v>113</v>
      </c>
      <c r="C116" s="2952">
        <v>20</v>
      </c>
      <c r="D116" s="2952">
        <v>2</v>
      </c>
      <c r="E116" s="2952">
        <v>3004</v>
      </c>
      <c r="F116" s="2952">
        <v>92.66</v>
      </c>
      <c r="U116" s="2958">
        <v>34</v>
      </c>
      <c r="V116" s="2958">
        <v>17</v>
      </c>
      <c r="W116" s="2958">
        <v>2</v>
      </c>
      <c r="X116" s="2958">
        <v>2901</v>
      </c>
      <c r="Y116" s="2958">
        <v>137.43</v>
      </c>
    </row>
    <row r="117" spans="2:25">
      <c r="B117" s="2952">
        <v>114</v>
      </c>
      <c r="C117" s="2952">
        <v>20</v>
      </c>
      <c r="D117" s="2952">
        <v>2</v>
      </c>
      <c r="E117" s="2952">
        <v>3104</v>
      </c>
      <c r="F117" s="2952">
        <v>92.66</v>
      </c>
      <c r="U117" s="2958">
        <v>35</v>
      </c>
      <c r="V117" s="2958">
        <v>17</v>
      </c>
      <c r="W117" s="2958">
        <v>2</v>
      </c>
      <c r="X117" s="2958">
        <v>3101</v>
      </c>
      <c r="Y117" s="2958">
        <v>137.43</v>
      </c>
    </row>
    <row r="118" spans="2:25">
      <c r="B118" s="3079" t="s">
        <v>3080</v>
      </c>
      <c r="C118" s="3080"/>
      <c r="D118" s="3080"/>
      <c r="E118" s="3081"/>
      <c r="F118" s="2952">
        <f>SUM(F4:F117)</f>
        <v>10563.239999999989</v>
      </c>
      <c r="U118" s="3076" t="s">
        <v>3080</v>
      </c>
      <c r="V118" s="3077"/>
      <c r="W118" s="3077"/>
      <c r="X118" s="3078"/>
      <c r="Y118" s="2958">
        <f>SUM(Y83:Y117)</f>
        <v>4810.05</v>
      </c>
    </row>
    <row r="123" spans="2:25">
      <c r="C123" s="2950" t="s">
        <v>3090</v>
      </c>
    </row>
    <row r="125" spans="2:25">
      <c r="C125" s="2949" t="s">
        <v>3088</v>
      </c>
      <c r="D125" s="2949">
        <v>4500</v>
      </c>
      <c r="E125" s="2977">
        <f>D126/88/30</f>
        <v>1.875</v>
      </c>
    </row>
    <row r="126" spans="2:25">
      <c r="D126" s="2949">
        <v>4950</v>
      </c>
      <c r="E126" s="2977">
        <f>D126/95/30</f>
        <v>1.736842105263158</v>
      </c>
    </row>
    <row r="128" spans="2:25">
      <c r="C128" s="2949" t="s">
        <v>3089</v>
      </c>
      <c r="D128" s="2949">
        <v>6200</v>
      </c>
      <c r="E128" s="2977">
        <f>D129/137/30</f>
        <v>1.6593673965936739</v>
      </c>
    </row>
    <row r="129" spans="3:6">
      <c r="D129" s="2949">
        <v>6820</v>
      </c>
      <c r="E129" s="2977">
        <f>D129/138/30</f>
        <v>1.6473429951690821</v>
      </c>
    </row>
    <row r="132" spans="3:6">
      <c r="C132" s="2950" t="s">
        <v>3091</v>
      </c>
      <c r="E132" s="2949">
        <f>85/30</f>
        <v>2.8333333333333335</v>
      </c>
    </row>
    <row r="135" spans="3:6">
      <c r="C135" s="2950" t="s">
        <v>3092</v>
      </c>
    </row>
    <row r="137" spans="3:6">
      <c r="C137" s="2949">
        <v>92</v>
      </c>
      <c r="E137" s="2949">
        <v>9000</v>
      </c>
      <c r="F137" s="2949">
        <f t="shared" ref="F137:F138" si="0">E137/C137/30</f>
        <v>3.2608695652173911</v>
      </c>
    </row>
    <row r="138" spans="3:6">
      <c r="C138" s="2949">
        <v>134</v>
      </c>
      <c r="E138" s="2949">
        <v>13500</v>
      </c>
      <c r="F138" s="2949">
        <f t="shared" si="0"/>
        <v>3.3582089552238807</v>
      </c>
    </row>
    <row r="141" spans="3:6">
      <c r="C141" s="2949">
        <v>94</v>
      </c>
      <c r="E141" s="2949">
        <v>7000</v>
      </c>
      <c r="F141" s="2949">
        <f t="shared" ref="F141:F144" si="1">E141/C141/30</f>
        <v>2.4822695035460991</v>
      </c>
    </row>
    <row r="142" spans="3:6">
      <c r="C142" s="2949">
        <v>135</v>
      </c>
      <c r="E142" s="2949">
        <v>11000</v>
      </c>
      <c r="F142" s="2949">
        <f t="shared" si="1"/>
        <v>2.7160493827160495</v>
      </c>
    </row>
    <row r="143" spans="3:6">
      <c r="C143" s="2949">
        <v>115</v>
      </c>
      <c r="E143" s="2949">
        <v>8500</v>
      </c>
      <c r="F143" s="2949">
        <f t="shared" si="1"/>
        <v>2.4637681159420293</v>
      </c>
    </row>
    <row r="144" spans="3:6">
      <c r="C144" s="2949">
        <v>98</v>
      </c>
      <c r="E144" s="2949">
        <v>9000</v>
      </c>
      <c r="F144" s="2949">
        <f t="shared" si="1"/>
        <v>3.0612244897959182</v>
      </c>
    </row>
  </sheetData>
  <mergeCells count="20">
    <mergeCell ref="B118:E118"/>
    <mergeCell ref="U118:X118"/>
    <mergeCell ref="H82:K82"/>
    <mergeCell ref="H93:K93"/>
    <mergeCell ref="O94:R94"/>
    <mergeCell ref="H101:K101"/>
    <mergeCell ref="H107:K107"/>
    <mergeCell ref="O114:R114"/>
    <mergeCell ref="U80:X80"/>
    <mergeCell ref="H13:K13"/>
    <mergeCell ref="H20:K20"/>
    <mergeCell ref="H27:K27"/>
    <mergeCell ref="H37:K37"/>
    <mergeCell ref="H43:K43"/>
    <mergeCell ref="O43:R43"/>
    <mergeCell ref="H51:K51"/>
    <mergeCell ref="H57:K57"/>
    <mergeCell ref="H65:K65"/>
    <mergeCell ref="O72:R72"/>
    <mergeCell ref="H73:K73"/>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1876</v>
      </c>
      <c r="AZ2" s="1273"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报告用面积表!D415</f>
        <v>2227.66</v>
      </c>
      <c r="B3" s="14">
        <f>IF(C3="否",G5-AT5,G5)</f>
        <v>39021.709999999977</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6"/>
      <c r="C5" s="1806"/>
      <c r="D5" s="1809"/>
      <c r="E5" s="16" t="s">
        <v>1</v>
      </c>
      <c r="F5" s="16">
        <f>SUM(F13:F587)</f>
        <v>0</v>
      </c>
      <c r="G5" s="16">
        <f>SUM(G13:G587)</f>
        <v>39021.709999999977</v>
      </c>
      <c r="H5" s="16">
        <f t="shared" ref="H5:AT5" si="0">SUM(H13:H656)</f>
        <v>39021.709999999977</v>
      </c>
      <c r="I5" s="16">
        <f t="shared" si="0"/>
        <v>39021.709999999977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39021.709999999977</v>
      </c>
      <c r="BA5" s="18">
        <f t="shared" si="1"/>
        <v>39021.709999999977</v>
      </c>
      <c r="BB5" s="18">
        <f t="shared" si="1"/>
        <v>39021.709999999977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2227.66</v>
      </c>
      <c r="F6" s="16" t="s">
        <v>1</v>
      </c>
      <c r="G6" s="16" t="s">
        <v>2</v>
      </c>
      <c r="H6" s="20">
        <f>SUMIF(I$12:AB$12,"总值",I6:AB6)</f>
        <v>2227.66</v>
      </c>
      <c r="I6" s="16">
        <f t="shared" ref="I6:AB6" si="2">ROUND($A$3*I5/$B$3,2)</f>
        <v>2227.66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2227.66</v>
      </c>
      <c r="AZ6" s="16" t="s">
        <v>3</v>
      </c>
      <c r="BA6" s="16">
        <f>ROUND($AY$6*BA5/$AZ$5,2)</f>
        <v>2227.66</v>
      </c>
      <c r="BB6" s="16">
        <f>ROUND($AY$6*BB5/$AZ$5,2)</f>
        <v>2227.66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1889</v>
      </c>
      <c r="AV7" s="23" t="s">
        <v>1890</v>
      </c>
      <c r="AW7" s="2167" t="s">
        <v>1891</v>
      </c>
      <c r="AX7" s="23" t="s">
        <v>1884</v>
      </c>
      <c r="AY7" s="1806"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21"/>
      <c r="K8" s="1821"/>
      <c r="L8" s="1821"/>
      <c r="M8" s="1821"/>
      <c r="N8" s="1821"/>
      <c r="O8" s="1821"/>
      <c r="P8" s="1821"/>
      <c r="Q8" s="1821"/>
      <c r="R8" s="1821"/>
      <c r="S8" s="1821"/>
      <c r="T8" s="1821"/>
      <c r="U8" s="1821"/>
      <c r="V8" s="2187"/>
      <c r="W8" s="1821"/>
      <c r="X8" s="1821"/>
      <c r="Y8" s="1821"/>
      <c r="Z8" s="1821"/>
      <c r="AA8" s="2187"/>
      <c r="AB8" s="2188"/>
      <c r="AC8" s="984" t="s">
        <v>1895</v>
      </c>
      <c r="AD8" s="2189"/>
      <c r="AE8" s="2181"/>
      <c r="AF8" s="1821"/>
      <c r="AG8" s="1821"/>
      <c r="AH8" s="1821"/>
      <c r="AI8" s="1821"/>
      <c r="AJ8" s="1821"/>
      <c r="AK8" s="1821"/>
      <c r="AL8" s="1821"/>
      <c r="AM8" s="1821"/>
      <c r="AN8" s="1821"/>
      <c r="AO8" s="1821"/>
      <c r="AP8" s="1821"/>
      <c r="AQ8" s="1821"/>
      <c r="AR8" s="1821"/>
      <c r="AS8" s="1821"/>
      <c r="AT8" s="1295" t="s">
        <v>1896</v>
      </c>
      <c r="AU8" s="2183" t="s">
        <v>1897</v>
      </c>
      <c r="AV8" s="1295"/>
      <c r="AW8" s="2166"/>
      <c r="AX8" s="1295"/>
      <c r="AY8" s="2167"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1900</v>
      </c>
      <c r="I9" s="2192" t="s">
        <v>3081</v>
      </c>
      <c r="J9" s="984"/>
      <c r="K9" s="2192"/>
      <c r="L9" s="984"/>
      <c r="M9" s="2192"/>
      <c r="N9" s="984"/>
      <c r="O9" s="2192"/>
      <c r="P9" s="984"/>
      <c r="Q9" s="2192"/>
      <c r="R9" s="984"/>
      <c r="S9" s="2192"/>
      <c r="T9" s="984"/>
      <c r="U9" s="2192"/>
      <c r="V9" s="984"/>
      <c r="W9" s="2192"/>
      <c r="X9" s="2193"/>
      <c r="Y9" s="2192"/>
      <c r="Z9" s="984"/>
      <c r="AA9" s="2192"/>
      <c r="AB9" s="984"/>
      <c r="AC9" s="2184"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4"/>
      <c r="AT9" s="2183"/>
      <c r="AU9" s="2183" t="s">
        <v>1903</v>
      </c>
      <c r="AV9" s="1295"/>
      <c r="AW9" s="2166"/>
      <c r="AX9" s="1295"/>
      <c r="AY9" s="28"/>
      <c r="AZ9" s="28" t="s">
        <v>1893</v>
      </c>
      <c r="BA9" s="2195" t="s">
        <v>1904</v>
      </c>
      <c r="BB9" s="2196"/>
      <c r="BC9" s="1341"/>
      <c r="BD9" s="1341"/>
      <c r="BE9" s="1341"/>
      <c r="BF9" s="1341"/>
      <c r="BG9" s="1341"/>
      <c r="BH9" s="1341"/>
      <c r="BI9" s="1341"/>
      <c r="BJ9" s="1341"/>
      <c r="BK9" s="2197"/>
      <c r="BL9" s="15" t="s">
        <v>1905</v>
      </c>
      <c r="BM9" s="1821"/>
      <c r="BN9" s="2186"/>
      <c r="BO9" s="1821"/>
      <c r="BP9" s="1821"/>
      <c r="BQ9" s="1821"/>
      <c r="BR9" s="1821"/>
      <c r="BS9" s="1821"/>
      <c r="BT9" s="26"/>
    </row>
    <row r="10" spans="1:72" s="2190" customFormat="1" ht="12.75">
      <c r="A10" s="2183"/>
      <c r="B10" s="2183"/>
      <c r="C10" s="2183"/>
      <c r="D10" s="2183"/>
      <c r="E10" s="2183"/>
      <c r="F10" s="2183"/>
      <c r="G10" s="1295"/>
      <c r="H10" s="28"/>
      <c r="I10" s="2192" t="s">
        <v>3082</v>
      </c>
      <c r="J10" s="984"/>
      <c r="K10" s="2198"/>
      <c r="L10" s="984"/>
      <c r="M10" s="2198"/>
      <c r="N10" s="984"/>
      <c r="O10" s="2198"/>
      <c r="P10" s="984"/>
      <c r="Q10" s="2198"/>
      <c r="R10" s="984"/>
      <c r="S10" s="2198"/>
      <c r="T10" s="984"/>
      <c r="U10" s="2198"/>
      <c r="V10" s="984"/>
      <c r="W10" s="2198"/>
      <c r="X10" s="984"/>
      <c r="Y10" s="2198"/>
      <c r="Z10" s="984"/>
      <c r="AA10" s="2198"/>
      <c r="AB10" s="984"/>
      <c r="AC10" s="1295"/>
      <c r="AD10" s="15" t="s">
        <v>1906</v>
      </c>
      <c r="AE10" s="2199"/>
      <c r="AF10" s="15" t="s">
        <v>1906</v>
      </c>
      <c r="AG10" s="2199"/>
      <c r="AH10" s="15" t="s">
        <v>1907</v>
      </c>
      <c r="AI10" s="2199"/>
      <c r="AJ10" s="15" t="s">
        <v>1907</v>
      </c>
      <c r="AK10" s="2199"/>
      <c r="AL10" s="15" t="s">
        <v>1908</v>
      </c>
      <c r="AM10" s="1301"/>
      <c r="AN10" s="15" t="s">
        <v>1908</v>
      </c>
      <c r="AO10" s="1301"/>
      <c r="AP10" s="15" t="s">
        <v>1909</v>
      </c>
      <c r="AQ10" s="1301"/>
      <c r="AR10" s="15" t="s">
        <v>1909</v>
      </c>
      <c r="AS10" s="1301"/>
      <c r="AT10" s="2183"/>
      <c r="AU10" s="2183"/>
      <c r="AV10" s="1295"/>
      <c r="AW10" s="2166"/>
      <c r="AX10" s="1295"/>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3083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1910</v>
      </c>
      <c r="AE11" s="1822"/>
      <c r="AF11" s="2205" t="s">
        <v>1910</v>
      </c>
      <c r="AG11" s="1822"/>
      <c r="AH11" s="2205" t="s">
        <v>1911</v>
      </c>
      <c r="AI11" s="2206"/>
      <c r="AJ11" s="2205" t="s">
        <v>1911</v>
      </c>
      <c r="AK11" s="1822"/>
      <c r="AL11" s="1820"/>
      <c r="AM11" s="1822"/>
      <c r="AN11" s="1820"/>
      <c r="AO11" s="1822"/>
      <c r="AP11" s="1820"/>
      <c r="AQ11" s="1822"/>
      <c r="AR11" s="1820"/>
      <c r="AS11" s="1822"/>
      <c r="AT11" s="2166"/>
      <c r="AU11" s="2183"/>
      <c r="AV11" s="1295"/>
      <c r="AW11" s="2166"/>
      <c r="AX11" s="1295"/>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0"/>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平层住宅</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3085</v>
      </c>
      <c r="E13" s="16">
        <f>IF($C$3="是",ROUND($A$3*G13/$B$3,2),ROUND($A$3*(G13-AT13)/$B$3,2))</f>
        <v>2227.66</v>
      </c>
      <c r="F13" s="32"/>
      <c r="G13" s="33">
        <f>H13+AC13+AT13</f>
        <v>39021.709999999977</v>
      </c>
      <c r="H13" s="20">
        <f>SUMIF(I$12:AB$12,"总值",I13:AB13)</f>
        <v>39021.709999999977</v>
      </c>
      <c r="I13" s="2215">
        <f>面积表!E1</f>
        <v>39021.709999999977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2227.66</v>
      </c>
      <c r="AZ13" s="16">
        <f>BA13+BL13</f>
        <v>39021.709999999977</v>
      </c>
      <c r="BA13" s="16">
        <f>SUM(BB13:BK13)</f>
        <v>39021.709999999977</v>
      </c>
      <c r="BB13" s="16">
        <f>IF($D13="是",I13-J13,0)</f>
        <v>39021.709999999977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5" sqref="I2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5"/>
      <c r="C1" s="1395"/>
      <c r="D1" s="1395"/>
      <c r="E1" s="1395"/>
      <c r="F1" s="1395"/>
      <c r="G1" s="1395"/>
      <c r="H1" s="1395"/>
      <c r="I1" s="1395"/>
      <c r="J1" s="1395"/>
      <c r="K1" s="1395"/>
      <c r="L1" s="1395"/>
      <c r="M1" s="1395"/>
      <c r="N1" s="1395"/>
      <c r="O1" s="1395"/>
      <c r="P1" s="1395"/>
    </row>
    <row r="2" spans="1:16" ht="15">
      <c r="A2" s="3096" t="s">
        <v>1940</v>
      </c>
      <c r="B2" s="3096"/>
      <c r="C2" s="3096"/>
      <c r="D2" s="970" t="s">
        <v>1916</v>
      </c>
      <c r="E2" s="2228" t="s">
        <v>1917</v>
      </c>
      <c r="F2" s="1395"/>
      <c r="G2" s="2229"/>
      <c r="H2" s="2230"/>
      <c r="I2" s="2231" t="s">
        <v>1941</v>
      </c>
      <c r="J2" s="1395"/>
      <c r="K2" s="1395"/>
      <c r="L2" s="1395"/>
      <c r="M2" s="1395"/>
      <c r="N2" s="1430"/>
      <c r="O2" s="1395"/>
      <c r="P2" s="1395"/>
    </row>
    <row r="3" spans="1:16" ht="15.75" thickBot="1">
      <c r="A3" s="3097" t="s">
        <v>1914</v>
      </c>
      <c r="B3" s="3097"/>
      <c r="C3" s="3097"/>
      <c r="D3" s="46">
        <f>'数据-基础表'!AY6</f>
        <v>2227.66</v>
      </c>
      <c r="E3" s="46">
        <f>'数据-基础表'!AZ5</f>
        <v>39021.709999999977</v>
      </c>
      <c r="F3" s="1395"/>
      <c r="G3" s="1402"/>
      <c r="H3" s="1250" t="s">
        <v>1915</v>
      </c>
      <c r="I3" s="55">
        <f>ROUND('数据-基础表'!B3/'数据-基础表'!A3,2)</f>
        <v>17.52</v>
      </c>
      <c r="J3" s="1395"/>
      <c r="K3" s="1395"/>
      <c r="L3" s="1395"/>
      <c r="M3" s="1395"/>
      <c r="N3" s="1430"/>
      <c r="O3" s="1395"/>
      <c r="P3" s="1395"/>
    </row>
    <row r="4" spans="1:16" ht="15">
      <c r="A4" s="3098"/>
      <c r="B4" s="3099"/>
      <c r="C4" s="3100"/>
      <c r="D4" s="2232" t="s">
        <v>1916</v>
      </c>
      <c r="E4" s="2233" t="s">
        <v>1917</v>
      </c>
      <c r="F4" s="1395"/>
      <c r="G4" s="2234" t="s">
        <v>1942</v>
      </c>
      <c r="H4" s="1250" t="s">
        <v>1922</v>
      </c>
      <c r="I4" s="55">
        <f>ROUND(SUMIF('数据-基础表'!I9:AS9,"地上",'数据-基础表'!I5:AS5)/'数据-基础表'!A3,2)</f>
        <v>17.52</v>
      </c>
      <c r="J4" s="1395"/>
      <c r="K4" s="1395"/>
      <c r="L4" s="1395"/>
      <c r="M4" s="1395"/>
      <c r="N4" s="1430"/>
      <c r="O4" s="1395"/>
      <c r="P4" s="1395"/>
    </row>
    <row r="5" spans="1:16">
      <c r="A5" s="47" t="s">
        <v>1918</v>
      </c>
      <c r="B5" s="3101" t="s">
        <v>1919</v>
      </c>
      <c r="C5" s="3101"/>
      <c r="D5" s="48">
        <f>ROUND($D$3*E5/$E$3,2)</f>
        <v>2227.66</v>
      </c>
      <c r="E5" s="49">
        <f>SUMIF('数据-基础表'!$11:$11,"住宅",'数据-基础表'!$5:$5)</f>
        <v>39021.709999999977</v>
      </c>
      <c r="F5" s="1395"/>
      <c r="G5" s="1402"/>
      <c r="H5" s="1250" t="s">
        <v>1915</v>
      </c>
      <c r="I5" s="55">
        <f>ROUND(E31/D31,2)</f>
        <v>17.52</v>
      </c>
      <c r="J5" s="1395"/>
      <c r="K5" s="1395"/>
      <c r="L5" s="1395"/>
      <c r="M5" s="1395"/>
      <c r="N5" s="1395"/>
      <c r="O5" s="1395"/>
      <c r="P5" s="1395"/>
    </row>
    <row r="6" spans="1:16" ht="15" thickBot="1">
      <c r="A6" s="2235"/>
      <c r="B6" s="3101" t="s">
        <v>1920</v>
      </c>
      <c r="C6" s="3101"/>
      <c r="D6" s="48">
        <f>ROUND($D$3*E6/$E$3,2)</f>
        <v>0</v>
      </c>
      <c r="E6" s="49">
        <f>E3-E5</f>
        <v>0</v>
      </c>
      <c r="F6" s="1395"/>
      <c r="G6" s="2236" t="s">
        <v>1921</v>
      </c>
      <c r="H6" s="1402" t="s">
        <v>1922</v>
      </c>
      <c r="I6" s="942">
        <f>ROUND(F31/D31,2)</f>
        <v>17.52</v>
      </c>
      <c r="J6" s="1395"/>
      <c r="K6" s="1395"/>
      <c r="L6" s="1395"/>
      <c r="M6" s="1395"/>
      <c r="N6" s="1395"/>
      <c r="O6" s="1395"/>
      <c r="P6" s="1395"/>
    </row>
    <row r="7" spans="1:16" ht="15">
      <c r="A7" s="3093"/>
      <c r="B7" s="3094"/>
      <c r="C7" s="3095"/>
      <c r="D7" s="2232" t="s">
        <v>1916</v>
      </c>
      <c r="E7" s="2237" t="s">
        <v>1923</v>
      </c>
      <c r="F7" s="1395"/>
      <c r="G7" s="2229" t="s">
        <v>1924</v>
      </c>
      <c r="H7" s="64"/>
      <c r="I7" s="420"/>
      <c r="J7" s="1395"/>
      <c r="K7" s="1395"/>
      <c r="L7" s="1395"/>
      <c r="M7" s="1395"/>
      <c r="N7" s="1395"/>
      <c r="O7" s="1395"/>
      <c r="P7" s="1395"/>
    </row>
    <row r="8" spans="1:16">
      <c r="A8" s="47" t="s">
        <v>1925</v>
      </c>
      <c r="B8" s="50" t="s">
        <v>1926</v>
      </c>
      <c r="C8" s="48" t="s">
        <v>1927</v>
      </c>
      <c r="D8" s="48">
        <f t="shared" ref="D8:D15" si="0">ROUND($D$3*E8/$E$3,2)</f>
        <v>2227.66</v>
      </c>
      <c r="E8" s="51">
        <f>SUMIF('数据-基础表'!BB10:BK10,"地上",'数据-基础表'!BB5:BK5)</f>
        <v>39021.709999999977</v>
      </c>
      <c r="F8" s="1395"/>
      <c r="G8" s="2238"/>
      <c r="H8" s="2238"/>
      <c r="I8" s="1395"/>
      <c r="J8" s="1395"/>
      <c r="K8" s="1395"/>
      <c r="L8" s="1395"/>
      <c r="M8" s="1395"/>
      <c r="N8" s="1395"/>
      <c r="O8" s="1395"/>
      <c r="P8" s="1395"/>
    </row>
    <row r="9" spans="1:16">
      <c r="A9" s="2239"/>
      <c r="B9" s="2240"/>
      <c r="C9" s="48" t="s">
        <v>1928</v>
      </c>
      <c r="D9" s="48">
        <f t="shared" si="0"/>
        <v>0</v>
      </c>
      <c r="E9" s="52">
        <v>0</v>
      </c>
      <c r="F9" s="1395"/>
      <c r="G9" s="2238"/>
      <c r="H9" s="2238"/>
      <c r="I9" s="1395"/>
      <c r="J9" s="1395"/>
      <c r="K9" s="1395"/>
      <c r="L9" s="1395"/>
      <c r="M9" s="1395"/>
      <c r="N9" s="1395"/>
      <c r="O9" s="1395"/>
      <c r="P9" s="1395"/>
    </row>
    <row r="10" spans="1:16">
      <c r="A10" s="2239"/>
      <c r="B10" s="2240"/>
      <c r="C10" s="48" t="s">
        <v>1937</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1929</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1930</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1931</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1943</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1938</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1932</v>
      </c>
      <c r="D16" s="50">
        <f>SUM(D8:D15)</f>
        <v>2227.66</v>
      </c>
      <c r="E16" s="53">
        <f>SUM(E8:E15)</f>
        <v>39021.709999999977</v>
      </c>
      <c r="F16" s="1395"/>
      <c r="G16" s="2238"/>
      <c r="H16" s="2241" t="s">
        <v>1944</v>
      </c>
      <c r="I16" s="2242"/>
      <c r="J16" s="1395"/>
      <c r="K16" s="3090" t="s">
        <v>1944</v>
      </c>
      <c r="L16" s="3091"/>
      <c r="M16" s="3091"/>
      <c r="N16" s="3091"/>
      <c r="O16" s="3091"/>
      <c r="P16" s="3092"/>
    </row>
    <row r="17" spans="1:19" ht="15">
      <c r="A17" s="2243" t="s">
        <v>1945</v>
      </c>
      <c r="B17" s="2244" t="s">
        <v>1946</v>
      </c>
      <c r="C17" s="2245" t="s">
        <v>1947</v>
      </c>
      <c r="D17" s="2246" t="s">
        <v>1935</v>
      </c>
      <c r="E17" s="2247" t="s">
        <v>1936</v>
      </c>
      <c r="F17" s="2248"/>
      <c r="G17" s="2249"/>
      <c r="H17" s="2250" t="s">
        <v>1948</v>
      </c>
      <c r="I17" s="2251" t="s">
        <v>1933</v>
      </c>
      <c r="J17" s="1395"/>
      <c r="K17" s="3087" t="s">
        <v>1949</v>
      </c>
      <c r="L17" s="3088"/>
      <c r="M17" s="3089"/>
      <c r="N17" s="3087" t="s">
        <v>1950</v>
      </c>
      <c r="O17" s="3088"/>
      <c r="P17" s="3089"/>
      <c r="R17" s="2229" t="s">
        <v>1951</v>
      </c>
      <c r="S17" s="64"/>
    </row>
    <row r="18" spans="1:19" ht="15">
      <c r="A18" s="2239"/>
      <c r="B18" s="2252"/>
      <c r="C18" s="2253"/>
      <c r="D18" s="2254"/>
      <c r="E18" s="2255" t="s">
        <v>1952</v>
      </c>
      <c r="F18" s="2256" t="s">
        <v>1953</v>
      </c>
      <c r="G18" s="2257" t="s">
        <v>1954</v>
      </c>
      <c r="H18" s="1265" t="s">
        <v>1955</v>
      </c>
      <c r="I18" s="2258" t="s">
        <v>1956</v>
      </c>
      <c r="J18" s="1395"/>
      <c r="K18" s="1265" t="s">
        <v>1957</v>
      </c>
      <c r="L18" s="2259" t="s">
        <v>1958</v>
      </c>
      <c r="M18" s="1049" t="s">
        <v>1959</v>
      </c>
      <c r="N18" s="1265" t="s">
        <v>1957</v>
      </c>
      <c r="O18" s="2259" t="s">
        <v>1958</v>
      </c>
      <c r="P18" s="1049" t="s">
        <v>1959</v>
      </c>
      <c r="R18" s="1250" t="s">
        <v>1960</v>
      </c>
      <c r="S18" s="1250" t="s">
        <v>1961</v>
      </c>
    </row>
    <row r="19" spans="1:19">
      <c r="A19" s="2260"/>
      <c r="B19" s="50" t="s">
        <v>1934</v>
      </c>
      <c r="C19" s="2976" t="s">
        <v>3084</v>
      </c>
      <c r="D19" s="48">
        <f>ROUND($D$3*E19/$E$3,2)</f>
        <v>2227.66</v>
      </c>
      <c r="E19" s="56">
        <f t="shared" ref="E19:E26" si="1">SUM(F19:G19)</f>
        <v>39021.709999999977</v>
      </c>
      <c r="F19" s="57">
        <f>'数据-基础表'!I13</f>
        <v>39021.709999999977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2227.66</v>
      </c>
      <c r="S19" s="1251">
        <f t="shared" si="5"/>
        <v>39021.709999999977</v>
      </c>
    </row>
    <row r="20" spans="1:19">
      <c r="A20" s="2264"/>
      <c r="B20" s="50" t="s">
        <v>1962</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1962</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1963</v>
      </c>
      <c r="D27" s="1396">
        <f>SUM(D19:D26)</f>
        <v>2227.66</v>
      </c>
      <c r="E27" s="1397">
        <f>IF(SUM(E19:E26)='数据-基础表'!BA5,SUM(E19:E26),IF(F27="地上面积有误","面积有误","地下面积有误"))</f>
        <v>39021.709999999977</v>
      </c>
      <c r="F27" s="1396">
        <f>IF(SUM(F19:F26)=E8,SUM(F19:F26),"地上面积有误")</f>
        <v>39021.709999999977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2227.66</v>
      </c>
      <c r="S27" s="1250">
        <f>IF(SUM(S19:S26)=$E$3,SUM(S19:S26),SUM(S19:S26)&amp;"误差"&amp;ROUND(SUM(S19:S26)-E3,2))</f>
        <v>39021.709999999977</v>
      </c>
    </row>
    <row r="28" spans="1:19">
      <c r="A28" s="2264"/>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1964</v>
      </c>
      <c r="C29" s="2268"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1967</v>
      </c>
      <c r="D31" s="729">
        <f>D27+D30</f>
        <v>2227.66</v>
      </c>
      <c r="E31" s="729">
        <f>E27+E30</f>
        <v>39021.709999999977</v>
      </c>
      <c r="F31" s="730">
        <f>F27+F30</f>
        <v>39021.709999999977</v>
      </c>
      <c r="G31" s="731">
        <f>G27+G30</f>
        <v>0</v>
      </c>
      <c r="H31" s="1395"/>
      <c r="I31" s="1395"/>
      <c r="J31" s="1395"/>
      <c r="K31" s="1395"/>
      <c r="L31" s="1395"/>
      <c r="M31" s="1395"/>
      <c r="N31" s="1395"/>
      <c r="O31" s="1395"/>
      <c r="P31" s="1395"/>
    </row>
    <row r="32" spans="1:19">
      <c r="A32" s="2234"/>
      <c r="B32" s="2234" t="s">
        <v>1968</v>
      </c>
      <c r="C32" s="2234"/>
      <c r="D32" s="2234"/>
      <c r="E32" s="1277">
        <f>SUMIF(C19:C26,"*住宅*",E19:E26)</f>
        <v>39021.709999999977</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Q21" sqref="Q21"/>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1970</v>
      </c>
      <c r="B2" s="1269">
        <f>项目基本情况!D3</f>
        <v>43236</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1977</v>
      </c>
      <c r="B5" s="2291" t="s">
        <v>1978</v>
      </c>
      <c r="C5" s="2292" t="s">
        <v>1979</v>
      </c>
      <c r="D5" s="2293" t="s">
        <v>1980</v>
      </c>
      <c r="E5" s="1271" t="s">
        <v>1981</v>
      </c>
      <c r="F5" s="2294" t="s">
        <v>1982</v>
      </c>
      <c r="G5" s="1271" t="s">
        <v>1983</v>
      </c>
      <c r="H5" s="1271" t="s">
        <v>1984</v>
      </c>
      <c r="I5" s="1271" t="s">
        <v>1985</v>
      </c>
      <c r="J5" s="2295" t="s">
        <v>1986</v>
      </c>
      <c r="K5" s="2296" t="s">
        <v>1987</v>
      </c>
      <c r="L5" s="2297" t="s">
        <v>1988</v>
      </c>
      <c r="M5" s="2298" t="s">
        <v>1989</v>
      </c>
      <c r="N5" s="2299" t="s">
        <v>3086</v>
      </c>
      <c r="O5" s="2297" t="s">
        <v>1990</v>
      </c>
      <c r="P5" s="2300" t="s">
        <v>1991</v>
      </c>
      <c r="Q5" s="69" t="s">
        <v>1992</v>
      </c>
      <c r="R5" s="2301" t="s">
        <v>1993</v>
      </c>
      <c r="S5" s="2302" t="s">
        <v>1994</v>
      </c>
      <c r="T5" s="2303" t="s">
        <v>1995</v>
      </c>
      <c r="U5" s="1270" t="s">
        <v>1996</v>
      </c>
      <c r="V5" s="1271" t="s">
        <v>1997</v>
      </c>
      <c r="W5" s="1271" t="s">
        <v>1998</v>
      </c>
      <c r="X5" s="71"/>
      <c r="Y5" s="70" t="s">
        <v>1999</v>
      </c>
      <c r="Z5" s="2304" t="s">
        <v>1996</v>
      </c>
      <c r="AA5" s="1271" t="s">
        <v>1997</v>
      </c>
      <c r="AB5" s="1271" t="s">
        <v>1998</v>
      </c>
      <c r="AC5" s="71"/>
      <c r="AD5" s="71" t="s">
        <v>1999</v>
      </c>
      <c r="AE5" s="1270" t="s">
        <v>2000</v>
      </c>
      <c r="AF5" s="1271" t="s">
        <v>2001</v>
      </c>
      <c r="AG5" s="70" t="s">
        <v>2002</v>
      </c>
      <c r="AH5" s="1270" t="s">
        <v>2003</v>
      </c>
      <c r="AI5" s="2304" t="s">
        <v>2004</v>
      </c>
      <c r="AJ5" s="2304" t="s">
        <v>2005</v>
      </c>
      <c r="AK5" s="1271" t="s">
        <v>2006</v>
      </c>
      <c r="AL5" s="1271" t="s">
        <v>2007</v>
      </c>
      <c r="AM5" s="70" t="s">
        <v>2008</v>
      </c>
      <c r="AN5" s="2305" t="s">
        <v>2009</v>
      </c>
      <c r="AO5" s="2075" t="s">
        <v>2010</v>
      </c>
      <c r="AP5" s="1252"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住宅</v>
      </c>
      <c r="B6" s="2308" t="str">
        <f>IF(A6=0,"","经营性")</f>
        <v>经营性</v>
      </c>
      <c r="C6" s="2309" t="s">
        <v>3082</v>
      </c>
      <c r="D6" s="1054">
        <f>SUMIF(项目基本情况!D$12:I$12,C6,项目基本情况!D$14:I$14)</f>
        <v>70</v>
      </c>
      <c r="E6" s="1051">
        <f>IF(B6="","",SUMIF(项目基本情况!D$12:I$12,C6,项目基本情况!D$13:I$13))</f>
        <v>50537</v>
      </c>
      <c r="F6" s="72">
        <f>SUMIF(项目基本情况!D$12:I$12,C6,项目基本情况!D$15:I$15)</f>
        <v>20</v>
      </c>
      <c r="G6" s="73">
        <f>IF(ISERROR(ROUND(POWER(1+H6,D6-F6)*(POWER(1+H6,F6)-1)/(POWER(1+H6,D6)-1),3)),0,ROUND(POWER(1+H6,D6-F6)*(POWER(1+H6,F6)-1)/(POWER(1+H6,D6)-1),3))</f>
        <v>0.58099999999999996</v>
      </c>
      <c r="H6" s="802">
        <v>0.04</v>
      </c>
      <c r="I6" s="802">
        <v>4.4999999999999998E-2</v>
      </c>
      <c r="J6" s="74">
        <v>8.5000000000000006E-2</v>
      </c>
      <c r="K6" s="1254">
        <f>SUMIF('数据-汇总表'!C$19:C$33,A6,'数据-汇总表'!E$19:E$33)</f>
        <v>39021.709999999977</v>
      </c>
      <c r="L6" s="803">
        <v>3500</v>
      </c>
      <c r="M6" s="75">
        <f t="shared" ref="M6:M14" si="0">ROUND(K6*L6/10000,0)</f>
        <v>13658</v>
      </c>
      <c r="N6" s="92">
        <f>ROUND(1-(1-0%)*(2018-2012)/60,2)</f>
        <v>0.9</v>
      </c>
      <c r="O6" s="75" t="str">
        <f>IF($N$5="成新度","——",ROUND(M6*N6,0))</f>
        <v>——</v>
      </c>
      <c r="P6" s="76" t="str">
        <f>IF($N$5="成新度","——",M6-O6)</f>
        <v>——</v>
      </c>
      <c r="Q6" s="804">
        <v>0.15</v>
      </c>
      <c r="R6" s="77">
        <f ca="1">SUMIF('数据-汇总表'!C$19:C$33,A6,'数据-汇总表'!R$19:R$27)</f>
        <v>2227.66</v>
      </c>
      <c r="S6" s="54">
        <f>IF('数据-汇总表'!$I$17="按面积比例",SUMIF('数据-汇总表'!C$19:C$33,A6,'数据-汇总表'!K$19:K$33),SUMIF('数据-汇总表'!C$19:C$33,A6,'数据-汇总表'!N$19:N$33))</f>
        <v>0</v>
      </c>
      <c r="T6" s="1446">
        <f>ROUND($L$14*S6/10000,0)</f>
        <v>0</v>
      </c>
      <c r="U6" s="78">
        <v>2.8</v>
      </c>
      <c r="V6" s="79">
        <v>3.5000000000000003E-2</v>
      </c>
      <c r="W6" s="79">
        <v>0.1</v>
      </c>
      <c r="X6" s="1264"/>
      <c r="Y6" s="80">
        <f>N6</f>
        <v>0.9</v>
      </c>
      <c r="Z6" s="81"/>
      <c r="AA6" s="74"/>
      <c r="AB6" s="74"/>
      <c r="AC6" s="1264"/>
      <c r="AD6" s="82"/>
      <c r="AE6" s="1265">
        <f ca="1">IF(AN6="",0,SUMIF(INDIRECT("'"&amp;AN6&amp;"'"&amp;"!E:E"),$AE$5,INDIRECT("'"&amp;AN6&amp;"'"&amp;"!F:F")))</f>
        <v>20</v>
      </c>
      <c r="AF6" s="1807"/>
      <c r="AG6" s="147">
        <f>IF(AF6="",0,AE6-AF6)</f>
        <v>0</v>
      </c>
      <c r="AH6" s="83"/>
      <c r="AI6" s="85">
        <v>365</v>
      </c>
      <c r="AJ6" s="86"/>
      <c r="AK6" s="87">
        <v>1.4999999999999999E-2</v>
      </c>
      <c r="AL6" s="88">
        <v>1.5E-3</v>
      </c>
      <c r="AM6" s="89">
        <v>0.01</v>
      </c>
      <c r="AN6" s="2310" t="s">
        <v>3093</v>
      </c>
      <c r="AO6" s="55">
        <f ca="1">SUMIF(INDIRECT("'"&amp;AN6&amp;"'"&amp;"!A:A"),"总价",INDIRECT("'"&amp;AN6&amp;"'"&amp;"!B:B"))</f>
        <v>45557</v>
      </c>
      <c r="AP6" s="2311">
        <f>IF(C6="住宅",K6*L6,0)</f>
        <v>136575984.99999991</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2014</v>
      </c>
      <c r="B14" s="2308" t="s">
        <v>2015</v>
      </c>
      <c r="C14" s="2313"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2016</v>
      </c>
      <c r="B15" s="2308" t="s">
        <v>2015</v>
      </c>
      <c r="C15" s="2313"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2018</v>
      </c>
      <c r="B16" s="97"/>
      <c r="C16" s="1008"/>
      <c r="D16" s="2315"/>
      <c r="E16" s="97"/>
      <c r="F16" s="97"/>
      <c r="G16" s="98">
        <f>ROUND(SUMPRODUCT(G6:G13,K6:K13)/SUMPRODUCT((G6:G13&gt;0)*(K6:K13)),3)</f>
        <v>0.58099999999999996</v>
      </c>
      <c r="H16" s="99">
        <f>ROUND(SUMPRODUCT(H6:H13,K6:K13)/SUMPRODUCT((H6:H13&gt;0)*(K6:K13)),3)</f>
        <v>0.04</v>
      </c>
      <c r="I16" s="100"/>
      <c r="J16" s="100"/>
      <c r="K16" s="101">
        <f>SUM(K6:K15)</f>
        <v>39021.709999999977</v>
      </c>
      <c r="L16" s="102">
        <f>ROUND(M16*10000/SUM(K6:K14),0)</f>
        <v>3500</v>
      </c>
      <c r="M16" s="102">
        <f>SUM(M6:M14)</f>
        <v>13658</v>
      </c>
      <c r="N16" s="103">
        <f>ROUND(SUMPRODUCT(M6:M14,N6:N14)/M16,3)</f>
        <v>0.9</v>
      </c>
      <c r="O16" s="102">
        <f>SUM(O6:O14)</f>
        <v>0</v>
      </c>
      <c r="P16" s="102">
        <f>SUM(P6:P14)</f>
        <v>0</v>
      </c>
      <c r="Q16" s="104">
        <f>ROUND(SUMPRODUCT(Q6:Q13,K6:K13)/SUMPRODUCT((Q6:Q13&gt;0)*(K6:K13)),2)</f>
        <v>0.15</v>
      </c>
      <c r="R16" s="1258">
        <f ca="1">SUM(R6:R13)</f>
        <v>2227.66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2020</v>
      </c>
      <c r="B19" s="112">
        <v>0</v>
      </c>
      <c r="C19" s="2278" t="s">
        <v>2021</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2022</v>
      </c>
      <c r="B20" s="113">
        <v>2</v>
      </c>
      <c r="C20" s="2278" t="s">
        <v>2023</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2024</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2025</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2026</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2027</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2028</v>
      </c>
      <c r="B26" s="2321" t="s">
        <v>2029</v>
      </c>
      <c r="C26" s="2322" t="s">
        <v>2030</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2031</v>
      </c>
      <c r="B27" s="116">
        <v>160</v>
      </c>
      <c r="C27" s="1767" t="s">
        <v>2032</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2033</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2034</v>
      </c>
      <c r="B29" s="121"/>
      <c r="C29" s="1767" t="s">
        <v>2035</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2036</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2037</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2038</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2039</v>
      </c>
      <c r="B33" s="726">
        <v>0.03</v>
      </c>
      <c r="C33" s="1766" t="s">
        <v>2040</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2041</v>
      </c>
      <c r="B34" s="122">
        <v>0.03</v>
      </c>
      <c r="C34" s="1766" t="s">
        <v>2042</v>
      </c>
      <c r="D34" s="2279" t="s">
        <v>2043</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2044</v>
      </c>
      <c r="B35" s="119">
        <f>B30</f>
        <v>200</v>
      </c>
      <c r="C35" s="1766" t="s">
        <v>2045</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2046</v>
      </c>
      <c r="B36" s="123">
        <v>1.4999999999999999E-2</v>
      </c>
      <c r="C36" s="1766" t="s">
        <v>2047</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2048</v>
      </c>
      <c r="B37" s="124">
        <v>0.01</v>
      </c>
      <c r="C37" s="1766" t="s">
        <v>2049</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2050</v>
      </c>
      <c r="B38" s="122">
        <v>0.01</v>
      </c>
      <c r="C38" s="1766" t="s">
        <v>2049</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2051</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2052</v>
      </c>
      <c r="B40" s="1303">
        <f ca="1">存贷款利率!G1</f>
        <v>4.7500000000000001E-2</v>
      </c>
      <c r="C40" s="1766" t="s">
        <v>2053</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2054</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2055</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2056</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2057</v>
      </c>
      <c r="B44" s="128">
        <v>7.0000000000000007E-2</v>
      </c>
      <c r="C44" s="1766" t="s">
        <v>2058</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2059</v>
      </c>
      <c r="B45" s="126">
        <v>0.03</v>
      </c>
      <c r="C45" s="1767" t="s">
        <v>2060</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2061</v>
      </c>
      <c r="B46" s="126">
        <v>0.02</v>
      </c>
      <c r="C46" s="1767" t="s">
        <v>2062</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2063</v>
      </c>
      <c r="B47" s="129"/>
      <c r="C47" s="1767" t="s">
        <v>2064</v>
      </c>
      <c r="D47" s="2279"/>
      <c r="E47" s="2278"/>
      <c r="F47" s="2278"/>
      <c r="G47" s="2278"/>
      <c r="H47" s="2278"/>
      <c r="I47" s="2278"/>
      <c r="J47" s="2278"/>
      <c r="K47" s="168"/>
      <c r="L47" s="168"/>
      <c r="M47" s="1584"/>
      <c r="N47" s="1584"/>
      <c r="O47" s="1584"/>
      <c r="P47" s="1584"/>
      <c r="Q47" s="1584"/>
      <c r="R47" s="1584" t="s">
        <v>3097</v>
      </c>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2065</v>
      </c>
      <c r="B48" s="130">
        <v>0.03</v>
      </c>
      <c r="C48" s="1774" t="s">
        <v>2066</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2067</v>
      </c>
      <c r="B49" s="126">
        <v>5.0000000000000001E-4</v>
      </c>
      <c r="C49" s="1774" t="s">
        <v>2068</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2069</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2070</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2071</v>
      </c>
      <c r="B52" s="133">
        <f>SUMIF(A54:A63,B53,B54:B63)</f>
        <v>12</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2072</v>
      </c>
      <c r="B53" s="2337" t="s">
        <v>137</v>
      </c>
      <c r="C53" s="1430" t="s">
        <v>2073</v>
      </c>
      <c r="D53" s="2338" t="s">
        <v>2074</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2075</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2076</v>
      </c>
      <c r="B55" s="84">
        <v>24</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2077</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2078</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2079</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2080</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2081</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2082</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2083</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2084</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102" t="s">
        <v>2085</v>
      </c>
      <c r="B1" s="3103"/>
      <c r="C1" s="3103"/>
      <c r="D1" s="3103"/>
      <c r="E1" s="3103"/>
      <c r="F1" s="3103"/>
      <c r="G1" s="310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54">
      <c r="A3" s="415" t="s">
        <v>2088</v>
      </c>
      <c r="B3" s="1271" t="s">
        <v>2089</v>
      </c>
      <c r="C3" s="2371" t="s">
        <v>2090</v>
      </c>
      <c r="D3" s="2372"/>
      <c r="E3" s="431" t="s">
        <v>2088</v>
      </c>
      <c r="F3" s="2373" t="s">
        <v>2091</v>
      </c>
      <c r="G3" s="2374" t="s">
        <v>2092</v>
      </c>
      <c r="H3" s="2369"/>
      <c r="I3" s="2369"/>
      <c r="J3" s="2369"/>
      <c r="K3" s="2369"/>
      <c r="L3" s="2369"/>
      <c r="M3" s="2369"/>
      <c r="N3" s="2369"/>
      <c r="O3" s="2369"/>
      <c r="P3" s="2369"/>
      <c r="Q3" s="2369"/>
      <c r="R3" s="2369"/>
    </row>
    <row r="4" spans="1:29" ht="41.25">
      <c r="A4" s="431"/>
      <c r="B4" s="1798" t="s">
        <v>2093</v>
      </c>
      <c r="C4" s="2375" t="s">
        <v>2094</v>
      </c>
      <c r="D4" s="2372"/>
      <c r="E4" s="2376"/>
      <c r="F4" s="42" t="s">
        <v>2095</v>
      </c>
      <c r="G4" s="2377" t="s">
        <v>2096</v>
      </c>
      <c r="H4" s="2369"/>
      <c r="I4" s="2369"/>
      <c r="J4" s="2369"/>
      <c r="K4" s="2369"/>
      <c r="L4" s="2369"/>
      <c r="M4" s="2369"/>
      <c r="N4" s="2369"/>
      <c r="O4" s="2369"/>
      <c r="P4" s="2369"/>
      <c r="Q4" s="2369"/>
      <c r="R4" s="2369"/>
    </row>
    <row r="5" spans="1:29" ht="41.25">
      <c r="A5" s="431"/>
      <c r="B5" s="1798" t="s">
        <v>2097</v>
      </c>
      <c r="C5" s="2375" t="s">
        <v>2098</v>
      </c>
      <c r="D5" s="2372"/>
      <c r="E5" s="2376"/>
      <c r="F5" s="1798" t="s">
        <v>2099</v>
      </c>
      <c r="G5" s="2377" t="s">
        <v>2100</v>
      </c>
      <c r="H5" s="2369"/>
      <c r="I5" s="2369"/>
      <c r="J5" s="2369"/>
      <c r="K5" s="2369"/>
      <c r="L5" s="2369"/>
      <c r="M5" s="2369"/>
      <c r="N5" s="2369"/>
      <c r="O5" s="2369"/>
      <c r="P5" s="2369"/>
      <c r="Q5" s="2369"/>
      <c r="R5" s="2369"/>
    </row>
    <row r="6" spans="1:29" ht="54">
      <c r="A6" s="431"/>
      <c r="B6" s="1798" t="s">
        <v>2101</v>
      </c>
      <c r="C6" s="2377" t="s">
        <v>2096</v>
      </c>
      <c r="D6" s="2372"/>
      <c r="E6" s="2376"/>
      <c r="F6" s="1798" t="s">
        <v>2102</v>
      </c>
      <c r="G6" s="2377" t="s">
        <v>2103</v>
      </c>
      <c r="H6" s="2369"/>
      <c r="I6" s="2369"/>
      <c r="J6" s="2369"/>
      <c r="K6" s="2369"/>
      <c r="L6" s="2369"/>
      <c r="M6" s="2369"/>
      <c r="N6" s="2369"/>
      <c r="O6" s="2369"/>
      <c r="P6" s="2369"/>
      <c r="Q6" s="2369"/>
      <c r="R6" s="2369"/>
    </row>
    <row r="7" spans="1:29" ht="41.25" thickBot="1">
      <c r="A7" s="431"/>
      <c r="B7" s="1798" t="s">
        <v>2099</v>
      </c>
      <c r="C7" s="2377" t="s">
        <v>2100</v>
      </c>
      <c r="D7" s="2378"/>
      <c r="E7" s="2379"/>
      <c r="F7" s="2380" t="s">
        <v>2104</v>
      </c>
      <c r="G7" s="2381" t="s">
        <v>2105</v>
      </c>
      <c r="H7" s="2369"/>
      <c r="I7" s="2369"/>
      <c r="J7" s="2369"/>
      <c r="K7" s="2369"/>
      <c r="L7" s="2369"/>
      <c r="M7" s="2369"/>
      <c r="N7" s="2369"/>
      <c r="O7" s="2369"/>
      <c r="P7" s="2369"/>
      <c r="Q7" s="2369"/>
      <c r="R7" s="2369"/>
    </row>
    <row r="8" spans="1:29" ht="27">
      <c r="A8" s="431"/>
      <c r="B8" s="1798" t="s">
        <v>2102</v>
      </c>
      <c r="C8" s="2377" t="s">
        <v>2103</v>
      </c>
      <c r="D8" s="2378"/>
      <c r="E8" s="2378"/>
      <c r="F8" s="1136"/>
      <c r="G8" s="1136"/>
      <c r="H8" s="2369"/>
      <c r="I8" s="2369"/>
      <c r="J8" s="2369"/>
      <c r="K8" s="2369"/>
      <c r="L8" s="2369"/>
      <c r="M8" s="2369"/>
      <c r="N8" s="2369"/>
      <c r="O8" s="2369"/>
      <c r="P8" s="2369"/>
      <c r="Q8" s="2369"/>
      <c r="R8" s="2369"/>
    </row>
    <row r="9" spans="1:29" ht="27">
      <c r="A9" s="431"/>
      <c r="B9" s="1798" t="s">
        <v>2106</v>
      </c>
      <c r="C9" s="2375" t="s">
        <v>2107</v>
      </c>
      <c r="D9" s="2372"/>
      <c r="E9" s="2378"/>
      <c r="F9" s="1136"/>
      <c r="G9" s="1136"/>
      <c r="H9" s="2369"/>
      <c r="I9" s="2369"/>
      <c r="J9" s="2369"/>
      <c r="K9" s="2369"/>
      <c r="L9" s="2369"/>
      <c r="M9" s="2369"/>
      <c r="N9" s="2369"/>
      <c r="O9" s="2369"/>
      <c r="P9" s="2369"/>
      <c r="Q9" s="2369"/>
      <c r="R9" s="2369"/>
    </row>
    <row r="10" spans="1:29" s="117" customFormat="1" ht="15.75" thickBot="1">
      <c r="A10" s="2382"/>
      <c r="B10" s="2383" t="s">
        <v>2108</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2109</v>
      </c>
      <c r="B13" s="2389"/>
      <c r="C13" s="2389"/>
      <c r="D13" s="2396"/>
      <c r="E13" s="2389"/>
      <c r="F13" s="2389"/>
      <c r="G13" s="2389"/>
    </row>
    <row r="14" spans="1:29" ht="15.75" thickBot="1">
      <c r="A14" s="2400"/>
      <c r="B14" s="2401"/>
      <c r="C14" s="2402" t="s">
        <v>2110</v>
      </c>
      <c r="D14" s="2372"/>
      <c r="E14" s="2403"/>
      <c r="F14" s="2403"/>
      <c r="G14" s="2366" t="s">
        <v>2111</v>
      </c>
    </row>
    <row r="15" spans="1:29" ht="57">
      <c r="A15" s="68" t="s">
        <v>2112</v>
      </c>
      <c r="B15" s="1270" t="s">
        <v>2089</v>
      </c>
      <c r="C15" s="2404" t="str">
        <f>C3</f>
        <v>估价对象周边居住用地比例、居住小区规模和社区发展完善程度，综合评价居住社区成熟度一般</v>
      </c>
      <c r="D15" s="2372"/>
      <c r="E15" s="2405" t="s">
        <v>2113</v>
      </c>
      <c r="F15" s="1270" t="s">
        <v>2114</v>
      </c>
      <c r="G15" s="135" t="str">
        <f>G3</f>
        <v>估价对象位于XX开发区，园区建设成熟度XX，产业集聚程度XX</v>
      </c>
    </row>
    <row r="16" spans="1:29" ht="42.75">
      <c r="A16" s="645"/>
      <c r="B16" s="2406" t="s">
        <v>2093</v>
      </c>
      <c r="C16" s="2407" t="str">
        <f>C4</f>
        <v>估价对象位于XX商圈，周边商业氛围成熟，人流量大，商业繁华度好</v>
      </c>
      <c r="D16" s="2372"/>
      <c r="E16" s="2408"/>
      <c r="F16" s="2409" t="s">
        <v>2095</v>
      </c>
      <c r="G16" s="136" t="str">
        <f>G4</f>
        <v>估价对象周边道路状况、公共交通通达情况、停车便捷程度，综合评价交通便捷度较好</v>
      </c>
    </row>
    <row r="17" spans="1:18" ht="42.75">
      <c r="A17" s="645"/>
      <c r="B17" s="2406" t="s">
        <v>2097</v>
      </c>
      <c r="C17" s="2407" t="str">
        <f>C5</f>
        <v>估价对象位于XX商圈，周边办公楼项目较多，入驻率高，办公集聚程度较好</v>
      </c>
      <c r="D17" s="2378"/>
      <c r="E17" s="2408"/>
      <c r="F17" s="2409" t="s">
        <v>2115</v>
      </c>
      <c r="G17" s="1572"/>
    </row>
    <row r="18" spans="1:18" ht="57">
      <c r="A18" s="645"/>
      <c r="B18" s="2409" t="s">
        <v>2101</v>
      </c>
      <c r="C18" s="136" t="str">
        <f>C6</f>
        <v>估价对象周边道路状况、公共交通通达情况、停车便捷程度，综合评价交通便捷度较好</v>
      </c>
      <c r="D18" s="2378"/>
      <c r="E18" s="2408"/>
      <c r="F18" s="2409" t="s">
        <v>2104</v>
      </c>
      <c r="G18" s="136" t="str">
        <f>G7</f>
        <v>该园区内是否有污染型企业，绿化情况，卫生条件，整体环境状况判断</v>
      </c>
    </row>
    <row r="19" spans="1:18" ht="28.5">
      <c r="A19" s="645"/>
      <c r="B19" s="2409" t="s">
        <v>2116</v>
      </c>
      <c r="C19" s="1572"/>
      <c r="D19" s="2372"/>
      <c r="E19" s="2408"/>
      <c r="F19" s="1798" t="s">
        <v>2099</v>
      </c>
      <c r="G19" s="136" t="str">
        <f>G5</f>
        <v>估价对象所在区域公共配套设施齐备情况</v>
      </c>
    </row>
    <row r="20" spans="1:18" ht="28.5">
      <c r="A20" s="645"/>
      <c r="B20" s="2409" t="s">
        <v>2117</v>
      </c>
      <c r="C20" s="2407" t="str">
        <f>C9</f>
        <v>区域自然环境：；人文环境；综合评价环境状况一般</v>
      </c>
      <c r="D20" s="2378"/>
      <c r="E20" s="2408"/>
      <c r="F20" s="1798" t="s">
        <v>2118</v>
      </c>
      <c r="G20" s="136" t="str">
        <f>G6</f>
        <v>估价对象所在区域基础设施水平</v>
      </c>
    </row>
    <row r="21" spans="1:18" ht="28.5">
      <c r="A21" s="645"/>
      <c r="B21" s="1798" t="s">
        <v>2099</v>
      </c>
      <c r="C21" s="136" t="str">
        <f>C7</f>
        <v>估价对象所在区域公共配套设施齐备情况</v>
      </c>
      <c r="D21" s="2372"/>
      <c r="E21" s="2408"/>
      <c r="F21" s="2409" t="s">
        <v>2119</v>
      </c>
      <c r="G21" s="2410"/>
    </row>
    <row r="22" spans="1:18" ht="13.5" customHeight="1">
      <c r="A22" s="645"/>
      <c r="B22" s="1798" t="s">
        <v>2102</v>
      </c>
      <c r="C22" s="136" t="str">
        <f>C8</f>
        <v>估价对象所在区域基础设施水平</v>
      </c>
      <c r="D22" s="2372"/>
      <c r="E22" s="2408"/>
      <c r="F22" s="2409" t="s">
        <v>2108</v>
      </c>
      <c r="G22" s="1572"/>
    </row>
    <row r="23" spans="1:18" s="2369" customFormat="1" ht="15.75" thickBot="1">
      <c r="A23" s="645"/>
      <c r="B23" s="2409" t="s">
        <v>2119</v>
      </c>
      <c r="C23" s="2410"/>
      <c r="D23" s="2397"/>
      <c r="E23" s="2411"/>
      <c r="F23" s="2412" t="s">
        <v>2120</v>
      </c>
      <c r="G23" s="2413"/>
      <c r="H23" s="2397"/>
      <c r="I23" s="2398"/>
      <c r="J23" s="2397"/>
      <c r="K23" s="2397"/>
      <c r="L23" s="2398"/>
      <c r="M23" s="2397"/>
      <c r="N23" s="2397"/>
      <c r="O23" s="2398"/>
      <c r="P23" s="2397"/>
      <c r="Q23" s="2397"/>
      <c r="R23" s="2399"/>
    </row>
    <row r="24" spans="1:18" s="2369" customFormat="1" ht="15.75" thickBot="1">
      <c r="A24" s="2414"/>
      <c r="B24" s="2412" t="s">
        <v>2121</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23" sqref="H23"/>
    </sheetView>
  </sheetViews>
  <sheetFormatPr defaultRowHeight="13.5"/>
  <cols>
    <col min="1" max="1" width="23.375" style="1741" customWidth="1"/>
    <col min="2" max="9" width="15.75" style="1741" customWidth="1"/>
    <col min="10" max="16384" width="9" style="1741"/>
  </cols>
  <sheetData>
    <row r="1" spans="1:10" ht="16.5">
      <c r="A1" s="1746" t="s">
        <v>1365</v>
      </c>
      <c r="B1" s="1746">
        <f>SUM(B14:B23)</f>
        <v>39021.709999999977</v>
      </c>
      <c r="C1" s="1745"/>
      <c r="D1" s="1745"/>
      <c r="E1" s="1745"/>
      <c r="F1" s="1745"/>
      <c r="G1" s="1743"/>
    </row>
    <row r="2" spans="1:10" ht="16.5">
      <c r="A2" s="1746" t="s">
        <v>1353</v>
      </c>
      <c r="B2" s="1746">
        <f>SUM(C14:C23)</f>
        <v>2227.66</v>
      </c>
      <c r="C2" s="1745"/>
      <c r="D2" s="1745"/>
      <c r="E2" s="1745"/>
      <c r="F2" s="1745"/>
      <c r="G2" s="1743"/>
    </row>
    <row r="3" spans="1:10" ht="16.5">
      <c r="A3" s="1746" t="s">
        <v>1362</v>
      </c>
      <c r="B3" s="1747">
        <f>项目基本情况!D3</f>
        <v>43236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45557</v>
      </c>
      <c r="C5" s="1746">
        <f ca="1">ROUND(B5*10000/$B$1,0)</f>
        <v>11675</v>
      </c>
      <c r="D5" s="1746">
        <f ca="1">ROUND(B5*10000/$B$2,0)</f>
        <v>204506</v>
      </c>
      <c r="E5" s="1745"/>
      <c r="F5" s="1743"/>
      <c r="G5" s="1743"/>
    </row>
    <row r="6" spans="1:10" ht="16.5">
      <c r="A6" s="1746" t="s">
        <v>1356</v>
      </c>
      <c r="B6" s="1746">
        <f ca="1">SUM(G14:G23)</f>
        <v>45557</v>
      </c>
      <c r="C6" s="1746">
        <f ca="1">ROUND(B6*10000/$B$1,0)</f>
        <v>11675</v>
      </c>
      <c r="D6" s="1746">
        <f ca="1">ROUND(B6*10000/$B$2,0)</f>
        <v>204506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39021.709999999977</v>
      </c>
      <c r="C14" s="1744">
        <f>结果表!C118</f>
        <v>2227.66</v>
      </c>
      <c r="D14" s="1744">
        <f ca="1">结果表!H118</f>
        <v>45557</v>
      </c>
      <c r="E14" s="1744">
        <f ca="1">ROUND(D14*10000/B14,0)</f>
        <v>11675</v>
      </c>
      <c r="F14" s="1744">
        <f ca="1">ROUND(D14*10000/C14,0)</f>
        <v>204506</v>
      </c>
      <c r="G14" s="1744">
        <f ca="1">结果表!D122</f>
        <v>45557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0" sqref="D10:D1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2122</v>
      </c>
      <c r="B1" s="2420"/>
      <c r="C1" s="2421"/>
      <c r="D1" s="2420"/>
      <c r="E1" s="2420"/>
      <c r="F1" s="2422" t="s">
        <v>2123</v>
      </c>
      <c r="G1" s="2071" t="s">
        <v>3098</v>
      </c>
      <c r="H1" s="2423" t="str">
        <f>IF(G1="现房","——","估价对象范围")</f>
        <v>——</v>
      </c>
      <c r="I1" s="2424"/>
    </row>
    <row r="2" spans="1:12" ht="21.75" customHeight="1" thickBot="1">
      <c r="A2" s="3176" t="str">
        <f>项目基本情况!S2</f>
        <v>北京市海淀区八家嘉苑房地产</v>
      </c>
      <c r="B2" s="3177"/>
      <c r="C2" s="3177"/>
      <c r="D2" s="3177"/>
      <c r="E2" s="3177"/>
      <c r="F2" s="3177"/>
      <c r="G2" s="3177"/>
      <c r="H2" s="3177"/>
      <c r="I2" s="3178"/>
    </row>
    <row r="3" spans="1:12" ht="12.75">
      <c r="A3" s="3179" t="s">
        <v>2124</v>
      </c>
      <c r="B3" s="3180"/>
      <c r="C3" s="3180"/>
      <c r="D3" s="3180"/>
      <c r="E3" s="3180"/>
      <c r="F3" s="3180"/>
      <c r="G3" s="3180"/>
      <c r="H3" s="3180"/>
      <c r="I3" s="3180"/>
    </row>
    <row r="4" spans="1:12" ht="14.25">
      <c r="A4" s="2427" t="s">
        <v>2125</v>
      </c>
      <c r="B4" s="2428" t="s">
        <v>2126</v>
      </c>
      <c r="C4" s="2429" t="s">
        <v>3122</v>
      </c>
      <c r="D4" s="2429" t="s">
        <v>3093</v>
      </c>
      <c r="E4" s="3160" t="s">
        <v>2127</v>
      </c>
      <c r="F4" s="3173"/>
      <c r="G4" s="3173"/>
      <c r="H4" s="3173"/>
      <c r="I4" s="3161"/>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51" t="s">
        <v>2128</v>
      </c>
      <c r="B5" s="3053">
        <v>25</v>
      </c>
      <c r="C5" s="3181"/>
      <c r="D5" s="3169"/>
      <c r="E5" s="140" t="s">
        <v>2129</v>
      </c>
      <c r="F5" s="2431"/>
      <c r="G5" s="2431"/>
      <c r="H5" s="2431"/>
      <c r="I5" s="1834"/>
    </row>
    <row r="6" spans="1:12" ht="12.75">
      <c r="A6" s="3151"/>
      <c r="B6" s="3053"/>
      <c r="C6" s="3183"/>
      <c r="D6" s="3169"/>
      <c r="E6" s="140" t="s">
        <v>2130</v>
      </c>
      <c r="F6" s="2431"/>
      <c r="G6" s="2431"/>
      <c r="H6" s="2431"/>
      <c r="I6" s="1834"/>
    </row>
    <row r="7" spans="1:12" ht="12.75">
      <c r="A7" s="3151"/>
      <c r="B7" s="3053"/>
      <c r="C7" s="3182"/>
      <c r="D7" s="3169"/>
      <c r="E7" s="140" t="s">
        <v>2131</v>
      </c>
      <c r="F7" s="2431"/>
      <c r="G7" s="2431"/>
      <c r="H7" s="2431"/>
      <c r="I7" s="1834"/>
    </row>
    <row r="8" spans="1:12" ht="12.75">
      <c r="A8" s="3151" t="s">
        <v>2132</v>
      </c>
      <c r="B8" s="3053">
        <v>15</v>
      </c>
      <c r="C8" s="3181"/>
      <c r="D8" s="3169"/>
      <c r="E8" s="140" t="s">
        <v>2133</v>
      </c>
      <c r="F8" s="2431"/>
      <c r="G8" s="2431"/>
      <c r="H8" s="2431"/>
      <c r="I8" s="1834"/>
    </row>
    <row r="9" spans="1:12" ht="12.75">
      <c r="A9" s="3151"/>
      <c r="B9" s="3053"/>
      <c r="C9" s="3182"/>
      <c r="D9" s="3169"/>
      <c r="E9" s="140" t="s">
        <v>2134</v>
      </c>
      <c r="F9" s="2431"/>
      <c r="G9" s="2431"/>
      <c r="H9" s="2431"/>
      <c r="I9" s="1834"/>
    </row>
    <row r="10" spans="1:12" ht="12.75">
      <c r="A10" s="3151" t="s">
        <v>2135</v>
      </c>
      <c r="B10" s="3053">
        <v>15</v>
      </c>
      <c r="C10" s="3181"/>
      <c r="D10" s="3169"/>
      <c r="E10" s="140" t="s">
        <v>2136</v>
      </c>
      <c r="F10" s="2431"/>
      <c r="G10" s="2431"/>
      <c r="H10" s="2431"/>
      <c r="I10" s="1834"/>
    </row>
    <row r="11" spans="1:12" ht="12.75">
      <c r="A11" s="3151"/>
      <c r="B11" s="3053"/>
      <c r="C11" s="3182"/>
      <c r="D11" s="3169"/>
      <c r="E11" s="140" t="s">
        <v>2137</v>
      </c>
      <c r="F11" s="2431"/>
      <c r="G11" s="2431"/>
      <c r="H11" s="2431"/>
      <c r="I11" s="1834"/>
    </row>
    <row r="12" spans="1:12" ht="12.75">
      <c r="A12" s="3151" t="s">
        <v>2138</v>
      </c>
      <c r="B12" s="3053">
        <v>15</v>
      </c>
      <c r="C12" s="3181"/>
      <c r="D12" s="3169"/>
      <c r="E12" s="140" t="s">
        <v>2139</v>
      </c>
      <c r="F12" s="2431"/>
      <c r="G12" s="2431"/>
      <c r="H12" s="2431"/>
      <c r="I12" s="1834"/>
    </row>
    <row r="13" spans="1:12" ht="12.75">
      <c r="A13" s="3151"/>
      <c r="B13" s="3053"/>
      <c r="C13" s="3182"/>
      <c r="D13" s="3169"/>
      <c r="E13" s="140" t="s">
        <v>2140</v>
      </c>
      <c r="F13" s="2431"/>
      <c r="G13" s="2431"/>
      <c r="H13" s="2431"/>
      <c r="I13" s="1834"/>
    </row>
    <row r="14" spans="1:12" ht="12.75">
      <c r="A14" s="3151" t="s">
        <v>2141</v>
      </c>
      <c r="B14" s="3053">
        <v>30</v>
      </c>
      <c r="C14" s="3181">
        <v>0</v>
      </c>
      <c r="D14" s="3169">
        <v>1</v>
      </c>
      <c r="E14" s="140" t="s">
        <v>2142</v>
      </c>
      <c r="F14" s="2431"/>
      <c r="G14" s="2431"/>
      <c r="H14" s="2431"/>
      <c r="I14" s="1834"/>
    </row>
    <row r="15" spans="1:12" ht="12.75">
      <c r="A15" s="3151"/>
      <c r="B15" s="3053"/>
      <c r="C15" s="3183"/>
      <c r="D15" s="3169"/>
      <c r="E15" s="140" t="s">
        <v>2143</v>
      </c>
      <c r="F15" s="2431"/>
      <c r="G15" s="2431"/>
      <c r="H15" s="2431"/>
      <c r="I15" s="1834"/>
    </row>
    <row r="16" spans="1:12" ht="12.75">
      <c r="A16" s="3151"/>
      <c r="B16" s="3053"/>
      <c r="C16" s="3182"/>
      <c r="D16" s="3169"/>
      <c r="E16" s="140" t="s">
        <v>2144</v>
      </c>
      <c r="F16" s="2431"/>
      <c r="G16" s="2431"/>
      <c r="H16" s="2431"/>
      <c r="I16" s="1834"/>
    </row>
    <row r="17" spans="1:35" ht="15">
      <c r="A17" s="2432" t="s">
        <v>2145</v>
      </c>
      <c r="B17" s="64"/>
      <c r="C17" s="141">
        <f>SUM(C5:C16)</f>
        <v>0</v>
      </c>
      <c r="D17" s="141">
        <f>SUM(D5:D16)</f>
        <v>1</v>
      </c>
      <c r="E17" s="138"/>
      <c r="F17" s="138"/>
      <c r="G17" s="138"/>
      <c r="H17" s="138"/>
      <c r="I17" s="138"/>
      <c r="K17" s="2430"/>
      <c r="L17" s="2433" t="s">
        <v>2146</v>
      </c>
      <c r="M17" s="2433" t="s">
        <v>2147</v>
      </c>
    </row>
    <row r="18" spans="1:35" ht="15.75" thickBot="1">
      <c r="A18" s="2434" t="s">
        <v>2148</v>
      </c>
      <c r="B18" s="2435"/>
      <c r="C18" s="142">
        <f>ROUND(C17/SUM(C17:D17),2)</f>
        <v>0</v>
      </c>
      <c r="D18" s="142">
        <f>1-C18</f>
        <v>1</v>
      </c>
      <c r="E18" s="138"/>
      <c r="F18" s="138"/>
      <c r="G18" s="138"/>
      <c r="H18" s="138"/>
      <c r="I18" s="138"/>
      <c r="K18" s="2430" t="s">
        <v>2149</v>
      </c>
      <c r="L18" s="2430">
        <f>IF(C1="",'数据-汇总表'!E3,SUMIF(项目类型,C1,'数据-汇总表'!E17:E26)+SUMIF(项目类型,C1,'数据-汇总表'!I17:I26))</f>
        <v>39021.709999999977</v>
      </c>
      <c r="M18" s="2430">
        <f>IF(C1="",'数据-汇总表'!E3,SUMIF(项目类型,C1,'数据-汇总表'!E17:E26))</f>
        <v>39021.709999999977</v>
      </c>
    </row>
    <row r="19" spans="1:35" ht="15">
      <c r="A19" s="2436" t="s">
        <v>2150</v>
      </c>
      <c r="B19" s="2437" t="s">
        <v>2151</v>
      </c>
      <c r="C19" s="143">
        <f ca="1">SUMIF(INDIRECT("'"&amp;C4&amp;"'"&amp;"!A:A"),结果表!B19,INDIRECT("'"&amp;C4&amp;"'"&amp;"!B:B"))</f>
        <v>19059</v>
      </c>
      <c r="D19" s="144">
        <f ca="1">SUMIF(INDIRECT("'"&amp;D4&amp;"'"&amp;"!A:A"),结果表!B19,INDIRECT("'"&amp;D4&amp;"'"&amp;"!B:B"))</f>
        <v>45557</v>
      </c>
      <c r="E19" s="2436" t="s">
        <v>2152</v>
      </c>
      <c r="F19" s="2437" t="s">
        <v>2151</v>
      </c>
      <c r="G19" s="145">
        <f ca="1">ROUND(C19*$C$18+D19*$D$18,0)</f>
        <v>45557</v>
      </c>
      <c r="H19" s="2438" t="s">
        <v>2153</v>
      </c>
      <c r="I19" s="138"/>
      <c r="K19" s="2430" t="s">
        <v>2154</v>
      </c>
      <c r="L19" s="2430">
        <f>IF(C1="",'数据-汇总表'!D3,SUMIF(项目类型,C1,'数据-汇总表'!D17:D26)+SUMIF(项目类型,C1,'数据-汇总表'!H17:H27))</f>
        <v>2227.66</v>
      </c>
      <c r="M19" s="2430">
        <f>IF(C1="",'数据-汇总表'!D3,SUMIF(项目类型,C1,'数据-汇总表'!D17:D26))</f>
        <v>2227.66</v>
      </c>
    </row>
    <row r="20" spans="1:35" ht="15">
      <c r="A20" s="2439"/>
      <c r="B20" s="1250" t="s">
        <v>2155</v>
      </c>
      <c r="C20" s="146">
        <f ca="1">SUMIF(INDIRECT("'"&amp;C4&amp;"'"&amp;"!A:A"),结果表!B20,INDIRECT("'"&amp;C4&amp;"'"&amp;"!B:B"))</f>
        <v>4884</v>
      </c>
      <c r="D20" s="147">
        <f ca="1">SUMIF(INDIRECT("'"&amp;D4&amp;"'"&amp;"!A:A"),结果表!B20,INDIRECT("'"&amp;D4&amp;"'"&amp;"!B:B"))</f>
        <v>11675</v>
      </c>
      <c r="E20" s="2439"/>
      <c r="F20" s="1250" t="s">
        <v>2155</v>
      </c>
      <c r="G20" s="148">
        <f ca="1">ROUND(C20*$C$18+D20*$D$18,0)</f>
        <v>11675</v>
      </c>
      <c r="H20" s="983" t="s">
        <v>2156</v>
      </c>
      <c r="I20" s="138"/>
    </row>
    <row r="21" spans="1:35" ht="15" customHeight="1" thickBot="1">
      <c r="A21" s="1003"/>
      <c r="B21" s="2440" t="s">
        <v>2157</v>
      </c>
      <c r="C21" s="789">
        <f ca="1">ROUND(C19*10000/L19,0)</f>
        <v>85556</v>
      </c>
      <c r="D21" s="790">
        <f ca="1">ROUND(D19*10000/L19,0)</f>
        <v>204506</v>
      </c>
      <c r="E21" s="1003"/>
      <c r="F21" s="2440" t="s">
        <v>2157</v>
      </c>
      <c r="G21" s="149">
        <f ca="1">ROUND(G19*10000/L19,0)</f>
        <v>204506</v>
      </c>
      <c r="H21" s="2441" t="s">
        <v>2156</v>
      </c>
      <c r="I21" s="138"/>
    </row>
    <row r="22" spans="1:35" ht="15" thickBot="1">
      <c r="A22" s="2282" t="s">
        <v>2158</v>
      </c>
      <c r="B22" s="2442"/>
      <c r="C22" s="2443"/>
      <c r="D22" s="791">
        <f ca="1">IF(C19&lt;D19,D19/C19-1,C19/D19-1)</f>
        <v>1.39031428721339</v>
      </c>
      <c r="E22" s="138"/>
      <c r="F22" s="138"/>
      <c r="G22" s="138"/>
      <c r="H22" s="138"/>
      <c r="I22" s="138"/>
    </row>
    <row r="23" spans="1:35" ht="13.5" thickBot="1">
      <c r="A23" s="2420"/>
      <c r="B23" s="2420"/>
      <c r="C23" s="2420"/>
      <c r="D23" s="2420"/>
      <c r="E23" s="138"/>
      <c r="F23" s="138"/>
      <c r="G23" s="138"/>
      <c r="H23" s="138"/>
      <c r="I23" s="138"/>
    </row>
    <row r="24" spans="1:35" ht="14.25">
      <c r="A24" s="3190" t="s">
        <v>2159</v>
      </c>
      <c r="B24" s="2437" t="s">
        <v>2151</v>
      </c>
      <c r="C24" s="145">
        <f>IF(B30=0,0,D30)</f>
        <v>0</v>
      </c>
      <c r="D24" s="2444"/>
      <c r="E24" s="138"/>
      <c r="F24" s="138"/>
      <c r="G24" s="138"/>
      <c r="H24" s="138"/>
      <c r="I24" s="138"/>
    </row>
    <row r="25" spans="1:35" ht="14.25">
      <c r="A25" s="3191"/>
      <c r="B25" s="1250"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2164</v>
      </c>
      <c r="B30" s="151"/>
      <c r="C30" s="151"/>
      <c r="D30" s="151"/>
      <c r="E30" s="2929"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2165</v>
      </c>
      <c r="B32" s="2450"/>
      <c r="C32" s="153">
        <f ca="1">IF(D32="总价",G19-C24,G20-C25)</f>
        <v>45557</v>
      </c>
      <c r="D32" s="2451" t="s">
        <v>2166</v>
      </c>
      <c r="E32" s="138"/>
      <c r="F32" s="138"/>
      <c r="G32" s="138"/>
      <c r="H32" s="138"/>
      <c r="I32" s="138"/>
    </row>
    <row r="33" spans="1:15" ht="15">
      <c r="A33" s="960" t="s">
        <v>2167</v>
      </c>
      <c r="B33" s="2452"/>
      <c r="C33" s="2453"/>
      <c r="D33" s="2454"/>
      <c r="E33" s="2455" t="s">
        <v>2168</v>
      </c>
      <c r="F33" s="2456" t="str">
        <f>IF(D32="楼面单价","取值（单价）","取值（总价）")</f>
        <v>取值（总价）</v>
      </c>
      <c r="G33" s="138"/>
      <c r="H33" s="138"/>
      <c r="I33" s="138"/>
    </row>
    <row r="34" spans="1:15" ht="15">
      <c r="A34" s="2457"/>
      <c r="B34" s="2458"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2170</v>
      </c>
      <c r="F34" s="1739"/>
      <c r="G34" s="138"/>
      <c r="H34" s="138"/>
      <c r="I34" s="138"/>
    </row>
    <row r="35" spans="1:15" ht="15.75" thickBot="1">
      <c r="A35" s="2460"/>
      <c r="B35" s="2461"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2172</v>
      </c>
      <c r="F35" s="163"/>
      <c r="G35" s="138"/>
      <c r="H35" s="138"/>
      <c r="I35" s="138"/>
    </row>
    <row r="36" spans="1:15" ht="15.75" thickBot="1">
      <c r="A36" s="3170" t="s">
        <v>2173</v>
      </c>
      <c r="B36" s="2463" t="s">
        <v>2174</v>
      </c>
      <c r="C36" s="154"/>
      <c r="D36" s="2464"/>
      <c r="E36" s="2465"/>
      <c r="F36" s="2466"/>
      <c r="G36" s="138"/>
      <c r="H36" s="138"/>
      <c r="I36" s="138"/>
    </row>
    <row r="37" spans="1:15" ht="15.75" thickBot="1">
      <c r="A37" s="3171"/>
      <c r="B37" s="2268" t="s">
        <v>2175</v>
      </c>
      <c r="C37" s="156"/>
      <c r="D37" s="1395"/>
      <c r="E37" s="1395"/>
      <c r="F37" s="2466"/>
      <c r="G37" s="138"/>
      <c r="H37" s="138"/>
      <c r="I37" s="138"/>
    </row>
    <row r="38" spans="1:15" ht="15.75" thickBot="1">
      <c r="A38" s="3172"/>
      <c r="B38" s="2467" t="s">
        <v>2176</v>
      </c>
      <c r="C38" s="727"/>
      <c r="D38" s="2468" t="s">
        <v>2177</v>
      </c>
      <c r="E38" s="1395"/>
      <c r="F38" s="2466"/>
      <c r="G38" s="138"/>
      <c r="H38" s="138"/>
      <c r="I38" s="138"/>
    </row>
    <row r="39" spans="1:15" ht="15">
      <c r="A39" s="2439" t="s">
        <v>2178</v>
      </c>
      <c r="B39" s="2469" t="s">
        <v>2179</v>
      </c>
      <c r="C39" s="2470" t="s">
        <v>2180</v>
      </c>
      <c r="D39" s="2470" t="s">
        <v>2181</v>
      </c>
      <c r="E39" s="2471" t="s">
        <v>2182</v>
      </c>
      <c r="F39" s="2466"/>
      <c r="G39" s="138"/>
      <c r="H39" s="138"/>
      <c r="I39" s="138"/>
    </row>
    <row r="40" spans="1:15" ht="14.25">
      <c r="A40" s="2472" t="s">
        <v>2183</v>
      </c>
      <c r="B40" s="158"/>
      <c r="C40" s="159"/>
      <c r="D40" s="159"/>
      <c r="E40" s="160"/>
      <c r="F40" s="2466"/>
      <c r="G40" s="138"/>
      <c r="H40" s="138"/>
      <c r="I40" s="138"/>
    </row>
    <row r="41" spans="1:15" ht="14.25">
      <c r="A41" s="2472" t="s">
        <v>2184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187" t="s">
        <v>2187</v>
      </c>
      <c r="B45" s="3188"/>
      <c r="C45" s="3189"/>
      <c r="D45" s="164">
        <f ca="1">ROUND(H101*F45,0)</f>
        <v>45557</v>
      </c>
      <c r="E45" s="165" t="s">
        <v>2188</v>
      </c>
      <c r="F45" s="166">
        <v>1</v>
      </c>
      <c r="G45" s="167" t="s">
        <v>2189</v>
      </c>
      <c r="H45" s="138"/>
      <c r="I45" s="138"/>
      <c r="J45" s="3106" t="s">
        <v>2190</v>
      </c>
      <c r="K45" s="3106"/>
      <c r="L45" s="3106"/>
      <c r="M45" s="3106"/>
      <c r="N45" s="3106"/>
      <c r="O45" s="3106"/>
    </row>
    <row r="46" spans="1:15" ht="14.25" customHeight="1">
      <c r="A46" s="3184" t="s">
        <v>2191</v>
      </c>
      <c r="B46" s="3185"/>
      <c r="C46" s="3185"/>
      <c r="D46" s="3185"/>
      <c r="E46" s="3185"/>
      <c r="F46" s="3185"/>
      <c r="G46" s="3186"/>
      <c r="H46" s="2482"/>
      <c r="I46" s="168"/>
      <c r="J46" s="1812">
        <v>1</v>
      </c>
      <c r="K46" s="3106" t="s">
        <v>2192</v>
      </c>
      <c r="L46" s="3106"/>
      <c r="M46" s="3107"/>
      <c r="N46" s="3107"/>
      <c r="O46" s="3107"/>
    </row>
    <row r="47" spans="1:15" ht="12" customHeight="1">
      <c r="A47" s="169" t="s">
        <v>2193</v>
      </c>
      <c r="B47" s="170"/>
      <c r="C47" s="171"/>
      <c r="D47" s="172" t="s">
        <v>2194</v>
      </c>
      <c r="E47" s="24" t="s">
        <v>2195</v>
      </c>
      <c r="F47" s="173" t="s">
        <v>2196</v>
      </c>
      <c r="G47" s="174" t="s">
        <v>2197</v>
      </c>
      <c r="H47" s="2482"/>
      <c r="I47" s="168"/>
      <c r="J47" s="1812">
        <v>2</v>
      </c>
      <c r="K47" s="3106" t="s">
        <v>2198</v>
      </c>
      <c r="L47" s="3106"/>
      <c r="M47" s="3108">
        <f>'数据-取费表'!B2</f>
        <v>43236</v>
      </c>
      <c r="N47" s="3108"/>
      <c r="O47" s="3108"/>
    </row>
    <row r="48" spans="1:15" ht="25.5">
      <c r="A48" s="3174" t="s">
        <v>2199</v>
      </c>
      <c r="B48" s="3175"/>
      <c r="C48" s="3175"/>
      <c r="D48" s="140">
        <f>IF(H48="情况1",0,IF(H48="情况2",D52,IF(H48="情况3",D53,IF(H48="情况4",D54))))</f>
        <v>0</v>
      </c>
      <c r="E48" s="1801" t="str">
        <f>IF(H48="情况4","(销售额-原购置价)×税（费）率","销售额×税（费）率")</f>
        <v>销售额×税（费）率</v>
      </c>
      <c r="F48" s="175" t="str">
        <f>IF(H48="情况1","免征",'数据-取费表'!B41)</f>
        <v>免征</v>
      </c>
      <c r="G48" s="2483" t="s">
        <v>2200</v>
      </c>
      <c r="H48" s="2484" t="s">
        <v>2201</v>
      </c>
      <c r="I48" s="2482"/>
      <c r="J48" s="1812">
        <v>3</v>
      </c>
      <c r="K48" s="3106" t="s">
        <v>2202</v>
      </c>
      <c r="L48" s="3106"/>
      <c r="M48" s="3109">
        <f ca="1">H101</f>
        <v>45557</v>
      </c>
      <c r="N48" s="3109"/>
      <c r="O48" s="3109"/>
    </row>
    <row r="49" spans="1:35" ht="25.5" customHeight="1">
      <c r="A49" s="176" t="s">
        <v>2203</v>
      </c>
      <c r="B49" s="3154" t="s">
        <v>2204</v>
      </c>
      <c r="C49" s="3154"/>
      <c r="D49" s="177">
        <v>0</v>
      </c>
      <c r="E49" s="23" t="s">
        <v>2205</v>
      </c>
      <c r="F49" s="28" t="s">
        <v>34</v>
      </c>
      <c r="G49" s="3135"/>
      <c r="H49" s="138"/>
      <c r="I49" s="2485"/>
      <c r="J49" s="1812">
        <v>4</v>
      </c>
      <c r="K49" s="3106" t="str">
        <f>IF(项目基本情况!E8="房地产抵押价值","房地产抵押价值","抵押担保权已注销时的房地产抵押价值")</f>
        <v>房地产抵押价值</v>
      </c>
      <c r="L49" s="3106"/>
      <c r="M49" s="3109">
        <f ca="1">IF(项目基本情况!E8="房地产抵押价值",H107,H109)</f>
        <v>45557</v>
      </c>
      <c r="N49" s="3109"/>
      <c r="O49" s="3109"/>
    </row>
    <row r="50" spans="1:35" ht="25.5" customHeight="1">
      <c r="A50" s="178"/>
      <c r="B50" s="3154" t="s">
        <v>2206</v>
      </c>
      <c r="C50" s="3154"/>
      <c r="D50" s="179"/>
      <c r="E50" s="31"/>
      <c r="F50" s="180"/>
      <c r="G50" s="3136"/>
      <c r="H50" s="138"/>
      <c r="I50" s="2485"/>
      <c r="J50" s="3106" t="s">
        <v>2207</v>
      </c>
      <c r="K50" s="3106"/>
      <c r="L50" s="3106"/>
      <c r="M50" s="3106"/>
      <c r="N50" s="3106"/>
      <c r="O50" s="3106"/>
    </row>
    <row r="51" spans="1:35" ht="12" customHeight="1">
      <c r="A51" s="181"/>
      <c r="B51" s="3154" t="s">
        <v>2208</v>
      </c>
      <c r="C51" s="3154"/>
      <c r="D51" s="182"/>
      <c r="E51" s="30"/>
      <c r="F51" s="180"/>
      <c r="G51" s="3137"/>
      <c r="H51" s="138"/>
      <c r="I51" s="2485"/>
      <c r="J51" s="2486" t="s">
        <v>2209</v>
      </c>
      <c r="K51" s="3106" t="s">
        <v>2210</v>
      </c>
      <c r="L51" s="3106"/>
      <c r="M51" s="2486" t="s">
        <v>2211</v>
      </c>
      <c r="N51" s="2486" t="s">
        <v>2212</v>
      </c>
      <c r="O51" s="2486" t="s">
        <v>2213</v>
      </c>
    </row>
    <row r="52" spans="1:35" ht="24" customHeight="1">
      <c r="A52" s="183" t="s">
        <v>2214</v>
      </c>
      <c r="B52" s="3154" t="s">
        <v>2215</v>
      </c>
      <c r="C52" s="3154"/>
      <c r="D52" s="182">
        <f ca="1">ROUND(D45*'数据-取费表'!B41/(1+'数据-取费表'!C42),0)</f>
        <v>2430</v>
      </c>
      <c r="E52" s="11" t="s">
        <v>2216</v>
      </c>
      <c r="F52" s="184">
        <f>'数据-取费表'!B41</f>
        <v>5.6000000000000001E-2</v>
      </c>
      <c r="G52" s="2487"/>
      <c r="H52" s="138"/>
      <c r="I52" s="2485"/>
      <c r="J52" s="1812">
        <v>1</v>
      </c>
      <c r="K52" s="3129" t="s">
        <v>2217</v>
      </c>
      <c r="L52" s="3129"/>
      <c r="M52" s="1754">
        <f>D48</f>
        <v>0</v>
      </c>
      <c r="N52" s="1812" t="str">
        <f>E48</f>
        <v>销售额×税（费）率</v>
      </c>
      <c r="O52" s="1755" t="str">
        <f>F48</f>
        <v>免征</v>
      </c>
    </row>
    <row r="53" spans="1:35" ht="12" customHeight="1">
      <c r="A53" s="183" t="s">
        <v>2218</v>
      </c>
      <c r="B53" s="3155" t="s">
        <v>2219</v>
      </c>
      <c r="C53" s="3156"/>
      <c r="D53" s="182">
        <f ca="1">ROUND(D45*'数据-取费表'!B41/(1+'数据-取费表'!C42),0)</f>
        <v>2430</v>
      </c>
      <c r="E53" s="11" t="s">
        <v>2216</v>
      </c>
      <c r="F53" s="184">
        <f>'数据-取费表'!B41</f>
        <v>5.6000000000000001E-2</v>
      </c>
      <c r="G53" s="2487"/>
      <c r="H53" s="138"/>
      <c r="I53" s="2485"/>
      <c r="J53" s="1812">
        <v>2</v>
      </c>
      <c r="K53" s="3129" t="s">
        <v>2220</v>
      </c>
      <c r="L53" s="3129"/>
      <c r="M53" s="1754">
        <f t="shared" ref="M53:O54" ca="1" si="0">D55</f>
        <v>23</v>
      </c>
      <c r="N53" s="1812" t="str">
        <f t="shared" si="0"/>
        <v>销售额×税（费）率</v>
      </c>
      <c r="O53" s="1755">
        <f t="shared" si="0"/>
        <v>5.0000000000000001E-4</v>
      </c>
    </row>
    <row r="54" spans="1:35" ht="12" customHeight="1">
      <c r="A54" s="183" t="s">
        <v>2221</v>
      </c>
      <c r="B54" s="3155" t="s">
        <v>2222</v>
      </c>
      <c r="C54" s="3156"/>
      <c r="D54" s="182">
        <f ca="1">C68</f>
        <v>2430</v>
      </c>
      <c r="E54" s="30" t="s">
        <v>2223</v>
      </c>
      <c r="F54" s="184">
        <f>'数据-取费表'!B41</f>
        <v>5.6000000000000001E-2</v>
      </c>
      <c r="G54" s="2487"/>
      <c r="H54" s="2488"/>
      <c r="I54" s="2485"/>
      <c r="J54" s="1812">
        <v>3</v>
      </c>
      <c r="K54" s="3129" t="s">
        <v>2224</v>
      </c>
      <c r="L54" s="3129"/>
      <c r="M54" s="1754">
        <f t="shared" ca="1" si="0"/>
        <v>25786</v>
      </c>
      <c r="N54" s="1812" t="str">
        <f t="shared" si="0"/>
        <v>增值额×税（费）率</v>
      </c>
      <c r="O54" s="1756" t="str">
        <f t="shared" si="0"/>
        <v>——</v>
      </c>
    </row>
    <row r="55" spans="1:35" ht="24" customHeight="1">
      <c r="A55" s="3193" t="s">
        <v>2225</v>
      </c>
      <c r="B55" s="3175"/>
      <c r="C55" s="3175"/>
      <c r="D55" s="185">
        <f ca="1">IF(H55="个人住宅",0,ROUND(D45*I55,0))</f>
        <v>23</v>
      </c>
      <c r="E55" s="11" t="s">
        <v>2226</v>
      </c>
      <c r="F55" s="184">
        <f>IF(H55="正常",I55,"免征")</f>
        <v>5.0000000000000001E-4</v>
      </c>
      <c r="G55" s="2487"/>
      <c r="H55" s="2484" t="s">
        <v>2227</v>
      </c>
      <c r="I55" s="186">
        <f>'数据-取费表'!B49</f>
        <v>5.0000000000000001E-4</v>
      </c>
      <c r="J55" s="1812" t="str">
        <f>IF(H59="非个人房产","",4)</f>
        <v/>
      </c>
      <c r="K55" s="3129" t="str">
        <f>IF(H59="非个人房产","——","个人所得税")</f>
        <v>——</v>
      </c>
      <c r="L55" s="3129"/>
      <c r="M55" s="1757" t="str">
        <f>D59</f>
        <v>——</v>
      </c>
      <c r="N55" s="1810" t="str">
        <f>E59</f>
        <v>——</v>
      </c>
      <c r="O55" s="1758" t="str">
        <f>F59</f>
        <v>——</v>
      </c>
    </row>
    <row r="56" spans="1:35" ht="24.75">
      <c r="A56" s="3193" t="s">
        <v>2228</v>
      </c>
      <c r="B56" s="3175"/>
      <c r="C56" s="3175"/>
      <c r="D56" s="185">
        <f ca="1">IF(H56="个人住宅",D57,D58)</f>
        <v>25786</v>
      </c>
      <c r="E56" s="11" t="s">
        <v>2229</v>
      </c>
      <c r="F56" s="184" t="str">
        <f>IF(H56="正常",F58,"免征")</f>
        <v>——</v>
      </c>
      <c r="G56" s="2489" t="s">
        <v>2230</v>
      </c>
      <c r="H56" s="2490" t="s">
        <v>2227</v>
      </c>
      <c r="I56" s="2491"/>
      <c r="J56" s="1812" t="str">
        <f>IF(项目基本情况!K6="上海银行",IF(J55="",4,J55+1),"")</f>
        <v/>
      </c>
      <c r="K56" s="3112" t="str">
        <f>IF(项目基本情况!K6="上海银行","其他处置费用","")</f>
        <v/>
      </c>
      <c r="L56" s="3113"/>
      <c r="M56" s="1754" t="str">
        <f>IF(项目基本情况!K6="上海银行",M69,"")</f>
        <v/>
      </c>
      <c r="N56" s="3115" t="str">
        <f>IF(项目基本情况!K6="上海银行","包含处置中涉及的律师、诉讼、拍卖、评估等费用","")</f>
        <v/>
      </c>
      <c r="O56" s="3116"/>
    </row>
    <row r="57" spans="1:35" ht="12.75">
      <c r="A57" s="183" t="s">
        <v>2203</v>
      </c>
      <c r="B57" s="3160" t="s">
        <v>2231</v>
      </c>
      <c r="C57" s="3161"/>
      <c r="D57" s="187">
        <v>0</v>
      </c>
      <c r="E57" s="23" t="s">
        <v>2205</v>
      </c>
      <c r="F57" s="155"/>
      <c r="G57" s="2487"/>
      <c r="H57" s="2491"/>
      <c r="I57" s="2491"/>
      <c r="J57" s="3129">
        <f>IF(AND(J55="",J56=""),4,IF(项目基本情况!K6="上海银行",结果表!J56+1,结果表!J55+1))</f>
        <v>4</v>
      </c>
      <c r="K57" s="3129" t="s">
        <v>2232</v>
      </c>
      <c r="L57" s="2492" t="s">
        <v>2233</v>
      </c>
      <c r="M57" s="1759"/>
      <c r="N57" s="1760">
        <f ca="1">SUMIF(M52:M56,"&lt;9e307")</f>
        <v>25809</v>
      </c>
      <c r="O57" s="2493"/>
      <c r="P57" s="1753">
        <f ca="1">N57/M49</f>
        <v>0.5665210615273174</v>
      </c>
    </row>
    <row r="58" spans="1:35" ht="24.75">
      <c r="A58" s="183" t="s">
        <v>2214</v>
      </c>
      <c r="B58" s="3160" t="s">
        <v>2234</v>
      </c>
      <c r="C58" s="3173"/>
      <c r="D58" s="185">
        <f ca="1">IF(H58="转让取得",C81,C97)</f>
        <v>25786</v>
      </c>
      <c r="E58" s="11" t="s">
        <v>2229</v>
      </c>
      <c r="F58" s="24" t="s">
        <v>34</v>
      </c>
      <c r="G58" s="2487"/>
      <c r="H58" s="2490" t="s">
        <v>2235</v>
      </c>
      <c r="I58" s="2491"/>
      <c r="J58" s="3129"/>
      <c r="K58" s="3129"/>
      <c r="L58" s="2492" t="s">
        <v>2236</v>
      </c>
      <c r="M58" s="1761"/>
      <c r="N58" s="2494" t="str">
        <f ca="1">NUMBERSTRING(INT(N57*10000),2)&amp;"元整"</f>
        <v>贰亿伍仟捌佰零玖万元整</v>
      </c>
      <c r="O58" s="2495"/>
    </row>
    <row r="59" spans="1:35" ht="24.75" thickBot="1">
      <c r="A59" s="3133" t="s">
        <v>2237</v>
      </c>
      <c r="B59" s="3134"/>
      <c r="C59" s="3134"/>
      <c r="D59" s="188" t="str">
        <f>IF(H59="非个人房产","——",IF(H59="个人住宅",0,ROUND(D45*I59,0)))</f>
        <v>——</v>
      </c>
      <c r="E59" s="189" t="str">
        <f>IF(H59="非个人房产","——","销售额×税（费）率")</f>
        <v>——</v>
      </c>
      <c r="F59" s="190" t="str">
        <f>IF(H59="非个人房产","——",IF(H59="个人住宅","免征",I59))</f>
        <v>——</v>
      </c>
      <c r="G59" s="2496" t="s">
        <v>2230</v>
      </c>
      <c r="H59" s="2490" t="s">
        <v>2238</v>
      </c>
      <c r="I59" s="191">
        <v>0.01</v>
      </c>
      <c r="J59" s="3131">
        <f>J57+1</f>
        <v>5</v>
      </c>
      <c r="K59" s="3129" t="s">
        <v>2239</v>
      </c>
      <c r="L59" s="1812" t="s">
        <v>2233</v>
      </c>
      <c r="M59" s="1762"/>
      <c r="N59" s="1763">
        <f ca="1">M49-N57</f>
        <v>19748</v>
      </c>
      <c r="O59" s="2497"/>
    </row>
    <row r="60" spans="1:35" ht="12" customHeight="1">
      <c r="A60" s="2498"/>
      <c r="B60" s="2420"/>
      <c r="C60" s="2420"/>
      <c r="D60" s="2420"/>
      <c r="E60" s="2167"/>
      <c r="F60" s="2491"/>
      <c r="G60" s="2491"/>
      <c r="H60" s="2499"/>
      <c r="I60" s="138"/>
      <c r="J60" s="3132"/>
      <c r="K60" s="3129"/>
      <c r="L60" s="2492" t="s">
        <v>2236</v>
      </c>
      <c r="M60" s="1761"/>
      <c r="N60" s="2494" t="str">
        <f ca="1">NUMBERSTRING(INT(N59*10000),2)&amp;"元整"</f>
        <v>壹亿玖仟柒佰肆拾捌万元整</v>
      </c>
      <c r="O60" s="2495"/>
    </row>
    <row r="61" spans="1:35" ht="13.5" thickBot="1">
      <c r="A61" s="3192" t="s">
        <v>2240</v>
      </c>
      <c r="B61" s="3192"/>
      <c r="C61" s="3192"/>
      <c r="D61" s="3192"/>
      <c r="E61" s="3192"/>
      <c r="F61" s="2491"/>
      <c r="G61" s="2491"/>
      <c r="H61" s="2499"/>
      <c r="I61" s="138"/>
      <c r="J61" s="1812">
        <f>J59+1</f>
        <v>6</v>
      </c>
      <c r="K61" s="3129" t="s">
        <v>2241</v>
      </c>
      <c r="L61" s="3129"/>
      <c r="M61" s="1764"/>
      <c r="N61" s="1765">
        <f ca="1">ROUND(N59*10000/'数据-汇总表'!E3,0)</f>
        <v>5061</v>
      </c>
      <c r="O61" s="2500"/>
    </row>
    <row r="62" spans="1:35" ht="12.75">
      <c r="A62" s="3149" t="s">
        <v>2242</v>
      </c>
      <c r="B62" s="3150"/>
      <c r="C62" s="1804"/>
      <c r="D62" s="1804" t="s">
        <v>2243</v>
      </c>
      <c r="E62" s="192" t="s">
        <v>2244</v>
      </c>
      <c r="F62" s="2491"/>
      <c r="G62" s="2491"/>
      <c r="H62" s="2499"/>
      <c r="I62" s="138"/>
    </row>
    <row r="63" spans="1:35" ht="12.75">
      <c r="A63" s="203" t="s">
        <v>775</v>
      </c>
      <c r="B63" s="193" t="s">
        <v>2245</v>
      </c>
      <c r="C63" s="194">
        <f ca="1">ROUND((C64+C65)/(1+'数据-取费表'!C42),0)</f>
        <v>43388</v>
      </c>
      <c r="D63" s="195"/>
      <c r="E63" s="196"/>
      <c r="F63" s="2491"/>
      <c r="G63" s="2491"/>
      <c r="H63" s="2499"/>
      <c r="I63" s="138"/>
      <c r="J63" s="3114" t="s">
        <v>2246</v>
      </c>
      <c r="K63" s="2501" t="s">
        <v>2247</v>
      </c>
      <c r="L63" s="1752">
        <f ca="1">IF(M49&gt;10000,M49*0.5%,IF(AND(M49&gt;1000,M49&lt;=10000),M49*1%,IF(AND(M49&gt;100,M49&lt;=1000),M49*3%,IF(AND(M49&gt;10,M49&lt;=100),M49*5%,M49*8%))))</f>
        <v>227.785</v>
      </c>
      <c r="M63" s="24">
        <f ca="1">ROUND(L63,1)</f>
        <v>227.8</v>
      </c>
      <c r="Z63" s="2425"/>
      <c r="AI63" s="2426"/>
    </row>
    <row r="64" spans="1:35" ht="14.25" customHeight="1">
      <c r="A64" s="197" t="s">
        <v>770</v>
      </c>
      <c r="B64" s="198" t="s">
        <v>2248</v>
      </c>
      <c r="C64" s="199">
        <f ca="1">D45</f>
        <v>45557</v>
      </c>
      <c r="D64" s="200" t="s">
        <v>32</v>
      </c>
      <c r="E64" s="201"/>
      <c r="F64" s="2491"/>
      <c r="G64" s="2491"/>
      <c r="H64" s="2499"/>
      <c r="I64" s="138"/>
      <c r="J64" s="3114"/>
      <c r="K64" s="2501" t="s">
        <v>2249</v>
      </c>
      <c r="L64" s="1752">
        <f ca="1">IF(M49&gt;2000,M49*0.5%,IF(AND(M49&gt;1000,M49&lt;=2000),M49*0.6%,IF(AND(M49&gt;500,M49&lt;=1000),M49*0.7%,IF(AND(M49&gt;200,M49&lt;=500),M49*0.8%,IF(AND(M49&gt;100,M49&lt;=200),M49*0.9%,IF(AND(M49&gt;50,M49&lt;=100),M49*1%,IF(AND(M49&gt;20,M49&lt;=50),M49*1.5%,IF(AND(M49&gt;10,M49&lt;=20),M49*2%,IF(AND(M49&gt;1,M49&lt;=10),M49*2.5%)))))))))</f>
        <v>227.785</v>
      </c>
      <c r="M64" s="24">
        <f t="shared" ref="M64:M65" ca="1" si="1">ROUND(L64,1)</f>
        <v>227.8</v>
      </c>
      <c r="N64" s="138" t="s">
        <v>2250</v>
      </c>
      <c r="Z64" s="2425"/>
      <c r="AI64" s="2426"/>
    </row>
    <row r="65" spans="1:35" ht="14.25" customHeight="1">
      <c r="A65" s="197" t="s">
        <v>771</v>
      </c>
      <c r="B65" s="198" t="s">
        <v>2251</v>
      </c>
      <c r="C65" s="202"/>
      <c r="D65" s="200"/>
      <c r="E65" s="201"/>
      <c r="F65" s="2491"/>
      <c r="G65" s="2491"/>
      <c r="H65" s="2499"/>
      <c r="I65" s="138"/>
      <c r="J65" s="3114"/>
      <c r="K65" s="2501" t="s">
        <v>2252</v>
      </c>
      <c r="L65" s="1752">
        <f ca="1">IF(M49&gt;1000,M49*0.1%,IF(AND(M49&gt;500,M49&lt;=1000),M49*0.5%,IF(AND(M49&gt;50,M49&lt;=500),M49*1%,IF(AND(M49&gt;1,M49&lt;=50),M49*1.5%))))</f>
        <v>45.557000000000002</v>
      </c>
      <c r="M65" s="24">
        <f t="shared" ca="1" si="1"/>
        <v>45.6</v>
      </c>
      <c r="N65" s="138" t="s">
        <v>2250</v>
      </c>
      <c r="Z65" s="2425"/>
      <c r="AI65" s="2426"/>
    </row>
    <row r="66" spans="1:35" ht="14.25" customHeight="1">
      <c r="A66" s="203" t="s">
        <v>772</v>
      </c>
      <c r="B66" s="204" t="s">
        <v>2253</v>
      </c>
      <c r="C66" s="205"/>
      <c r="D66" s="206" t="s">
        <v>32</v>
      </c>
      <c r="E66" s="1776" t="s">
        <v>1371</v>
      </c>
      <c r="F66" s="2491"/>
      <c r="G66" s="2491"/>
      <c r="H66" s="2499"/>
      <c r="I66" s="138"/>
      <c r="J66" s="3114"/>
      <c r="K66" s="2501" t="s">
        <v>2254</v>
      </c>
      <c r="L66" s="1752">
        <f ca="1">M49*0.5%</f>
        <v>227.785</v>
      </c>
      <c r="M66" s="24">
        <f ca="1">IF(L66&gt;0.5,0.5,ROUND(L66,0))</f>
        <v>0.5</v>
      </c>
      <c r="N66" s="138" t="s">
        <v>2255</v>
      </c>
      <c r="Z66" s="2425"/>
      <c r="AI66" s="2426"/>
    </row>
    <row r="67" spans="1:35" ht="14.25" customHeight="1">
      <c r="A67" s="203" t="s">
        <v>773</v>
      </c>
      <c r="B67" s="204" t="s">
        <v>2256</v>
      </c>
      <c r="C67" s="207">
        <f ca="1">C63-C66</f>
        <v>43388</v>
      </c>
      <c r="D67" s="200" t="s">
        <v>32</v>
      </c>
      <c r="E67" s="201"/>
      <c r="F67" s="2491"/>
      <c r="G67" s="2491"/>
      <c r="H67" s="2499"/>
      <c r="I67" s="138"/>
      <c r="J67" s="3114"/>
      <c r="K67" s="2501" t="s">
        <v>2257</v>
      </c>
      <c r="L67" s="1752">
        <f ca="1">IF(M49&gt;=10000,(8.25+(M49-10000)*0.01%),IF(AND(M49&gt;=8000,M49&lt;10000),(7.85+(M49-8000)*0.02%),IF(AND(M49&gt;=5000,M49&lt;8000),(6.65+(M49-5000)*0.04%),IF(AND(M49&gt;=2000,M49&lt;5000),(4.25+(PM49-2000)*0.08%),IF(AND(M49&gt;=1000,M49&lt;2000),(2.75+(M49-1000)*0.15%),IF(AND(M49&gt;=100,M49&lt;1000),(0.5+(M49-100)*0.25%),IF(AND(M49&gt;0,M49&lt;100),M49*0.5%)))))))</f>
        <v>11.8057</v>
      </c>
      <c r="M67" s="24">
        <f ca="1">ROUND(L67*0.9,1)</f>
        <v>10.6</v>
      </c>
      <c r="Z67" s="2425"/>
      <c r="AI67" s="2426"/>
    </row>
    <row r="68" spans="1:35" ht="14.25" customHeight="1" thickBot="1">
      <c r="A68" s="208" t="s">
        <v>774</v>
      </c>
      <c r="B68" s="209" t="s">
        <v>2258</v>
      </c>
      <c r="C68" s="210">
        <f ca="1">IF(C67&lt;=0,0,ROUND(C67*D68,0))</f>
        <v>2430</v>
      </c>
      <c r="D68" s="211">
        <f>'数据-取费表'!B41</f>
        <v>5.6000000000000001E-2</v>
      </c>
      <c r="E68" s="212"/>
      <c r="F68" s="2491"/>
      <c r="G68" s="2491"/>
      <c r="H68" s="2499"/>
      <c r="I68" s="138"/>
      <c r="J68" s="3114"/>
      <c r="K68" s="2501" t="s">
        <v>2259</v>
      </c>
      <c r="L68" s="1752">
        <f ca="1">IF(M49&gt;10000,M49*0.5%,IF(AND(M49&gt;5000,M49&lt;=10000),M49*1%,IF(AND(M49&gt;1000,M49&lt;=5000),M49*2%,IF(AND(M49&gt;200,M49&lt;=1000),M49*3%,M49*5%))))</f>
        <v>227.785</v>
      </c>
      <c r="M68" s="24">
        <f ca="1">ROUND(L68,1)</f>
        <v>227.8</v>
      </c>
      <c r="Z68" s="2425"/>
      <c r="AI68" s="2426"/>
    </row>
    <row r="69" spans="1:35" s="2448" customFormat="1" ht="16.5" customHeight="1">
      <c r="A69" s="2502"/>
      <c r="B69" s="2503"/>
      <c r="C69" s="2504"/>
      <c r="D69" s="2505"/>
      <c r="E69" s="2506"/>
      <c r="F69" s="2167"/>
      <c r="G69" s="2167"/>
      <c r="H69" s="2166"/>
      <c r="I69" s="2420"/>
      <c r="J69" s="3114"/>
      <c r="K69" s="2501" t="s">
        <v>2260</v>
      </c>
      <c r="L69" s="2507"/>
      <c r="M69" s="24">
        <f ca="1">ROUND(SUM(M63:M68),0)</f>
        <v>740</v>
      </c>
      <c r="N69" s="1753">
        <f ca="1">M69/M49</f>
        <v>1.6243387404789603E-2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58" t="s">
        <v>2261</v>
      </c>
      <c r="B70" s="3159"/>
      <c r="C70" s="3159"/>
      <c r="D70" s="3159"/>
      <c r="E70" s="3159"/>
      <c r="F70" s="3159"/>
      <c r="G70" s="3159"/>
      <c r="H70" s="315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9" t="s">
        <v>2242</v>
      </c>
      <c r="B71" s="3150"/>
      <c r="C71" s="1804"/>
      <c r="D71" s="1804" t="s">
        <v>2243</v>
      </c>
      <c r="E71" s="213" t="s">
        <v>2244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2262</v>
      </c>
      <c r="C72" s="207">
        <f ca="1">ROUND(D45/(1+'数据-取费表'!C42),0)</f>
        <v>43388</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2263</v>
      </c>
      <c r="C73" s="207">
        <f ca="1">C74+C78</f>
        <v>260</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2264</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2265</v>
      </c>
      <c r="C75" s="218"/>
      <c r="D75" s="200" t="s">
        <v>32</v>
      </c>
      <c r="E75" s="219" t="s">
        <v>2266</v>
      </c>
      <c r="F75" s="2513" t="s">
        <v>2267</v>
      </c>
      <c r="G75" s="219" t="s">
        <v>2268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2269</v>
      </c>
      <c r="C76" s="200">
        <f>IF(F75="购房发票",ROUND(C75*H75*D76,0),0)</f>
        <v>0</v>
      </c>
      <c r="D76" s="222">
        <v>0.05</v>
      </c>
      <c r="E76" s="3155" t="s">
        <v>2270</v>
      </c>
      <c r="F76" s="3154"/>
      <c r="G76" s="3154"/>
      <c r="H76" s="315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5" t="s">
        <v>2273</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2274</v>
      </c>
      <c r="C78" s="225">
        <f ca="1">ROUND(D45*D78/(1+'数据-取费表'!C42),0)</f>
        <v>260</v>
      </c>
      <c r="D78" s="226">
        <f>'数据-取费表'!B43</f>
        <v>6.000000000000001E-3</v>
      </c>
      <c r="E78" s="3146" t="s">
        <v>2275</v>
      </c>
      <c r="F78" s="3147"/>
      <c r="G78" s="3147"/>
      <c r="H78" s="314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2276</v>
      </c>
      <c r="C79" s="207">
        <f ca="1">C72-C73</f>
        <v>43128</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2277</v>
      </c>
      <c r="C80" s="227">
        <f ca="1">IF(C79&lt;=0,0,C79/C73)</f>
        <v>165.87692307692308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2278</v>
      </c>
      <c r="C81" s="228">
        <f ca="1">ROUND(IF(C79&lt;=0,0,IF(C80&gt;=200%,C79*60%-C73*35%,IF(C80&gt;=100%,C79*50%-C73*15%,IF(C80&gt;=50%,C79*40%-C73*5%,IF(C80&lt;50%,C79*30%,0))))),0)</f>
        <v>25786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8" t="s">
        <v>2279</v>
      </c>
      <c r="B83" s="3159"/>
      <c r="C83" s="3159"/>
      <c r="D83" s="3159"/>
      <c r="E83" s="3159"/>
      <c r="F83" s="3159"/>
      <c r="G83" s="3159"/>
      <c r="H83" s="315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9" t="s">
        <v>2242</v>
      </c>
      <c r="B84" s="3150"/>
      <c r="C84" s="1804"/>
      <c r="D84" s="1804" t="s">
        <v>2243</v>
      </c>
      <c r="E84" s="213" t="s">
        <v>2244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2262</v>
      </c>
      <c r="C85" s="207">
        <f ca="1">ROUND(D45/(1+'数据-取费表'!C42),0)</f>
        <v>43388</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2263</v>
      </c>
      <c r="C86" s="207">
        <f ca="1">IF(H88="仅含出让金",C87+C90+C91+C92+C93+C94,C87+C91+C92+C93+C94)</f>
        <v>260</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2280</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2281</v>
      </c>
      <c r="C88" s="236"/>
      <c r="D88" s="226"/>
      <c r="E88" s="237" t="s">
        <v>2282</v>
      </c>
      <c r="F88" s="1800"/>
      <c r="G88" s="238"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2271</v>
      </c>
      <c r="C89" s="225">
        <f>ROUND(C88*D89,0)</f>
        <v>0</v>
      </c>
      <c r="D89" s="226">
        <f>'数据-取费表'!B48+'数据-取费表'!B49</f>
        <v>3.0499999999999999E-2</v>
      </c>
      <c r="E89" s="237" t="s">
        <v>2284</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2285</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2286</v>
      </c>
      <c r="B91" s="198" t="s">
        <v>2287</v>
      </c>
      <c r="C91" s="225">
        <f>IF(H91="——",成本法!C33,I91)</f>
        <v>0</v>
      </c>
      <c r="D91" s="226"/>
      <c r="E91" s="3146" t="s">
        <v>2288</v>
      </c>
      <c r="F91" s="3147"/>
      <c r="G91" s="3147"/>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2290</v>
      </c>
      <c r="B92" s="198" t="s">
        <v>2291</v>
      </c>
      <c r="C92" s="225">
        <f>ROUND((C87+C90+C91)*D92,0)</f>
        <v>0</v>
      </c>
      <c r="D92" s="226">
        <v>0.1</v>
      </c>
      <c r="E92" s="3146" t="s">
        <v>2292</v>
      </c>
      <c r="F92" s="3147"/>
      <c r="G92" s="3147"/>
      <c r="H92" s="314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2293</v>
      </c>
      <c r="B93" s="198" t="s">
        <v>2274</v>
      </c>
      <c r="C93" s="225">
        <f ca="1">ROUND(D45*D93/(1+'数据-取费表'!C42),0)</f>
        <v>260</v>
      </c>
      <c r="D93" s="226">
        <f>'数据-取费表'!B43</f>
        <v>6.000000000000001E-3</v>
      </c>
      <c r="E93" s="3146" t="s">
        <v>2275</v>
      </c>
      <c r="F93" s="3147"/>
      <c r="G93" s="3147"/>
      <c r="H93" s="314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2294</v>
      </c>
      <c r="B94" s="198" t="s">
        <v>2295</v>
      </c>
      <c r="C94" s="236">
        <f>ROUND((C87+C90+C91)*D94,0)</f>
        <v>0</v>
      </c>
      <c r="D94" s="226">
        <v>0.2</v>
      </c>
      <c r="E94" s="3194" t="s">
        <v>2296</v>
      </c>
      <c r="F94" s="3195"/>
      <c r="G94" s="3195"/>
      <c r="H94" s="3196"/>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2276</v>
      </c>
      <c r="C95" s="207">
        <f ca="1">ROUND(C85-C86,0)</f>
        <v>43128</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2277</v>
      </c>
      <c r="C96" s="227">
        <f ca="1">IF(C95&lt;=0,0,C95/C86)</f>
        <v>165.87692307692308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2278</v>
      </c>
      <c r="C97" s="228">
        <f ca="1">ROUND(IF(C95&lt;=0,0,IF(C96&gt;=200%,C95*60%-C86*35%,IF(C96&gt;=100%,C95*50%-C86*15%,IF(C96&gt;=50%,C95*40%-C86*5%,IF(C96&lt;50%,C95*30%,0))))),0)</f>
        <v>25786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2297</v>
      </c>
      <c r="B99" s="2420"/>
      <c r="C99" s="2420"/>
      <c r="D99" s="2420"/>
      <c r="E99" s="2167"/>
      <c r="F99" s="2167"/>
      <c r="G99" s="2167"/>
      <c r="H99" s="2166"/>
      <c r="I99" s="138"/>
    </row>
    <row r="100" spans="1:35" ht="18.75" customHeight="1">
      <c r="A100" s="3098" t="s">
        <v>2298</v>
      </c>
      <c r="B100" s="3099"/>
      <c r="C100" s="3099"/>
      <c r="D100" s="3130"/>
      <c r="E100" s="3099" t="s">
        <v>2299</v>
      </c>
      <c r="F100" s="3099"/>
      <c r="G100" s="3099"/>
      <c r="H100" s="3130"/>
      <c r="I100" s="138"/>
    </row>
    <row r="101" spans="1:35" ht="18.75" customHeight="1">
      <c r="A101" s="3138" t="s">
        <v>2300</v>
      </c>
      <c r="B101" s="3139"/>
      <c r="C101" s="736" t="str">
        <f>C4</f>
        <v>成本法</v>
      </c>
      <c r="D101" s="737" t="str">
        <f>D4</f>
        <v>收益法</v>
      </c>
      <c r="E101" s="3110" t="s">
        <v>2301</v>
      </c>
      <c r="F101" s="3111"/>
      <c r="G101" s="2522" t="s">
        <v>2302</v>
      </c>
      <c r="H101" s="1048">
        <f ca="1">H118</f>
        <v>45557</v>
      </c>
      <c r="I101" s="138"/>
    </row>
    <row r="102" spans="1:35" ht="18.75" customHeight="1">
      <c r="A102" s="3140" t="s">
        <v>2303</v>
      </c>
      <c r="B102" s="2522" t="s">
        <v>2302</v>
      </c>
      <c r="C102" s="736">
        <f ca="1">C19</f>
        <v>19059</v>
      </c>
      <c r="D102" s="737">
        <f ca="1">D19</f>
        <v>45557</v>
      </c>
      <c r="E102" s="3110"/>
      <c r="F102" s="3111"/>
      <c r="G102" s="2522" t="s">
        <v>2304</v>
      </c>
      <c r="H102" s="371">
        <f ca="1">I118</f>
        <v>11675</v>
      </c>
      <c r="I102" s="138"/>
    </row>
    <row r="103" spans="1:35" ht="42.75" customHeight="1">
      <c r="A103" s="3140"/>
      <c r="B103" s="2522" t="s">
        <v>2304</v>
      </c>
      <c r="C103" s="738">
        <f ca="1">C20</f>
        <v>4884</v>
      </c>
      <c r="D103" s="739">
        <f ca="1">D20</f>
        <v>11675</v>
      </c>
      <c r="E103" s="3104" t="s">
        <v>2305</v>
      </c>
      <c r="F103" s="3105"/>
      <c r="G103" s="2523" t="s">
        <v>2306</v>
      </c>
      <c r="H103" s="1048">
        <f>IF(D36="正常操作",H104+H105+H106,H105+H106)</f>
        <v>0</v>
      </c>
      <c r="I103" s="138"/>
    </row>
    <row r="104" spans="1:35" ht="18.75" customHeight="1">
      <c r="A104" s="3140" t="s">
        <v>2307</v>
      </c>
      <c r="B104" s="2524" t="s">
        <v>2302</v>
      </c>
      <c r="C104" s="740">
        <f ca="1">H118</f>
        <v>45557</v>
      </c>
      <c r="D104" s="741"/>
      <c r="E104" s="2268" t="s">
        <v>2308</v>
      </c>
      <c r="F104" s="2259"/>
      <c r="G104" s="2523" t="s">
        <v>2306</v>
      </c>
      <c r="H104" s="1049">
        <f>IF(D36="同一抵押权人同一抵押物续贷",C36&amp;"（未扣减，详见特别提示）",C36)</f>
        <v>0</v>
      </c>
      <c r="I104" s="138"/>
    </row>
    <row r="105" spans="1:35" ht="18.75" customHeight="1" thickBot="1">
      <c r="A105" s="3152"/>
      <c r="B105" s="2525" t="s">
        <v>2304</v>
      </c>
      <c r="C105" s="742">
        <f ca="1">I118</f>
        <v>11675</v>
      </c>
      <c r="D105" s="743"/>
      <c r="E105" s="2268" t="s">
        <v>2309</v>
      </c>
      <c r="F105" s="2259"/>
      <c r="G105" s="2523" t="s">
        <v>2306</v>
      </c>
      <c r="H105" s="1049">
        <f>C37</f>
        <v>0</v>
      </c>
      <c r="I105" s="138"/>
    </row>
    <row r="106" spans="1:35" ht="18.75" customHeight="1">
      <c r="A106" s="2420" t="s">
        <v>2310</v>
      </c>
      <c r="B106" s="2420"/>
      <c r="C106" s="2420"/>
      <c r="D106" s="2420"/>
      <c r="E106" s="2526" t="s">
        <v>2311</v>
      </c>
      <c r="F106" s="2259"/>
      <c r="G106" s="2523" t="s">
        <v>2306</v>
      </c>
      <c r="H106" s="1049">
        <f>C38</f>
        <v>0</v>
      </c>
      <c r="I106" s="138"/>
    </row>
    <row r="107" spans="1:35" ht="18.75" customHeight="1">
      <c r="A107" s="138"/>
      <c r="B107" s="138"/>
      <c r="C107" s="138"/>
      <c r="D107" s="138"/>
      <c r="E107" s="3141" t="str">
        <f>IF(项目基本情况!E8="已注销","——","3.房地产抵押价值")</f>
        <v>3.房地产抵押价值</v>
      </c>
      <c r="F107" s="3111"/>
      <c r="G107" s="2522" t="s">
        <v>2302</v>
      </c>
      <c r="H107" s="1048">
        <f ca="1">IF(E107="——","——",H101-H103)</f>
        <v>45557</v>
      </c>
      <c r="I107" s="138"/>
    </row>
    <row r="108" spans="1:35" ht="18.75" customHeight="1">
      <c r="A108" s="138"/>
      <c r="B108" s="138"/>
      <c r="C108" s="138"/>
      <c r="D108" s="138"/>
      <c r="E108" s="3141"/>
      <c r="F108" s="3111"/>
      <c r="G108" s="2522" t="s">
        <v>2304</v>
      </c>
      <c r="H108" s="371">
        <f ca="1">ROUND(H107*10000/'数据-汇总表'!E3,0)</f>
        <v>11675</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22" t="s">
        <v>2302</v>
      </c>
      <c r="H109" s="348" t="str">
        <f>IF(E109="——","——",H101-H105-H106)</f>
        <v>——</v>
      </c>
      <c r="I109" s="138"/>
    </row>
    <row r="110" spans="1:35" ht="18.75" customHeight="1">
      <c r="A110" s="138"/>
      <c r="B110" s="138"/>
      <c r="C110" s="138"/>
      <c r="D110" s="138"/>
      <c r="E110" s="3141"/>
      <c r="F110" s="3111"/>
      <c r="G110" s="2522" t="s">
        <v>2304</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2" t="s">
        <v>2302</v>
      </c>
      <c r="H111" s="1048" t="str">
        <f>IF(E111="——","——",N59)</f>
        <v>——</v>
      </c>
      <c r="I111" s="138"/>
    </row>
    <row r="112" spans="1:35" ht="18.75" customHeight="1" thickBot="1">
      <c r="A112" s="138"/>
      <c r="B112" s="138"/>
      <c r="C112" s="138"/>
      <c r="D112" s="138"/>
      <c r="E112" s="3144"/>
      <c r="F112" s="3145"/>
      <c r="G112" s="2527" t="s">
        <v>2304</v>
      </c>
      <c r="H112" s="790" t="str">
        <f>IF(E111="——","——",N61)</f>
        <v>——</v>
      </c>
      <c r="I112" s="138"/>
    </row>
    <row r="113" spans="1:11" ht="18.75" customHeight="1">
      <c r="A113" s="138"/>
      <c r="B113" s="138"/>
      <c r="C113" s="138"/>
      <c r="D113" s="138"/>
      <c r="E113" s="3153" t="s">
        <v>2310</v>
      </c>
      <c r="F113" s="3153"/>
      <c r="G113" s="3153"/>
      <c r="H113" s="3153"/>
      <c r="I113" s="138"/>
    </row>
    <row r="114" spans="1:11" ht="3.75" customHeight="1">
      <c r="A114" s="2420"/>
      <c r="B114" s="2420"/>
      <c r="C114" s="2420"/>
      <c r="D114" s="2420"/>
      <c r="E114" s="2498"/>
      <c r="F114" s="2498"/>
      <c r="G114" s="2498"/>
      <c r="H114" s="2498"/>
      <c r="I114" s="2420"/>
    </row>
    <row r="115" spans="1:11" ht="18.75" customHeight="1">
      <c r="A115" s="3166" t="s">
        <v>2312</v>
      </c>
      <c r="B115" s="3167"/>
      <c r="C115" s="3167"/>
      <c r="D115" s="3167"/>
      <c r="E115" s="3167"/>
      <c r="F115" s="3167"/>
      <c r="G115" s="3167"/>
      <c r="H115" s="3167"/>
      <c r="I115" s="3168"/>
    </row>
    <row r="116" spans="1:11" ht="27" customHeight="1">
      <c r="A116" s="3053" t="s">
        <v>2313</v>
      </c>
      <c r="B116" s="3120" t="s">
        <v>2314</v>
      </c>
      <c r="C116" s="3120" t="s">
        <v>2315</v>
      </c>
      <c r="D116" s="3126" t="s">
        <v>2316</v>
      </c>
      <c r="E116" s="3127"/>
      <c r="F116" s="3162" t="s">
        <v>2317</v>
      </c>
      <c r="G116" s="3162"/>
      <c r="H116" s="3053" t="s">
        <v>2318</v>
      </c>
      <c r="I116" s="3053"/>
    </row>
    <row r="117" spans="1:11" ht="18.75" customHeight="1">
      <c r="A117" s="3053"/>
      <c r="B117" s="3121"/>
      <c r="C117" s="3121"/>
      <c r="D117" s="1798" t="s">
        <v>2319</v>
      </c>
      <c r="E117" s="1798" t="s">
        <v>2320</v>
      </c>
      <c r="F117" s="1798" t="s">
        <v>2319</v>
      </c>
      <c r="G117" s="1798" t="s">
        <v>2321</v>
      </c>
      <c r="H117" s="1798" t="s">
        <v>2319</v>
      </c>
      <c r="I117" s="1798" t="s">
        <v>2321</v>
      </c>
    </row>
    <row r="118" spans="1:11" ht="24.75" customHeight="1">
      <c r="A118" s="2528" t="str">
        <f>项目基本情况!S2</f>
        <v>北京市海淀区八家嘉苑房地产</v>
      </c>
      <c r="B118" s="1798">
        <f>M18</f>
        <v>39021.709999999977</v>
      </c>
      <c r="C118" s="1798">
        <f>M19</f>
        <v>2227.66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45557</v>
      </c>
      <c r="I118" s="1798">
        <f ca="1">ROUND(IF(D32="楼面单价",C32,H118*10000/B118),0)</f>
        <v>11675</v>
      </c>
    </row>
    <row r="119" spans="1:11" ht="18.75" customHeight="1">
      <c r="A119" s="3053" t="s">
        <v>2322</v>
      </c>
      <c r="B119" s="3053"/>
      <c r="C119" s="3053"/>
      <c r="D119" s="3122" t="e">
        <f ca="1">NUMBERSTRING(INT(D118*10000),2)&amp;"元整"</f>
        <v>#REF!</v>
      </c>
      <c r="E119" s="3123"/>
      <c r="F119" s="3122" t="e">
        <f ca="1">NUMBERSTRING(INT(F118*10000),2)&amp;"元整"</f>
        <v>#REF!</v>
      </c>
      <c r="G119" s="3123"/>
      <c r="H119" s="3122" t="str">
        <f ca="1">NUMBERSTRING(INT(H118*10000),2)&amp;"元整"</f>
        <v>肆亿伍仟伍佰伍拾柒万元整</v>
      </c>
      <c r="I119" s="3123"/>
    </row>
    <row r="120" spans="1:11" ht="18.75" customHeight="1">
      <c r="A120" s="3117" t="str">
        <f>IF(项目基本情况!B9="房地产市场价值","",MID(E103,3,LEN(E103)-2))</f>
        <v/>
      </c>
      <c r="B120" s="3118"/>
      <c r="C120" s="3119"/>
      <c r="D120" s="3117">
        <f>H103</f>
        <v>0</v>
      </c>
      <c r="E120" s="3118"/>
      <c r="F120" s="3118"/>
      <c r="G120" s="3118"/>
      <c r="H120" s="3118"/>
      <c r="I120" s="3119"/>
      <c r="K120" s="2425" t="str">
        <f>IF(D120=0,"故，本次评估不存在"&amp;A120,"故，本次评估"&amp;A120&amp;"为人民币"&amp;D120&amp;"万元整。")</f>
        <v>故，本次评估不存在</v>
      </c>
    </row>
    <row r="121" spans="1:11" ht="18.75" customHeight="1">
      <c r="A121" s="3163" t="s">
        <v>2322</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
      </c>
      <c r="B122" s="3128"/>
      <c r="C122" s="3128"/>
      <c r="D122" s="3117">
        <f ca="1">H107</f>
        <v>45557</v>
      </c>
      <c r="E122" s="3118"/>
      <c r="F122" s="3118"/>
      <c r="G122" s="3118"/>
      <c r="H122" s="3118"/>
      <c r="I122" s="3119"/>
    </row>
    <row r="123" spans="1:11" ht="18.75" customHeight="1">
      <c r="A123" s="3053" t="s">
        <v>2322</v>
      </c>
      <c r="B123" s="3053"/>
      <c r="C123" s="3053"/>
      <c r="D123" s="3122" t="str">
        <f ca="1">NUMBERSTRING(INT(D122*10000),2)&amp;"元整"</f>
        <v>肆亿伍仟伍佰伍拾柒万元整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53" t="s">
        <v>2322</v>
      </c>
      <c r="B125" s="3053"/>
      <c r="C125" s="3053"/>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53" t="s">
        <v>2322</v>
      </c>
      <c r="B127" s="3053"/>
      <c r="C127" s="3053"/>
      <c r="D127" s="3122" t="e">
        <f>NUMBERSTRING(INT(D126*10000),2)&amp;"元整"</f>
        <v>#VALUE!</v>
      </c>
      <c r="E127" s="3124"/>
      <c r="F127" s="3124"/>
      <c r="G127" s="3124"/>
      <c r="H127" s="3124"/>
      <c r="I127" s="3123"/>
    </row>
    <row r="128" spans="1:11" ht="21.75" customHeight="1">
      <c r="A128" s="3125" t="s">
        <v>2323</v>
      </c>
      <c r="B128" s="3125"/>
      <c r="C128" s="3125"/>
      <c r="D128" s="3125"/>
      <c r="E128" s="3125"/>
      <c r="F128" s="3125"/>
      <c r="G128" s="3125"/>
      <c r="H128" s="3125"/>
      <c r="I128" s="3125"/>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2326</v>
      </c>
      <c r="G135" s="2546"/>
      <c r="H135" s="2546"/>
      <c r="I135" s="2547" t="s">
        <v>2327</v>
      </c>
    </row>
    <row r="136" spans="1:35" ht="21.75" customHeight="1">
      <c r="A136" s="795"/>
      <c r="B136" s="2548"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2329</v>
      </c>
    </row>
    <row r="139" spans="1:35" ht="21.75" customHeight="1">
      <c r="A139" s="795"/>
      <c r="B139" s="2548" t="s">
        <v>2330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2329</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7" t="str">
        <f>项目基本情况!B1</f>
        <v>北京市海淀区八家嘉苑房地产市场价值预评估</v>
      </c>
      <c r="C37" s="2987"/>
      <c r="D37" s="2987"/>
      <c r="E37" s="2987"/>
      <c r="F37" s="2987"/>
      <c r="G37" s="2987"/>
      <c r="H37" s="2987"/>
      <c r="I37" s="2987"/>
    </row>
    <row r="38" spans="1:9">
      <c r="A38" s="1019"/>
      <c r="B38" s="1019"/>
    </row>
    <row r="39" spans="1:9">
      <c r="A39" s="1017" t="s">
        <v>818</v>
      </c>
      <c r="B39" s="1017" t="s">
        <v>820</v>
      </c>
    </row>
    <row r="40" spans="1:9">
      <c r="A40" s="1017"/>
      <c r="B40" s="1945" t="str">
        <f>项目基本情况!B5</f>
        <v>北京八家嘉苑房地产开发有限公司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欧红伟（注册号：1120000080)、李立（注册号：1119970074)</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42" sqref="H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7</v>
      </c>
    </row>
    <row r="2" spans="1:9" s="244" customFormat="1" ht="18" customHeight="1">
      <c r="A2" s="245" t="s">
        <v>2332</v>
      </c>
      <c r="B2" s="246">
        <f ca="1">IF(D2="——",C52,C52-E2)</f>
        <v>19059</v>
      </c>
      <c r="C2" s="243" t="s">
        <v>2333</v>
      </c>
      <c r="D2" s="2551" t="s">
        <v>70</v>
      </c>
      <c r="E2" s="1443" t="e">
        <f ca="1">SUMIF(INDIRECT("'"&amp;G2&amp;"'"&amp;"!A:A"),"承租人权益价值",INDIRECT("'"&amp;G2&amp;"'"&amp;"!c:c"))</f>
        <v>#REF!</v>
      </c>
      <c r="F2" s="2552" t="s">
        <v>2333</v>
      </c>
      <c r="G2" s="2553"/>
    </row>
    <row r="3" spans="1:9" s="244" customFormat="1" ht="18" customHeight="1" thickBot="1">
      <c r="A3" s="247" t="s">
        <v>2334</v>
      </c>
      <c r="B3" s="248">
        <f ca="1">ROUND(B2*10000/(IF(B1="",'数据-汇总表'!E3,INDIRECT("'数据-取费表'!k"&amp;$G$1))),0)</f>
        <v>4884</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4"/>
    </row>
    <row r="9" spans="1:9" s="258" customFormat="1" ht="13.5" customHeight="1">
      <c r="A9" s="953" t="s">
        <v>800</v>
      </c>
      <c r="B9" s="268" t="s">
        <v>2348</v>
      </c>
      <c r="C9" s="269">
        <f ca="1">ROUND(D9*E9/10000,0)</f>
        <v>624</v>
      </c>
      <c r="D9" s="1035">
        <f ca="1">IF(B1="",'数据-汇总表'!E5,IF(INDIRECT("'数据-取费表'!c"&amp;$G$1)="住宅",INDIRECT("'数据-取费表'!k"&amp;$G$1),0))</f>
        <v>39021.709999999977</v>
      </c>
      <c r="E9" s="269">
        <f>'数据-取费表'!B27</f>
        <v>160</v>
      </c>
      <c r="F9" s="265"/>
      <c r="G9" s="2555"/>
      <c r="H9" s="1393"/>
      <c r="I9" s="2556"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780</v>
      </c>
      <c r="D19" s="1039">
        <f ca="1">D9+D10</f>
        <v>39021.709999999977</v>
      </c>
      <c r="E19" s="255">
        <f>'数据-取费表'!B31</f>
        <v>200</v>
      </c>
      <c r="F19" s="275"/>
      <c r="G19" s="2554"/>
    </row>
    <row r="20" spans="1:7" s="258" customFormat="1" ht="13.5" customHeight="1">
      <c r="A20" s="299" t="s">
        <v>2363</v>
      </c>
      <c r="B20" s="254" t="s">
        <v>2364</v>
      </c>
      <c r="C20" s="276">
        <f ca="1">ROUND((C5+C19)*F20,0)</f>
        <v>8</v>
      </c>
      <c r="D20" s="276"/>
      <c r="E20" s="276"/>
      <c r="F20" s="277">
        <f>'数据-取费表'!B37</f>
        <v>0.01</v>
      </c>
      <c r="G20" s="278" t="s">
        <v>2365</v>
      </c>
    </row>
    <row r="21" spans="1:7" s="258" customFormat="1" ht="13.5" customHeight="1">
      <c r="A21" s="299" t="s">
        <v>2366</v>
      </c>
      <c r="B21" s="254" t="s">
        <v>2367</v>
      </c>
      <c r="C21" s="279">
        <f>F21</f>
        <v>0.01</v>
      </c>
      <c r="D21" s="280" t="s">
        <v>2368</v>
      </c>
      <c r="E21" s="276"/>
      <c r="F21" s="277">
        <f>'数据-取费表'!B38</f>
        <v>0.01</v>
      </c>
      <c r="G21" s="278" t="s">
        <v>2369</v>
      </c>
    </row>
    <row r="22" spans="1:7" s="258" customFormat="1" ht="13.5" customHeight="1">
      <c r="A22" s="299" t="s">
        <v>2370</v>
      </c>
      <c r="B22" s="254" t="s">
        <v>2371</v>
      </c>
      <c r="C22" s="1357">
        <f ca="1">ROUND(SUM(C23:C25),0)</f>
        <v>76</v>
      </c>
      <c r="D22" s="279">
        <f ca="1">C26</f>
        <v>5.0000000000000001E-4</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76</v>
      </c>
      <c r="D24" s="282"/>
      <c r="E24" s="282"/>
      <c r="F24" s="283"/>
      <c r="G24" s="284" t="s">
        <v>2377</v>
      </c>
    </row>
    <row r="25" spans="1:7" s="258" customFormat="1" ht="24">
      <c r="A25" s="954" t="s">
        <v>2378</v>
      </c>
      <c r="B25" s="259" t="s">
        <v>2379</v>
      </c>
      <c r="C25" s="1358">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5.0000000000000001E-4</v>
      </c>
      <c r="D26" s="282"/>
      <c r="E26" s="285"/>
      <c r="F26" s="283"/>
      <c r="G26" s="287"/>
    </row>
    <row r="27" spans="1:7" s="258" customFormat="1" ht="24.75">
      <c r="A27" s="299" t="s">
        <v>2382</v>
      </c>
      <c r="B27" s="288" t="s">
        <v>2383</v>
      </c>
      <c r="C27" s="289">
        <f ca="1">C28</f>
        <v>118</v>
      </c>
      <c r="D27" s="279">
        <f ca="1">C29</f>
        <v>1.5E-3</v>
      </c>
      <c r="E27" s="280" t="s">
        <v>2384</v>
      </c>
      <c r="F27" s="290">
        <f ca="1">IF(B1="",'数据-取费表'!Q16,INDIRECT("'数据-取费表'!q"&amp;$G$1))</f>
        <v>0.15</v>
      </c>
      <c r="G27" s="291" t="s">
        <v>2385</v>
      </c>
    </row>
    <row r="28" spans="1:7" s="258" customFormat="1" ht="13.5" customHeight="1">
      <c r="A28" s="954" t="s">
        <v>791</v>
      </c>
      <c r="B28" s="292" t="s">
        <v>2386</v>
      </c>
      <c r="C28" s="293">
        <f ca="1">ROUND((C5+C19+C20)*F27*'数据-取费表'!B21/'数据-取费表'!B20,0)</f>
        <v>118</v>
      </c>
      <c r="D28" s="279"/>
      <c r="E28" s="280"/>
      <c r="F28" s="290"/>
      <c r="G28" s="291"/>
    </row>
    <row r="29" spans="1:7" s="258" customFormat="1" ht="13.5" customHeight="1">
      <c r="A29" s="954" t="s">
        <v>792</v>
      </c>
      <c r="B29" s="292" t="s">
        <v>2387</v>
      </c>
      <c r="C29" s="282">
        <f ca="1">ROUND(C21*F27*'数据-取费表'!B21/'数据-取费表'!B20,4)</f>
        <v>1.5E-3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1051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15463</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13658</v>
      </c>
      <c r="D34" s="261"/>
      <c r="E34" s="264"/>
      <c r="F34" s="301">
        <f ca="1">IF('数据-取费表'!B24=0,1,IF(B1="",'数据-取费表'!N16,INDIRECT("'数据-取费表'!n"&amp;$G$1)))</f>
        <v>1</v>
      </c>
      <c r="G34" s="263" t="s">
        <v>2396</v>
      </c>
    </row>
    <row r="35" spans="1:7" ht="13.5" customHeight="1">
      <c r="A35" s="954" t="s">
        <v>796</v>
      </c>
      <c r="B35" s="259" t="s">
        <v>2397</v>
      </c>
      <c r="C35" s="264">
        <f ca="1">ROUND(C34*F35,0)</f>
        <v>410</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410</v>
      </c>
      <c r="D36" s="264"/>
      <c r="E36" s="264"/>
      <c r="F36" s="303">
        <f>'数据-取费表'!B34</f>
        <v>0.03</v>
      </c>
      <c r="G36" s="304" t="s">
        <v>2400</v>
      </c>
    </row>
    <row r="37" spans="1:7" s="302" customFormat="1" ht="13.5" customHeight="1">
      <c r="A37" s="954" t="s">
        <v>798</v>
      </c>
      <c r="B37" s="259" t="s">
        <v>2401</v>
      </c>
      <c r="C37" s="293">
        <f ca="1">ROUND(E37*D37*F34/10000,0)</f>
        <v>780</v>
      </c>
      <c r="D37" s="261">
        <f ca="1">D19</f>
        <v>39021.709999999977</v>
      </c>
      <c r="E37" s="293">
        <f>'数据-取费表'!B35</f>
        <v>200</v>
      </c>
      <c r="F37" s="303"/>
      <c r="G37" s="305" t="s">
        <v>2402</v>
      </c>
    </row>
    <row r="38" spans="1:7" ht="13.5" customHeight="1">
      <c r="A38" s="954" t="s">
        <v>799</v>
      </c>
      <c r="B38" s="259" t="s">
        <v>2403</v>
      </c>
      <c r="C38" s="264">
        <f ca="1">ROUND(C34*F38,0)</f>
        <v>205</v>
      </c>
      <c r="D38" s="264"/>
      <c r="E38" s="264"/>
      <c r="F38" s="303">
        <f>'数据-取费表'!B36</f>
        <v>1.4999999999999999E-2</v>
      </c>
      <c r="G38" s="263" t="s">
        <v>2398</v>
      </c>
    </row>
    <row r="39" spans="1:7" s="258" customFormat="1" ht="13.5" customHeight="1">
      <c r="A39" s="299" t="s">
        <v>2404</v>
      </c>
      <c r="B39" s="254" t="s">
        <v>2405</v>
      </c>
      <c r="C39" s="276">
        <f ca="1">ROUND(C33*F20,0)</f>
        <v>155</v>
      </c>
      <c r="D39" s="276"/>
      <c r="E39" s="276"/>
      <c r="F39" s="277"/>
      <c r="G39" s="278" t="s">
        <v>2406</v>
      </c>
    </row>
    <row r="40" spans="1:7" s="258" customFormat="1" ht="13.5" customHeight="1">
      <c r="A40" s="299" t="s">
        <v>2407</v>
      </c>
      <c r="B40" s="254" t="s">
        <v>2408</v>
      </c>
      <c r="C40" s="1731">
        <f>F21</f>
        <v>0.01</v>
      </c>
      <c r="D40" s="280" t="s">
        <v>2409</v>
      </c>
      <c r="E40" s="276"/>
      <c r="F40" s="277"/>
      <c r="G40" s="278" t="s">
        <v>2410</v>
      </c>
    </row>
    <row r="41" spans="1:7" s="258" customFormat="1" ht="13.5" customHeight="1">
      <c r="A41" s="299" t="s">
        <v>2411</v>
      </c>
      <c r="B41" s="254" t="s">
        <v>2412</v>
      </c>
      <c r="C41" s="276">
        <f ca="1">ROUND(SUM(C42:C43),0)</f>
        <v>741</v>
      </c>
      <c r="D41" s="279">
        <f ca="1">C44</f>
        <v>5.0000000000000001E-4</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734</v>
      </c>
      <c r="D42" s="282"/>
      <c r="E42" s="282"/>
      <c r="F42" s="283"/>
      <c r="G42" s="3197" t="s">
        <v>2414</v>
      </c>
    </row>
    <row r="43" spans="1:7" ht="13.5" customHeight="1">
      <c r="A43" s="954" t="s">
        <v>792</v>
      </c>
      <c r="B43" s="259" t="s">
        <v>2415</v>
      </c>
      <c r="C43" s="282">
        <f ca="1">ROUND(IF('数据-取费表'!B22&lt;=1,C39*F22*'数据-取费表'!B21/2,C39*(POWER((1+F22),'数据-取费表'!B21/2)-1)),0)</f>
        <v>7</v>
      </c>
      <c r="D43" s="282"/>
      <c r="E43" s="282"/>
      <c r="F43" s="283"/>
      <c r="G43" s="3198"/>
    </row>
    <row r="44" spans="1:7" ht="13.5" customHeight="1">
      <c r="A44" s="954" t="s">
        <v>793</v>
      </c>
      <c r="B44" s="259" t="s">
        <v>2416</v>
      </c>
      <c r="C44" s="282">
        <f ca="1">ROUND(IF('数据-取费表'!B22&lt;=1,C40*F22*'数据-取费表'!B21/2,C40*(POWER((1+F22),'数据-取费表'!B21/2)-1)),4)</f>
        <v>5.0000000000000001E-4</v>
      </c>
      <c r="D44" s="282"/>
      <c r="E44" s="282"/>
      <c r="F44" s="283"/>
      <c r="G44" s="3199"/>
    </row>
    <row r="45" spans="1:7" s="258" customFormat="1" ht="13.5" customHeight="1">
      <c r="A45" s="299" t="s">
        <v>2417</v>
      </c>
      <c r="B45" s="288" t="s">
        <v>2383</v>
      </c>
      <c r="C45" s="289">
        <f ca="1">C46</f>
        <v>2343</v>
      </c>
      <c r="D45" s="279">
        <f ca="1">C47</f>
        <v>1.5E-3</v>
      </c>
      <c r="E45" s="280" t="s">
        <v>2409</v>
      </c>
      <c r="F45" s="290"/>
      <c r="G45" s="291" t="s">
        <v>2418</v>
      </c>
    </row>
    <row r="46" spans="1:7" s="258" customFormat="1" ht="13.5" customHeight="1">
      <c r="A46" s="954" t="s">
        <v>791</v>
      </c>
      <c r="B46" s="292" t="s">
        <v>2419</v>
      </c>
      <c r="C46" s="293">
        <f ca="1">ROUND((C33+C39)*F27,0)</f>
        <v>2343</v>
      </c>
      <c r="D46" s="307"/>
      <c r="E46" s="280"/>
      <c r="F46" s="290"/>
      <c r="G46" s="291"/>
    </row>
    <row r="47" spans="1:7" s="258" customFormat="1" ht="13.5" customHeight="1">
      <c r="A47" s="954" t="s">
        <v>792</v>
      </c>
      <c r="B47" s="292" t="s">
        <v>2420</v>
      </c>
      <c r="C47" s="282">
        <f ca="1">ROUND(C40*F27,4)</f>
        <v>1.5E-3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20009</v>
      </c>
      <c r="D49" s="276"/>
      <c r="E49" s="276"/>
      <c r="F49" s="308"/>
      <c r="G49" s="278" t="s">
        <v>2424</v>
      </c>
    </row>
    <row r="50" spans="1:7" s="302" customFormat="1" ht="24">
      <c r="A50" s="299" t="s">
        <v>2425</v>
      </c>
      <c r="B50" s="254" t="s">
        <v>2426</v>
      </c>
      <c r="C50" s="276"/>
      <c r="D50" s="276"/>
      <c r="E50" s="276"/>
      <c r="F50" s="308">
        <f>IF('数据-取费表'!B24=0,'数据-取费表'!N16,1)</f>
        <v>0.9</v>
      </c>
      <c r="G50" s="291" t="s">
        <v>2427</v>
      </c>
    </row>
    <row r="51" spans="1:7" ht="16.5" customHeight="1">
      <c r="A51" s="299" t="s">
        <v>2428</v>
      </c>
      <c r="B51" s="254" t="s">
        <v>2429</v>
      </c>
      <c r="C51" s="276">
        <f ca="1">ROUND(C49*F50,0)</f>
        <v>18008</v>
      </c>
      <c r="D51" s="276"/>
      <c r="E51" s="276"/>
      <c r="F51" s="308"/>
      <c r="G51" s="278" t="s">
        <v>2430</v>
      </c>
    </row>
    <row r="52" spans="1:7" s="252" customFormat="1" ht="16.5" thickBot="1">
      <c r="A52" s="309" t="s">
        <v>2431</v>
      </c>
      <c r="B52" s="310"/>
      <c r="C52" s="311">
        <f ca="1">C31+C51</f>
        <v>19059</v>
      </c>
      <c r="D52" s="310"/>
      <c r="E52" s="310"/>
      <c r="F52" s="310"/>
      <c r="G52" s="312"/>
    </row>
    <row r="55" spans="1:7" ht="15">
      <c r="B55" s="314" t="s">
        <v>2432</v>
      </c>
      <c r="C55" s="315"/>
    </row>
    <row r="56" spans="1:7">
      <c r="B56" s="317" t="s">
        <v>1513</v>
      </c>
      <c r="C56" s="319">
        <f ca="1">1-C57</f>
        <v>5.5000000000000049E-2</v>
      </c>
    </row>
    <row r="57" spans="1:7">
      <c r="B57" s="317" t="s">
        <v>1514</v>
      </c>
      <c r="C57" s="318">
        <f ca="1">ROUND(C51/C52,3)</f>
        <v>0.94499999999999995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2" sqref="H4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7" t="s">
        <v>2433</v>
      </c>
      <c r="D1" s="242"/>
      <c r="E1" s="242"/>
      <c r="F1" s="242"/>
      <c r="G1" s="1382">
        <f>MATCH(B1,'数据-取费表'!A6:A16,0)+5</f>
        <v>7</v>
      </c>
      <c r="H1" s="1285" t="str">
        <f>IF(ISERROR(FIND("住宅",B1)),"非住宅","住宅")</f>
        <v>非住宅</v>
      </c>
    </row>
    <row r="2" spans="1:8" s="244" customFormat="1" ht="18" customHeight="1">
      <c r="A2" s="245" t="s">
        <v>2332</v>
      </c>
      <c r="B2" s="246">
        <f ca="1">ROUND(IF(D2="——",C52/10000,C52/10000-E2),0)</f>
        <v>19900</v>
      </c>
      <c r="C2" s="243" t="s">
        <v>2333</v>
      </c>
      <c r="D2" s="2551" t="s">
        <v>70</v>
      </c>
      <c r="E2" s="1443" t="e">
        <f ca="1">SUMIF(INDIRECT("'"&amp;G2&amp;"'"&amp;"!A:A"),"承租人权益价值",INDIRECT("'"&amp;G2&amp;"'"&amp;"!c:c"))</f>
        <v>#REF!</v>
      </c>
      <c r="F2" s="2552" t="s">
        <v>2333</v>
      </c>
      <c r="G2" s="2553"/>
    </row>
    <row r="3" spans="1:8" s="244" customFormat="1" ht="18" customHeight="1" thickBot="1">
      <c r="A3" s="247" t="s">
        <v>2334</v>
      </c>
      <c r="B3" s="248">
        <f ca="1">ROUND(B2*10000/(IF(B1="",'数据-汇总表'!E3,INDIRECT("'数据-取费表'!k"&amp;$G$1))),0)</f>
        <v>5100</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6243474</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6243474</v>
      </c>
      <c r="D8" s="266"/>
      <c r="E8" s="264"/>
      <c r="F8" s="265"/>
      <c r="G8" s="2554"/>
    </row>
    <row r="9" spans="1:8" s="258" customFormat="1" ht="13.5" customHeight="1">
      <c r="A9" s="953" t="s">
        <v>800</v>
      </c>
      <c r="B9" s="268" t="s">
        <v>2348</v>
      </c>
      <c r="C9" s="269">
        <f ca="1">ROUND(D9*E9,0)</f>
        <v>6243474</v>
      </c>
      <c r="D9" s="1035">
        <f ca="1">IF(B1="",'数据-汇总表'!E5,IF(INDIRECT("'数据-取费表'!c"&amp;$G$1)="住宅",INDIRECT("'数据-取费表'!k"&amp;$G$1),0))</f>
        <v>39021.709999999977</v>
      </c>
      <c r="E9" s="269">
        <f>'数据-取费表'!B27</f>
        <v>160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7804342</v>
      </c>
      <c r="D19" s="1039">
        <f ca="1">D9+D10</f>
        <v>39021.709999999977</v>
      </c>
      <c r="E19" s="255">
        <f>'数据-取费表'!B31</f>
        <v>200</v>
      </c>
      <c r="F19" s="275"/>
      <c r="G19" s="2554"/>
    </row>
    <row r="20" spans="1:7" s="258" customFormat="1" ht="13.5" customHeight="1">
      <c r="A20" s="299" t="s">
        <v>2444</v>
      </c>
      <c r="B20" s="254" t="s">
        <v>2445</v>
      </c>
      <c r="C20" s="276">
        <f ca="1">ROUND((C5+C19)*F20,0)</f>
        <v>140478</v>
      </c>
      <c r="D20" s="276"/>
      <c r="E20" s="276"/>
      <c r="F20" s="277">
        <f>'数据-取费表'!B37</f>
        <v>0.01</v>
      </c>
      <c r="G20" s="278" t="s">
        <v>2446</v>
      </c>
    </row>
    <row r="21" spans="1:7" s="258" customFormat="1" ht="13.5" customHeight="1">
      <c r="A21" s="299" t="s">
        <v>2447</v>
      </c>
      <c r="B21" s="254" t="s">
        <v>2448</v>
      </c>
      <c r="C21" s="279">
        <f>F21</f>
        <v>0.01</v>
      </c>
      <c r="D21" s="280" t="s">
        <v>2449</v>
      </c>
      <c r="E21" s="276"/>
      <c r="F21" s="277">
        <f>'数据-取费表'!B38</f>
        <v>0.01</v>
      </c>
      <c r="G21" s="278" t="s">
        <v>2450</v>
      </c>
    </row>
    <row r="22" spans="1:7" s="258" customFormat="1" ht="13.5" customHeight="1">
      <c r="A22" s="299" t="s">
        <v>2451</v>
      </c>
      <c r="B22" s="254" t="s">
        <v>2452</v>
      </c>
      <c r="C22" s="1383">
        <f ca="1">ROUND(SUM(C23:C25),0)</f>
        <v>1372911</v>
      </c>
      <c r="D22" s="279">
        <f ca="1">C26</f>
        <v>5.0000000000000001E-4</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607217</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759021</v>
      </c>
      <c r="D24" s="282"/>
      <c r="E24" s="282"/>
      <c r="F24" s="283"/>
      <c r="G24" s="284" t="s">
        <v>2456</v>
      </c>
    </row>
    <row r="25" spans="1:7" s="258" customFormat="1" ht="24">
      <c r="A25" s="954" t="s">
        <v>2346</v>
      </c>
      <c r="B25" s="259" t="s">
        <v>2457</v>
      </c>
      <c r="C25" s="1384">
        <f ca="1">ROUND(IF('数据-取费表'!B22&lt;=1,C20*F22*'数据-取费表'!B22/2,C20*(POWER((1+F22),'数据-取费表'!B22/2)-1)),0)</f>
        <v>6673</v>
      </c>
      <c r="D25" s="282"/>
      <c r="E25" s="285"/>
      <c r="F25" s="283"/>
      <c r="G25" s="286" t="s">
        <v>2458</v>
      </c>
    </row>
    <row r="26" spans="1:7" s="258" customFormat="1">
      <c r="A26" s="954" t="s">
        <v>795</v>
      </c>
      <c r="B26" s="259" t="s">
        <v>2381</v>
      </c>
      <c r="C26" s="282">
        <f ca="1">ROUND(IF('数据-取费表'!B22&lt;=1,F21*F22*'数据-取费表'!B22/2,F21*(POWER((1+F22),'数据-取费表'!B22/2)-1)),4)</f>
        <v>5.0000000000000001E-4</v>
      </c>
      <c r="D26" s="282"/>
      <c r="E26" s="285"/>
      <c r="F26" s="283"/>
      <c r="G26" s="287"/>
    </row>
    <row r="27" spans="1:7" s="258" customFormat="1" ht="24.75">
      <c r="A27" s="299" t="s">
        <v>2382</v>
      </c>
      <c r="B27" s="288" t="s">
        <v>2383</v>
      </c>
      <c r="C27" s="289">
        <f ca="1">C28</f>
        <v>2128244</v>
      </c>
      <c r="D27" s="279">
        <f ca="1">C29</f>
        <v>1.5E-3</v>
      </c>
      <c r="E27" s="280" t="s">
        <v>2384</v>
      </c>
      <c r="F27" s="290">
        <f ca="1">IF(B1="",'数据-取费表'!Q16,INDIRECT("'数据-取费表'!q"&amp;$G$1))</f>
        <v>0.15</v>
      </c>
      <c r="G27" s="291" t="s">
        <v>2385</v>
      </c>
    </row>
    <row r="28" spans="1:7" s="258" customFormat="1" ht="13.5" customHeight="1">
      <c r="A28" s="954" t="s">
        <v>791</v>
      </c>
      <c r="B28" s="292" t="s">
        <v>2386</v>
      </c>
      <c r="C28" s="293">
        <f ca="1">ROUND((C5+C19+C20)*F27,0)</f>
        <v>2128244</v>
      </c>
      <c r="D28" s="279"/>
      <c r="E28" s="280"/>
      <c r="F28" s="290"/>
      <c r="G28" s="291"/>
    </row>
    <row r="29" spans="1:7" s="258" customFormat="1" ht="13.5" customHeight="1">
      <c r="A29" s="954" t="s">
        <v>792</v>
      </c>
      <c r="B29" s="292" t="s">
        <v>2387</v>
      </c>
      <c r="C29" s="282">
        <f ca="1">ROUND(C21*F27,4)</f>
        <v>1.5E-3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18925269</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154623527</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136575985</v>
      </c>
      <c r="D34" s="261"/>
      <c r="E34" s="264"/>
      <c r="F34" s="301"/>
      <c r="G34" s="263"/>
    </row>
    <row r="35" spans="1:7" ht="13.5" customHeight="1">
      <c r="A35" s="954" t="s">
        <v>796</v>
      </c>
      <c r="B35" s="259" t="s">
        <v>2397</v>
      </c>
      <c r="C35" s="264">
        <f ca="1">ROUND(C34*F35,0)</f>
        <v>4097280</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4097280</v>
      </c>
      <c r="D36" s="264"/>
      <c r="E36" s="264"/>
      <c r="F36" s="303">
        <f>'数据-取费表'!B34</f>
        <v>0.03</v>
      </c>
      <c r="G36" s="304" t="s">
        <v>2400</v>
      </c>
    </row>
    <row r="37" spans="1:7" s="302" customFormat="1" ht="13.5" customHeight="1">
      <c r="A37" s="954" t="s">
        <v>798</v>
      </c>
      <c r="B37" s="259" t="s">
        <v>2401</v>
      </c>
      <c r="C37" s="293">
        <f ca="1">ROUND(E37*D37,0)</f>
        <v>7804342</v>
      </c>
      <c r="D37" s="261">
        <f ca="1">D19</f>
        <v>39021.709999999977</v>
      </c>
      <c r="E37" s="293">
        <f>'数据-取费表'!B35</f>
        <v>200</v>
      </c>
      <c r="F37" s="303"/>
      <c r="G37" s="305"/>
    </row>
    <row r="38" spans="1:7" ht="13.5" customHeight="1">
      <c r="A38" s="954" t="s">
        <v>799</v>
      </c>
      <c r="B38" s="259" t="s">
        <v>2403</v>
      </c>
      <c r="C38" s="264">
        <f ca="1">ROUND(C34*F38,0)</f>
        <v>2048640</v>
      </c>
      <c r="D38" s="264"/>
      <c r="E38" s="264"/>
      <c r="F38" s="303">
        <f>'数据-取费表'!B36</f>
        <v>1.4999999999999999E-2</v>
      </c>
      <c r="G38" s="263" t="s">
        <v>2398</v>
      </c>
    </row>
    <row r="39" spans="1:7" s="258" customFormat="1" ht="13.5" customHeight="1">
      <c r="A39" s="299" t="s">
        <v>2404</v>
      </c>
      <c r="B39" s="254" t="s">
        <v>2405</v>
      </c>
      <c r="C39" s="276">
        <f ca="1">ROUND(C33*F20,0)</f>
        <v>1546235</v>
      </c>
      <c r="D39" s="276"/>
      <c r="E39" s="276"/>
      <c r="F39" s="277"/>
      <c r="G39" s="278" t="s">
        <v>2406</v>
      </c>
    </row>
    <row r="40" spans="1:7" s="258" customFormat="1" ht="13.5" customHeight="1">
      <c r="A40" s="299" t="s">
        <v>2407</v>
      </c>
      <c r="B40" s="254" t="s">
        <v>2408</v>
      </c>
      <c r="C40" s="1731">
        <f>F21</f>
        <v>0.01</v>
      </c>
      <c r="D40" s="280" t="s">
        <v>2409</v>
      </c>
      <c r="E40" s="276"/>
      <c r="F40" s="277"/>
      <c r="G40" s="278" t="s">
        <v>2410</v>
      </c>
    </row>
    <row r="41" spans="1:7" s="258" customFormat="1" ht="13.5" customHeight="1">
      <c r="A41" s="299" t="s">
        <v>2411</v>
      </c>
      <c r="B41" s="254" t="s">
        <v>2412</v>
      </c>
      <c r="C41" s="276">
        <f ca="1">ROUND(SUM(C42:C43),0)</f>
        <v>7418064</v>
      </c>
      <c r="D41" s="279">
        <f ca="1">C44</f>
        <v>5.0000000000000001E-4</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7344618</v>
      </c>
      <c r="D42" s="282"/>
      <c r="E42" s="282"/>
      <c r="F42" s="283"/>
      <c r="G42" s="3197" t="s">
        <v>2461</v>
      </c>
    </row>
    <row r="43" spans="1:7" ht="13.5" customHeight="1">
      <c r="A43" s="954" t="s">
        <v>792</v>
      </c>
      <c r="B43" s="259" t="s">
        <v>2415</v>
      </c>
      <c r="C43" s="282">
        <f ca="1">ROUND(IF('数据-取费表'!B22&lt;=1,C39*F22*'数据-取费表'!B20/2,C39*(POWER((1+F22),'数据-取费表'!B20/2)-1)),0)</f>
        <v>73446</v>
      </c>
      <c r="D43" s="282"/>
      <c r="E43" s="282"/>
      <c r="F43" s="283"/>
      <c r="G43" s="3198"/>
    </row>
    <row r="44" spans="1:7" ht="13.5" customHeight="1">
      <c r="A44" s="954" t="s">
        <v>793</v>
      </c>
      <c r="B44" s="259" t="s">
        <v>2416</v>
      </c>
      <c r="C44" s="282">
        <f ca="1">ROUND(IF('数据-取费表'!B22&lt;=1,C40*F22*'数据-取费表'!B20/2,C40*(POWER((1+F22),'数据-取费表'!B20/2)-1)),4)</f>
        <v>5.0000000000000001E-4</v>
      </c>
      <c r="D44" s="282"/>
      <c r="E44" s="282"/>
      <c r="F44" s="283"/>
      <c r="G44" s="3199"/>
    </row>
    <row r="45" spans="1:7" s="258" customFormat="1" ht="13.5" customHeight="1">
      <c r="A45" s="299" t="s">
        <v>2417</v>
      </c>
      <c r="B45" s="288" t="s">
        <v>2383</v>
      </c>
      <c r="C45" s="289">
        <f ca="1">C46</f>
        <v>23425464</v>
      </c>
      <c r="D45" s="279">
        <f ca="1">C47</f>
        <v>1.5E-3</v>
      </c>
      <c r="E45" s="280" t="s">
        <v>2409</v>
      </c>
      <c r="F45" s="290"/>
      <c r="G45" s="291" t="s">
        <v>2418</v>
      </c>
    </row>
    <row r="46" spans="1:7" s="258" customFormat="1" ht="13.5" customHeight="1">
      <c r="A46" s="954" t="s">
        <v>791</v>
      </c>
      <c r="B46" s="292" t="s">
        <v>2419</v>
      </c>
      <c r="C46" s="293">
        <f ca="1">ROUND((C33+C39)*F27,0)</f>
        <v>23425464</v>
      </c>
      <c r="D46" s="307"/>
      <c r="E46" s="280"/>
      <c r="F46" s="290"/>
      <c r="G46" s="291"/>
    </row>
    <row r="47" spans="1:7" s="258" customFormat="1" ht="13.5" customHeight="1">
      <c r="A47" s="954" t="s">
        <v>792</v>
      </c>
      <c r="B47" s="292" t="s">
        <v>2420</v>
      </c>
      <c r="C47" s="282">
        <f ca="1">ROUND(C40*F27,4)</f>
        <v>1.5E-3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200078410</v>
      </c>
      <c r="D49" s="276"/>
      <c r="E49" s="276"/>
      <c r="F49" s="308"/>
      <c r="G49" s="278" t="s">
        <v>2424</v>
      </c>
    </row>
    <row r="50" spans="1:7" s="302" customFormat="1">
      <c r="A50" s="299" t="s">
        <v>2425</v>
      </c>
      <c r="B50" s="254" t="s">
        <v>2426</v>
      </c>
      <c r="C50" s="276"/>
      <c r="D50" s="276"/>
      <c r="E50" s="276"/>
      <c r="F50" s="308">
        <f>IF('数据-取费表'!B24=0,'数据-取费表'!N16,1)</f>
        <v>0.9</v>
      </c>
      <c r="G50" s="291"/>
    </row>
    <row r="51" spans="1:7" ht="16.5" customHeight="1">
      <c r="A51" s="299" t="s">
        <v>2428</v>
      </c>
      <c r="B51" s="254" t="s">
        <v>2463</v>
      </c>
      <c r="C51" s="276">
        <f ca="1">ROUND(C49*F50,0)</f>
        <v>180070569</v>
      </c>
      <c r="D51" s="276"/>
      <c r="E51" s="276"/>
      <c r="F51" s="308"/>
      <c r="G51" s="278" t="s">
        <v>2430</v>
      </c>
    </row>
    <row r="52" spans="1:7" s="252" customFormat="1" ht="16.5" thickBot="1">
      <c r="A52" s="309" t="s">
        <v>2431</v>
      </c>
      <c r="B52" s="310"/>
      <c r="C52" s="311">
        <f ca="1">C31+C51</f>
        <v>198995838</v>
      </c>
      <c r="D52" s="310"/>
      <c r="E52" s="310"/>
      <c r="F52" s="310"/>
      <c r="G52" s="312"/>
    </row>
    <row r="55" spans="1:7" ht="15">
      <c r="B55" s="314" t="s">
        <v>2432</v>
      </c>
      <c r="C55" s="315"/>
    </row>
    <row r="56" spans="1:7">
      <c r="B56" s="317" t="s">
        <v>1513</v>
      </c>
      <c r="C56" s="319">
        <f ca="1">1-C57</f>
        <v>9.4999999999999973E-2</v>
      </c>
    </row>
    <row r="57" spans="1:7">
      <c r="B57" s="317" t="s">
        <v>1514</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2" sqref="H4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7</v>
      </c>
    </row>
    <row r="2" spans="1:33" ht="18" customHeight="1">
      <c r="A2" s="245" t="s">
        <v>2332</v>
      </c>
      <c r="B2" s="248">
        <f ca="1">C32</f>
        <v>-705</v>
      </c>
      <c r="C2" s="320" t="s">
        <v>2465</v>
      </c>
      <c r="D2" s="320"/>
      <c r="E2" s="320"/>
      <c r="F2" s="320"/>
      <c r="G2" s="320"/>
      <c r="H2" s="320"/>
      <c r="I2" s="320"/>
      <c r="J2" s="320"/>
      <c r="K2" s="320"/>
    </row>
    <row r="3" spans="1:33" ht="18" customHeight="1" thickBot="1">
      <c r="A3" s="247" t="s">
        <v>2334</v>
      </c>
      <c r="B3" s="248">
        <f ca="1">ROUND(B2*10000/IF(C1="",'数据-汇总表'!E3,INDIRECT("'数据-取费表'!K"&amp;$K$1)),0)</f>
        <v>-181</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8" t="s">
        <v>2470</v>
      </c>
      <c r="D5" s="2558" t="s">
        <v>2471</v>
      </c>
      <c r="E5" s="2558" t="s">
        <v>2472</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0.03</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39021.709999999977</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39021.709999999977</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624</v>
      </c>
      <c r="D18" s="1036"/>
      <c r="E18" s="24"/>
      <c r="F18" s="979"/>
      <c r="G18" s="2560"/>
      <c r="H18" s="1580"/>
      <c r="I18" s="2561" t="s">
        <v>2498</v>
      </c>
      <c r="J18" s="982"/>
      <c r="K18" s="983"/>
    </row>
    <row r="19" spans="1:33" s="978" customFormat="1" ht="13.5" customHeight="1">
      <c r="A19" s="974" t="s">
        <v>805</v>
      </c>
      <c r="B19" s="975" t="s">
        <v>2499</v>
      </c>
      <c r="C19" s="24">
        <f ca="1">ROUND(D19*E19/10000,0)</f>
        <v>624</v>
      </c>
      <c r="D19" s="1036">
        <f ca="1">IF(C1="",'数据-汇总表'!E5,IF(INDIRECT("'数据-取费表'!c"&amp;$K$1)="住宅",INDIRECT("'数据-取费表'!k"&amp;$K$1),0))</f>
        <v>39021.709999999977</v>
      </c>
      <c r="E19" s="24">
        <f>'数据-取费表'!B27</f>
        <v>160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2501</v>
      </c>
      <c r="C21" s="989">
        <f ca="1">C16+C17+C18</f>
        <v>624</v>
      </c>
      <c r="D21" s="990"/>
      <c r="E21" s="325"/>
      <c r="F21" s="325"/>
      <c r="G21" s="140" t="s">
        <v>2502</v>
      </c>
      <c r="H21" s="982"/>
      <c r="I21" s="982"/>
      <c r="J21" s="982"/>
      <c r="K21" s="983"/>
    </row>
    <row r="22" spans="1:33" s="978" customFormat="1" ht="13.5" customHeight="1">
      <c r="A22" s="964" t="s">
        <v>2474</v>
      </c>
      <c r="B22" s="988" t="s">
        <v>2503</v>
      </c>
      <c r="C22" s="989">
        <f ca="1">ROUND(C21*F22,0)</f>
        <v>6</v>
      </c>
      <c r="D22" s="325"/>
      <c r="E22" s="325"/>
      <c r="F22" s="991">
        <f>'数据-取费表'!B37</f>
        <v>0.01</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0.01</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2514</v>
      </c>
      <c r="B28" s="2563" t="s">
        <v>2515</v>
      </c>
      <c r="C28" s="331">
        <f ca="1">C30</f>
        <v>95</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95</v>
      </c>
      <c r="D30" s="328"/>
      <c r="E30" s="329"/>
      <c r="F30" s="334"/>
      <c r="G30" s="140"/>
      <c r="H30" s="982"/>
      <c r="I30" s="982"/>
      <c r="J30" s="982"/>
      <c r="K30" s="983"/>
    </row>
    <row r="31" spans="1:33" s="978" customFormat="1" ht="13.5" customHeight="1" thickBot="1">
      <c r="A31" s="2564"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-705</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3" zoomScale="90" zoomScaleNormal="90" zoomScaleSheetLayoutView="90" workbookViewId="0">
      <selection activeCell="C28" sqref="C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3082</v>
      </c>
      <c r="D1" s="1823" t="s">
        <v>70</v>
      </c>
      <c r="E1" s="1824" t="s">
        <v>1387</v>
      </c>
      <c r="F1" s="1286">
        <f>J53</f>
        <v>20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45557</v>
      </c>
      <c r="C2" s="1848" t="s">
        <v>1516</v>
      </c>
      <c r="D2" s="1848"/>
      <c r="E2" s="1849"/>
      <c r="F2" s="1850"/>
      <c r="G2" s="1851"/>
      <c r="H2" s="1843"/>
      <c r="I2" s="1843"/>
      <c r="J2" s="1843"/>
      <c r="K2" s="1844"/>
      <c r="L2" s="1843"/>
      <c r="M2" s="1843"/>
    </row>
    <row r="3" spans="1:37" ht="18" customHeight="1" thickBot="1">
      <c r="A3" s="1852" t="s">
        <v>1517</v>
      </c>
      <c r="B3" s="1853">
        <f ca="1">IF(ISERROR(B2*10000/F43),0,ROUND(B2*10000/F43,0))</f>
        <v>11675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3593</v>
      </c>
      <c r="D5" s="1825" t="s">
        <v>1402</v>
      </c>
      <c r="E5" s="1296"/>
      <c r="F5" s="1297"/>
      <c r="G5" s="1854"/>
      <c r="H5" s="344">
        <v>1</v>
      </c>
      <c r="I5" s="345" t="s">
        <v>1401</v>
      </c>
      <c r="J5" s="1295">
        <f ca="1">J6+J10+J12</f>
        <v>0</v>
      </c>
      <c r="K5" s="1825" t="s">
        <v>1402</v>
      </c>
      <c r="L5" s="1296"/>
      <c r="M5" s="1297"/>
    </row>
    <row r="6" spans="1:37" ht="18" customHeight="1">
      <c r="A6" s="1294" t="s">
        <v>1035</v>
      </c>
      <c r="B6" s="3202" t="s">
        <v>1403</v>
      </c>
      <c r="C6" s="1299">
        <f ca="1">ROUND(F6*F8*F7*(1-F9)/10000,0)</f>
        <v>3589</v>
      </c>
      <c r="D6" s="164" t="s">
        <v>3039</v>
      </c>
      <c r="E6" s="347" t="s">
        <v>1405</v>
      </c>
      <c r="F6" s="348">
        <f ca="1">INDIRECT("'数据-取费表'!u"&amp;$G$1)</f>
        <v>2.8</v>
      </c>
      <c r="G6" s="1854"/>
      <c r="H6" s="1294" t="s">
        <v>1035</v>
      </c>
      <c r="I6" s="3202" t="s">
        <v>1403</v>
      </c>
      <c r="J6" s="346">
        <f ca="1">ROUND(M6*M8*M7*(1-M9)/10000,0)</f>
        <v>0</v>
      </c>
      <c r="K6" s="164" t="s">
        <v>3038</v>
      </c>
      <c r="L6" s="347" t="s">
        <v>1405</v>
      </c>
      <c r="M6" s="348">
        <f ca="1">INDIRECT("'数据-取费表'!z"&amp;$G$1)</f>
        <v>0</v>
      </c>
    </row>
    <row r="7" spans="1:37" ht="18" customHeight="1">
      <c r="A7" s="1298"/>
      <c r="B7" s="3203"/>
      <c r="C7" s="1300"/>
      <c r="D7" s="352"/>
      <c r="E7" s="1301" t="s">
        <v>1406</v>
      </c>
      <c r="F7" s="348">
        <f ca="1">IF(INDIRECT("'数据-取费表'!ah"&amp;$G$1)="",INDIRECT("'数据-取费表'!k"&amp;$G$1),INDIRECT("'数据-取费表'!ah"&amp;$G$1))</f>
        <v>39021.709999999977</v>
      </c>
      <c r="G7" s="1854"/>
      <c r="H7" s="349"/>
      <c r="I7" s="3203"/>
      <c r="J7" s="351"/>
      <c r="K7" s="352"/>
      <c r="L7" s="347" t="s">
        <v>1406</v>
      </c>
      <c r="M7" s="348">
        <f ca="1">F7</f>
        <v>39021.709999999977</v>
      </c>
    </row>
    <row r="8" spans="1:37" ht="18" customHeight="1">
      <c r="A8" s="349"/>
      <c r="B8" s="3203"/>
      <c r="C8" s="351"/>
      <c r="D8" s="352"/>
      <c r="E8" s="347" t="s">
        <v>1407</v>
      </c>
      <c r="F8" s="348">
        <f ca="1">INDIRECT("'数据-取费表'!ai"&amp;$G$1)</f>
        <v>365</v>
      </c>
      <c r="G8" s="1854"/>
      <c r="H8" s="349"/>
      <c r="I8" s="3203"/>
      <c r="J8" s="351"/>
      <c r="K8" s="352"/>
      <c r="L8" s="347" t="s">
        <v>1407</v>
      </c>
      <c r="M8" s="348">
        <f ca="1">INDIRECT("'数据-取费表'!ai"&amp;$G$1)</f>
        <v>365</v>
      </c>
    </row>
    <row r="9" spans="1:37" ht="18" customHeight="1">
      <c r="A9" s="349"/>
      <c r="B9" s="3204"/>
      <c r="C9" s="351"/>
      <c r="D9" s="352"/>
      <c r="E9" s="347" t="s">
        <v>1408</v>
      </c>
      <c r="F9" s="357">
        <f ca="1">INDIRECT("'数据-取费表'!w"&amp;$G$1)</f>
        <v>0.1</v>
      </c>
      <c r="G9" s="1854"/>
      <c r="H9" s="349"/>
      <c r="I9" s="3204"/>
      <c r="J9" s="351"/>
      <c r="K9" s="352"/>
      <c r="L9" s="358" t="s">
        <v>1408</v>
      </c>
      <c r="M9" s="359">
        <f ca="1">INDIRECT("'数据-取费表'!ab"&amp;$G$1)</f>
        <v>0</v>
      </c>
    </row>
    <row r="10" spans="1:37" ht="18" customHeight="1">
      <c r="A10" s="1294" t="s">
        <v>1039</v>
      </c>
      <c r="B10" s="1826" t="s">
        <v>1409</v>
      </c>
      <c r="C10" s="361">
        <f ca="1">ROUND(IF(F10="押一",C6/12*F11,IF(F10="押二",C6/12*2*F11,IF(F10="押三",C6/12*3*F11,C11*F11))),0)</f>
        <v>4</v>
      </c>
      <c r="D10" s="1827" t="s">
        <v>3048</v>
      </c>
      <c r="E10" s="358" t="s">
        <v>1410</v>
      </c>
      <c r="F10" s="1369" t="s">
        <v>3094</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18008</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13658</v>
      </c>
      <c r="D14" s="1803" t="s">
        <v>1418</v>
      </c>
      <c r="E14" s="1797"/>
      <c r="F14" s="364"/>
      <c r="G14" s="1854"/>
      <c r="H14" s="1204" t="s">
        <v>1035</v>
      </c>
      <c r="I14" s="347" t="s">
        <v>1419</v>
      </c>
      <c r="J14" s="24">
        <f ca="1">C29</f>
        <v>20009</v>
      </c>
      <c r="K14" s="15"/>
      <c r="L14" s="982"/>
      <c r="M14" s="983"/>
    </row>
    <row r="15" spans="1:37" s="1861" customFormat="1" ht="18" customHeight="1" thickBot="1">
      <c r="A15" s="1204" t="s">
        <v>1036</v>
      </c>
      <c r="B15" s="347" t="s">
        <v>1420</v>
      </c>
      <c r="C15" s="24">
        <f ca="1">ROUND(C14*F15,0)</f>
        <v>410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410</v>
      </c>
      <c r="D16" s="347" t="s">
        <v>1421</v>
      </c>
      <c r="E16" s="347" t="s">
        <v>1422</v>
      </c>
      <c r="F16" s="367">
        <f ca="1">IF(INDIRECT("'数据-取费表'!c"&amp;$G$1)="住宅",'数据-取费表'!B34,0)</f>
        <v>0.03</v>
      </c>
      <c r="G16" s="1854"/>
      <c r="H16" s="1332" t="s">
        <v>1030</v>
      </c>
      <c r="I16" s="1333" t="s">
        <v>1424</v>
      </c>
      <c r="J16" s="355">
        <f ca="1">ROUND(J17+J22+J23+J24,0)</f>
        <v>471</v>
      </c>
      <c r="K16" s="1340" t="s">
        <v>1425</v>
      </c>
      <c r="L16" s="1341"/>
      <c r="M16" s="1297"/>
    </row>
    <row r="17" spans="1:37" s="1861" customFormat="1" ht="18" customHeight="1">
      <c r="A17" s="1204" t="s">
        <v>1390</v>
      </c>
      <c r="B17" s="347" t="s">
        <v>1426</v>
      </c>
      <c r="C17" s="24">
        <f ca="1">ROUND(F17*(F43+INDIRECT("'数据-取费表'!S"&amp;$G$1))/10000,0)</f>
        <v>780</v>
      </c>
      <c r="D17" s="347" t="s">
        <v>1427</v>
      </c>
      <c r="E17" s="347" t="s">
        <v>1428</v>
      </c>
      <c r="F17" s="26">
        <f>'数据-取费表'!B35</f>
        <v>200</v>
      </c>
      <c r="G17" s="1857"/>
      <c r="H17" s="1204" t="s">
        <v>1035</v>
      </c>
      <c r="I17" s="347" t="s">
        <v>1429</v>
      </c>
      <c r="J17" s="24">
        <f ca="1">ROUND(IF(项目基本情况!B11="自然人",J5*M17,J18+J19+J20),1)</f>
        <v>170.8</v>
      </c>
      <c r="K17" s="1803" t="s">
        <v>1430</v>
      </c>
      <c r="L17" s="1801" t="s">
        <v>1431</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205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15463</v>
      </c>
      <c r="D19" s="140" t="s">
        <v>1436</v>
      </c>
      <c r="E19" s="1821"/>
      <c r="F19" s="26"/>
      <c r="G19" s="1854"/>
      <c r="H19" s="1204" t="s">
        <v>1036</v>
      </c>
      <c r="I19" s="347" t="s">
        <v>1437</v>
      </c>
      <c r="J19" s="24">
        <f ca="1">IF(K19="按租金收入计税",ROUND(J5*M19,2),ROUND(C29*M19*0.7,2))</f>
        <v>168.08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155</v>
      </c>
      <c r="D20" s="369" t="s">
        <v>1440</v>
      </c>
      <c r="E20" s="347" t="s">
        <v>1422</v>
      </c>
      <c r="F20" s="367">
        <f>'数据-取费表'!B37</f>
        <v>0.01</v>
      </c>
      <c r="G20" s="1857"/>
      <c r="H20" s="1204" t="s">
        <v>1389</v>
      </c>
      <c r="I20" s="164" t="s">
        <v>1441</v>
      </c>
      <c r="J20" s="25">
        <f ca="1">ROUND(M20*M21/10000,2)</f>
        <v>2.67</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2227.66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300.10000000000002</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741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-471</v>
      </c>
      <c r="K25" s="1348" t="s">
        <v>1464</v>
      </c>
      <c r="L25" s="1349"/>
      <c r="M25" s="1350"/>
    </row>
    <row r="26" spans="1:37">
      <c r="A26" s="1204" t="s">
        <v>1034</v>
      </c>
      <c r="B26" s="347" t="s">
        <v>1465</v>
      </c>
      <c r="C26" s="24">
        <f ca="1">ROUND((C19+C20)*F26,0)</f>
        <v>2343</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1.5E-3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20009</v>
      </c>
      <c r="D29" s="1345"/>
      <c r="E29" s="1343"/>
      <c r="F29" s="1346"/>
      <c r="G29" s="1857"/>
      <c r="H29" s="380" t="s">
        <v>1033</v>
      </c>
      <c r="I29" s="381" t="s">
        <v>1479</v>
      </c>
      <c r="J29" s="382">
        <f ca="1">ROUND(J26/(1+F40)^F41,0)</f>
        <v>0</v>
      </c>
      <c r="K29" s="383" t="s">
        <v>1480</v>
      </c>
      <c r="L29" s="384"/>
      <c r="M29" s="385">
        <f ca="1">INDIRECT("'数据-取费表'!k"&amp;$G$1)</f>
        <v>39021.709999999977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989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625.5</v>
      </c>
      <c r="D31" s="1803" t="s">
        <v>1430</v>
      </c>
      <c r="E31" s="1801" t="s">
        <v>1481</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1034</v>
      </c>
      <c r="B32" s="347" t="s">
        <v>1433</v>
      </c>
      <c r="C32" s="24">
        <f ca="1">IF(项目基本情况!B11="自然人","——",ROUND(C5*F32/(1+'数据-取费表'!C42),2))</f>
        <v>191.63</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431.16</v>
      </c>
      <c r="D33" s="1831" t="s">
        <v>3099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2.67</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2227.66</v>
      </c>
      <c r="G35" s="1854"/>
      <c r="H35" s="745"/>
      <c r="I35" s="1863"/>
      <c r="J35" s="1864"/>
      <c r="K35" s="1865"/>
      <c r="L35" s="1862"/>
      <c r="M35" s="1862"/>
    </row>
    <row r="36" spans="1:18" ht="18" customHeight="1">
      <c r="A36" s="1355" t="s">
        <v>1039</v>
      </c>
      <c r="B36" s="347" t="s">
        <v>1449</v>
      </c>
      <c r="C36" s="24">
        <f ca="1">ROUND(C29*F36,1)</f>
        <v>300.10000000000002</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27</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35.9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2604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45557</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20</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11675</v>
      </c>
      <c r="D43" s="383" t="s">
        <v>1488</v>
      </c>
      <c r="E43" s="384" t="s">
        <v>1489</v>
      </c>
      <c r="F43" s="385">
        <f ca="1">INDIRECT("'数据-取费表'!k"&amp;$G$1)</f>
        <v>39021.709999999977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-71716</v>
      </c>
      <c r="D46" s="1875" t="str">
        <f>C2</f>
        <v>万元</v>
      </c>
      <c r="E46" s="1869"/>
      <c r="F46" s="1869"/>
      <c r="I46" s="1876" t="s">
        <v>1521</v>
      </c>
      <c r="J46" s="1877"/>
      <c r="K46" s="1878"/>
      <c r="L46" s="1879">
        <f>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3095</v>
      </c>
      <c r="K47" s="1885" t="s">
        <v>1527</v>
      </c>
      <c r="L47" s="1886">
        <f ca="1">INDIRECT("'数据-取费表'!d"&amp;$G$1)</f>
        <v>70</v>
      </c>
      <c r="M47" s="1841" t="str">
        <f>IF(ISNUMBER(FIND("住宅",C1)),"住宅","非住宅")</f>
        <v>住宅</v>
      </c>
      <c r="O47" s="1887" t="s">
        <v>1040</v>
      </c>
      <c r="P47" s="1888" t="s">
        <v>1528</v>
      </c>
      <c r="Q47" s="1889">
        <f ca="1">C40+J29</f>
        <v>45557</v>
      </c>
      <c r="R47" s="1889" t="s">
        <v>1529</v>
      </c>
    </row>
    <row r="48" spans="1:18" s="1845" customFormat="1" ht="28.5" thickBot="1">
      <c r="A48" s="1363" t="s">
        <v>1135</v>
      </c>
      <c r="B48" s="345" t="s">
        <v>1401</v>
      </c>
      <c r="C48" s="1820">
        <f ca="1">C49+C53+C55</f>
        <v>0</v>
      </c>
      <c r="D48" s="1365"/>
      <c r="E48" s="1366"/>
      <c r="F48" s="1184"/>
      <c r="G48" s="792"/>
      <c r="H48" s="793"/>
      <c r="I48" s="1890" t="s">
        <v>1530</v>
      </c>
      <c r="J48" s="1891" t="s">
        <v>3096</v>
      </c>
      <c r="K48" s="1892" t="s">
        <v>1531</v>
      </c>
      <c r="L48" s="1893">
        <f ca="1">INDIRECT("'数据-取费表'!f"&amp;$G$1)</f>
        <v>20</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v>1978</v>
      </c>
      <c r="K49" s="1892" t="s">
        <v>1535</v>
      </c>
      <c r="L49" s="1896"/>
      <c r="O49" s="1897" t="s">
        <v>1042</v>
      </c>
      <c r="P49" s="1888" t="s">
        <v>1536</v>
      </c>
      <c r="Q49" s="1889">
        <f ca="1">C29</f>
        <v>20009</v>
      </c>
      <c r="R49" s="1889" t="s">
        <v>1529</v>
      </c>
    </row>
    <row r="50" spans="1:18" s="1845" customFormat="1" ht="13.5" thickBot="1">
      <c r="A50" s="1198"/>
      <c r="B50" s="1201"/>
      <c r="C50" s="1371"/>
      <c r="D50" s="1175"/>
      <c r="E50" s="1280" t="s">
        <v>1406</v>
      </c>
      <c r="F50" s="1281">
        <f ca="1">F7</f>
        <v>39021.709999999977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20</v>
      </c>
      <c r="K51" s="1903" t="s">
        <v>1541</v>
      </c>
      <c r="L51" s="1904">
        <f ca="1">ROUND(-PV(INDIRECT("'数据-取费表'!h"&amp;$G$1),L48,(C39-C13*C76),0),0)</f>
        <v>14587</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J53</f>
        <v>20</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IF(M47="住宅",J51,IF(D1="——",MIN(J51,L48),IF(D1="在建（套用方法）",MIN(J51,L48-'数据-取费表'!B24),IF(D1="土地（套用方法）",MIN(J51,L48-'数据-取费表'!B20)))))</f>
        <v>20</v>
      </c>
      <c r="K53" s="3200" t="s">
        <v>1548</v>
      </c>
      <c r="L53" s="3201"/>
      <c r="O53" s="1887" t="s">
        <v>1046</v>
      </c>
      <c r="P53" s="1888" t="s">
        <v>1549</v>
      </c>
      <c r="Q53" s="1889">
        <f ca="1">Q47+Q48</f>
        <v>45557</v>
      </c>
      <c r="R53" s="1889" t="s">
        <v>1047</v>
      </c>
    </row>
    <row r="54" spans="1:18" s="1845" customFormat="1" ht="13.5" thickBot="1">
      <c r="A54" s="1409"/>
      <c r="B54" s="1828" t="s">
        <v>1388</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18008</v>
      </c>
      <c r="D56" s="1917"/>
      <c r="E56" s="1918"/>
      <c r="F56" s="1910"/>
      <c r="I56" s="1919" t="s">
        <v>1554</v>
      </c>
      <c r="J56" s="1920" t="s">
        <v>3085</v>
      </c>
      <c r="K56" s="1890" t="s">
        <v>1555</v>
      </c>
      <c r="L56" s="1893">
        <f ca="1">IF(L48&lt;J51,"——",L48-J53)</f>
        <v>0</v>
      </c>
      <c r="O56" s="1887" t="s">
        <v>1040</v>
      </c>
      <c r="P56" s="1888" t="s">
        <v>1528</v>
      </c>
      <c r="Q56" s="1889">
        <f ca="1">C40+J29</f>
        <v>45557</v>
      </c>
      <c r="R56" s="1889" t="s">
        <v>1529</v>
      </c>
    </row>
    <row r="57" spans="1:18" s="1845" customFormat="1" ht="24.75" thickBot="1">
      <c r="A57" s="1921"/>
      <c r="B57" s="1172" t="s">
        <v>1478</v>
      </c>
      <c r="C57" s="282">
        <f ca="1">C29</f>
        <v>20009</v>
      </c>
      <c r="D57" s="1922"/>
      <c r="E57" s="1923"/>
      <c r="F57" s="1924"/>
      <c r="I57" s="1925" t="s">
        <v>1556</v>
      </c>
      <c r="J57" s="1926" t="str">
        <f ca="1">IF(OR(M47="住宅",J51&lt;L48,J56="是"),"——",J51-L48)</f>
        <v>——</v>
      </c>
      <c r="K57" s="1890" t="s">
        <v>1557</v>
      </c>
      <c r="L57" s="1893">
        <f ca="1">IF(L48&lt;J51,"——",IF(L55="比较法",L49,IF(L55="基准地价",L50,L51)))</f>
        <v>14587</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1683.4</v>
      </c>
      <c r="D59" s="1185" t="s">
        <v>1430</v>
      </c>
      <c r="E59" s="1186" t="s">
        <v>1431</v>
      </c>
      <c r="F59" s="368">
        <f ca="1">IF(项目基本情况!B11="企业","",IF(INDIRECT("'数据-取费表'!c"&amp;$G$1)="住宅",5%,IF(F49*F50*F51/12/(1+'数据-取费表'!C42)&gt;20000,12%,7%)))</f>
        <v>0.05</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1680.76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2.67</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45557</v>
      </c>
      <c r="R62" s="1889" t="s">
        <v>1047</v>
      </c>
    </row>
    <row r="63" spans="1:18" s="1845" customFormat="1" ht="13.5" thickBot="1">
      <c r="A63" s="372"/>
      <c r="B63" s="1178"/>
      <c r="C63" s="29"/>
      <c r="D63" s="1188"/>
      <c r="E63" s="1172" t="s">
        <v>1499</v>
      </c>
      <c r="F63" s="348">
        <f t="shared" ca="1" si="0"/>
        <v>2227.66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300.10000000000002</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27</v>
      </c>
      <c r="D65" s="1186" t="s">
        <v>1454</v>
      </c>
      <c r="E65" s="1172" t="s">
        <v>1455</v>
      </c>
      <c r="F65" s="376">
        <f t="shared" ca="1" si="0"/>
        <v>1.5E-3</v>
      </c>
      <c r="I65" s="1932" t="s">
        <v>1579</v>
      </c>
      <c r="J65" s="1933">
        <v>40</v>
      </c>
      <c r="K65" s="1933">
        <v>30</v>
      </c>
      <c r="L65" s="1933">
        <v>50</v>
      </c>
      <c r="M65" s="1935">
        <v>0.02</v>
      </c>
      <c r="O65" s="1887" t="s">
        <v>1040</v>
      </c>
      <c r="P65" s="1888" t="s">
        <v>1580</v>
      </c>
      <c r="Q65" s="1889">
        <f ca="1">C40+J29</f>
        <v>45557</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14587</v>
      </c>
      <c r="R67" s="1889" t="s">
        <v>1582</v>
      </c>
    </row>
    <row r="68" spans="1:18" s="1845" customFormat="1" ht="16.5" thickBot="1">
      <c r="A68" s="1169" t="s">
        <v>1032</v>
      </c>
      <c r="B68" s="1170" t="s">
        <v>1485</v>
      </c>
      <c r="C68" s="346">
        <f ca="1">ROUND(C67*(1-((1+F70)/(1+F68))^F69)/(F68-F70),0)</f>
        <v>-26159</v>
      </c>
      <c r="D68" s="1187" t="s">
        <v>1469</v>
      </c>
      <c r="E68" s="1172" t="s">
        <v>1470</v>
      </c>
      <c r="F68" s="357">
        <f ca="1">F40</f>
        <v>4.4999999999999998E-2</v>
      </c>
      <c r="O68" s="1897" t="s">
        <v>1043</v>
      </c>
      <c r="P68" s="1937" t="s">
        <v>1583</v>
      </c>
      <c r="Q68" s="1889">
        <f ca="1">ROUND(Q69-Q70*Q71,0)</f>
        <v>1073</v>
      </c>
      <c r="R68" s="1889" t="s">
        <v>1051</v>
      </c>
    </row>
    <row r="69" spans="1:18" s="1845" customFormat="1" ht="13.5" thickBot="1">
      <c r="A69" s="1173"/>
      <c r="B69" s="1174"/>
      <c r="C69" s="351"/>
      <c r="D69" s="1192" t="s">
        <v>1473</v>
      </c>
      <c r="E69" s="1172" t="s">
        <v>1474</v>
      </c>
      <c r="F69" s="379">
        <f ca="1">F41</f>
        <v>20</v>
      </c>
      <c r="O69" s="1897" t="s">
        <v>1048</v>
      </c>
      <c r="P69" s="1937" t="s">
        <v>1584</v>
      </c>
      <c r="Q69" s="1889">
        <f ca="1">C39</f>
        <v>2604</v>
      </c>
      <c r="R69" s="1889" t="s">
        <v>1529</v>
      </c>
    </row>
    <row r="70" spans="1:18" s="1845" customFormat="1" ht="13.5" thickBot="1">
      <c r="A70" s="1176"/>
      <c r="B70" s="1177"/>
      <c r="C70" s="355"/>
      <c r="D70" s="1188"/>
      <c r="E70" s="1172" t="s">
        <v>1477</v>
      </c>
      <c r="F70" s="1278"/>
      <c r="O70" s="1897" t="s">
        <v>1049</v>
      </c>
      <c r="P70" s="1937" t="s">
        <v>1585</v>
      </c>
      <c r="Q70" s="1889">
        <f ca="1">C13</f>
        <v>18008</v>
      </c>
      <c r="R70" s="1889" t="s">
        <v>1529</v>
      </c>
    </row>
    <row r="71" spans="1:18" s="1845" customFormat="1" ht="13.5" thickBot="1">
      <c r="A71" s="1193" t="s">
        <v>1033</v>
      </c>
      <c r="B71" s="1194" t="s">
        <v>1487</v>
      </c>
      <c r="C71" s="382">
        <f ca="1">ROUND(C68*10000/F71,0)</f>
        <v>-6704</v>
      </c>
      <c r="D71" s="1195" t="s">
        <v>1488</v>
      </c>
      <c r="E71" s="1196" t="s">
        <v>1489</v>
      </c>
      <c r="F71" s="385">
        <f ca="1">F43</f>
        <v>39021.709999999977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1531</v>
      </c>
      <c r="D75" s="1845"/>
      <c r="E75" s="1845"/>
      <c r="F75" s="1845"/>
      <c r="K75" s="1871"/>
      <c r="L75" s="1845"/>
      <c r="O75" s="1887" t="s">
        <v>1046</v>
      </c>
      <c r="P75" s="1888" t="s">
        <v>1549</v>
      </c>
      <c r="Q75" s="1889">
        <f ca="1">Q65+Q66</f>
        <v>45557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0.41200000000000003</v>
      </c>
    </row>
    <row r="80" spans="1:18">
      <c r="B80" s="386" t="s">
        <v>1511</v>
      </c>
      <c r="C80" s="318">
        <f ca="1">ROUND(C75/C39,3)</f>
        <v>0.58799999999999997</v>
      </c>
    </row>
    <row r="81" spans="2:3">
      <c r="B81" s="314" t="s">
        <v>1512</v>
      </c>
      <c r="C81" s="282"/>
    </row>
    <row r="82" spans="2:3">
      <c r="B82" s="317" t="s">
        <v>1513</v>
      </c>
      <c r="C82" s="319">
        <f ca="1">1-C83</f>
        <v>0.60499999999999998</v>
      </c>
    </row>
    <row r="83" spans="2:3">
      <c r="B83" s="317" t="s">
        <v>1514</v>
      </c>
      <c r="C83" s="318">
        <f ca="1">ROUND(C13/C40,3)</f>
        <v>0.39500000000000002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H42" sqref="H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2" t="s">
        <v>1403</v>
      </c>
      <c r="C6" s="1299">
        <f ca="1">ROUND(F6*F8*F7*(1-F9),0)</f>
        <v>0</v>
      </c>
      <c r="D6" s="164" t="s">
        <v>3036</v>
      </c>
      <c r="E6" s="347" t="s">
        <v>1405</v>
      </c>
      <c r="F6" s="348">
        <f ca="1">INDIRECT("'数据-取费表'!u"&amp;$G$1)</f>
        <v>0</v>
      </c>
      <c r="G6" s="1854"/>
      <c r="H6" s="1294" t="s">
        <v>1035</v>
      </c>
      <c r="I6" s="3202" t="s">
        <v>1403</v>
      </c>
      <c r="J6" s="346">
        <f ca="1">ROUND(M6*M8*M7*(1-M9),0)</f>
        <v>0</v>
      </c>
      <c r="K6" s="1837" t="s">
        <v>3037</v>
      </c>
      <c r="L6" s="347" t="s">
        <v>1405</v>
      </c>
      <c r="M6" s="348">
        <f ca="1">INDIRECT("'数据-取费表'!z"&amp;$G$1)</f>
        <v>0</v>
      </c>
    </row>
    <row r="7" spans="1:37" ht="18" customHeight="1">
      <c r="A7" s="1298"/>
      <c r="B7" s="3203"/>
      <c r="C7" s="1300"/>
      <c r="D7" s="352"/>
      <c r="E7" s="1301" t="s">
        <v>1406</v>
      </c>
      <c r="F7" s="348">
        <f ca="1">IF(INDIRECT("'数据-取费表'!ah"&amp;$G$1)="",INDIRECT("'数据-取费表'!k"&amp;$G$1),INDIRECT("'数据-取费表'!ah"&amp;$G$1))</f>
        <v>0</v>
      </c>
      <c r="G7" s="1854"/>
      <c r="H7" s="349"/>
      <c r="I7" s="3203"/>
      <c r="J7" s="351"/>
      <c r="K7" s="352"/>
      <c r="L7" s="347" t="s">
        <v>1406</v>
      </c>
      <c r="M7" s="348">
        <f ca="1">F7</f>
        <v>0</v>
      </c>
    </row>
    <row r="8" spans="1:37" ht="18" customHeight="1">
      <c r="A8" s="349"/>
      <c r="B8" s="3203"/>
      <c r="C8" s="351"/>
      <c r="D8" s="352"/>
      <c r="E8" s="347" t="s">
        <v>1407</v>
      </c>
      <c r="F8" s="348">
        <f ca="1">INDIRECT("'数据-取费表'!ai"&amp;$G$1)</f>
        <v>0</v>
      </c>
      <c r="G8" s="1854"/>
      <c r="H8" s="349"/>
      <c r="I8" s="3203"/>
      <c r="J8" s="351"/>
      <c r="K8" s="352"/>
      <c r="L8" s="347" t="s">
        <v>1407</v>
      </c>
      <c r="M8" s="348">
        <f ca="1">INDIRECT("'数据-取费表'!ai"&amp;$G$1)</f>
        <v>0</v>
      </c>
    </row>
    <row r="9" spans="1:37" ht="18" customHeight="1">
      <c r="A9" s="349"/>
      <c r="B9" s="3204"/>
      <c r="C9" s="351"/>
      <c r="D9" s="352"/>
      <c r="E9" s="347" t="s">
        <v>1408</v>
      </c>
      <c r="F9" s="357">
        <f ca="1">INDIRECT("'数据-取费表'!w"&amp;$G$1)</f>
        <v>0</v>
      </c>
      <c r="G9" s="1854"/>
      <c r="H9" s="349"/>
      <c r="I9" s="320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38" t="s">
        <v>3049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3050</v>
      </c>
      <c r="E53" s="358" t="s">
        <v>1410</v>
      </c>
      <c r="F53" s="1369"/>
      <c r="I53" s="1908" t="s">
        <v>1547</v>
      </c>
      <c r="J53" s="1909" t="b">
        <f>IF(M47="住宅",J51,IF(D1="——",MIN(J51,L48),IF(D1="在建（套用方法）",MIN(J51,L48-'数据-取费表'!B24),IF(D1="土地（套用方法）",MIN(J51,L48-'数据-取费表'!B20)))))</f>
        <v>0</v>
      </c>
      <c r="K53" s="3200" t="s">
        <v>1548</v>
      </c>
      <c r="L53" s="320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2" sqref="H42"/>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2531</v>
      </c>
      <c r="B1" s="2566"/>
      <c r="C1" s="2566"/>
      <c r="D1" s="2566"/>
      <c r="E1" s="2567"/>
    </row>
    <row r="2" spans="1:6" ht="15.75">
      <c r="A2" s="2568" t="s">
        <v>2332</v>
      </c>
      <c r="B2" s="2569">
        <f ca="1">SUMIF(B6:B13,"&lt;&gt;#ref!",B6:B13)</f>
        <v>45557</v>
      </c>
      <c r="C2" s="2570" t="s">
        <v>2524</v>
      </c>
      <c r="D2" s="2571" t="s">
        <v>2525</v>
      </c>
      <c r="E2" s="2572">
        <f>SUM(E6:E13)</f>
        <v>39021.709999999977</v>
      </c>
    </row>
    <row r="3" spans="1:6" ht="15.75">
      <c r="A3" s="2568" t="s">
        <v>1395</v>
      </c>
      <c r="B3" s="2569">
        <f ca="1">ROUND(B2*10000/E2,0)</f>
        <v>11675</v>
      </c>
      <c r="C3" s="2570" t="s">
        <v>2532</v>
      </c>
      <c r="D3" s="2573"/>
      <c r="E3" s="2574"/>
    </row>
    <row r="4" spans="1:6" ht="15.75">
      <c r="A4" s="2575"/>
      <c r="B4" s="2573"/>
      <c r="C4" s="2573"/>
      <c r="D4" s="2573"/>
      <c r="E4" s="2574"/>
    </row>
    <row r="5" spans="1:6" ht="15">
      <c r="A5" s="2576" t="s">
        <v>2526</v>
      </c>
      <c r="B5" s="3205" t="s">
        <v>2527</v>
      </c>
      <c r="C5" s="3205"/>
      <c r="D5" s="2577"/>
      <c r="E5" s="2578" t="s">
        <v>2528</v>
      </c>
      <c r="F5" s="2579" t="s">
        <v>2529</v>
      </c>
    </row>
    <row r="6" spans="1:6">
      <c r="A6" s="2580" t="str">
        <f>'数据-取费表'!AN6</f>
        <v>收益法</v>
      </c>
      <c r="B6" s="2579">
        <f ca="1">IF(F6="是",'数据-取费表'!AO6,0)</f>
        <v>45557</v>
      </c>
      <c r="C6" s="2570" t="s">
        <v>2524</v>
      </c>
      <c r="D6" s="2573"/>
      <c r="E6" s="2581">
        <f>IF(OR(A6=0,F6="否"),0,'数据-取费表'!K6+'数据-取费表'!S6)</f>
        <v>39021.709999999977</v>
      </c>
      <c r="F6" s="2582" t="s">
        <v>2530</v>
      </c>
    </row>
    <row r="7" spans="1:6">
      <c r="A7" s="2580">
        <f>'数据-取费表'!AN7</f>
        <v>0</v>
      </c>
      <c r="B7" s="2579" t="e">
        <f ca="1">IF(F7="是",'数据-取费表'!AO7,0)</f>
        <v>#REF!</v>
      </c>
      <c r="C7" s="2570" t="s">
        <v>2524</v>
      </c>
      <c r="D7" s="2573"/>
      <c r="E7" s="2581">
        <f>IF(OR(A7=0,F7="否"),0,'数据-取费表'!K7+'数据-取费表'!S7)</f>
        <v>0</v>
      </c>
      <c r="F7" s="2582" t="s">
        <v>2530</v>
      </c>
    </row>
    <row r="8" spans="1:6">
      <c r="A8" s="2580">
        <f>'数据-取费表'!AN8</f>
        <v>0</v>
      </c>
      <c r="B8" s="2579" t="e">
        <f ca="1">IF(F8="是",'数据-取费表'!AO8,0)</f>
        <v>#REF!</v>
      </c>
      <c r="C8" s="2570" t="s">
        <v>2524</v>
      </c>
      <c r="D8" s="2573"/>
      <c r="E8" s="2581">
        <f>IF(OR(A8=0,F8="否"),0,'数据-取费表'!K8+'数据-取费表'!S8)</f>
        <v>0</v>
      </c>
      <c r="F8" s="2582" t="s">
        <v>2530</v>
      </c>
    </row>
    <row r="9" spans="1:6">
      <c r="A9" s="2580">
        <f>'数据-取费表'!AN9</f>
        <v>0</v>
      </c>
      <c r="B9" s="2579" t="e">
        <f ca="1">IF(F9="是",'数据-取费表'!AO9,0)</f>
        <v>#REF!</v>
      </c>
      <c r="C9" s="2570" t="s">
        <v>2524</v>
      </c>
      <c r="D9" s="2573"/>
      <c r="E9" s="2581">
        <f>IF(OR(A9=0,F9="否"),0,'数据-取费表'!K9+'数据-取费表'!S9)</f>
        <v>0</v>
      </c>
      <c r="F9" s="2582" t="s">
        <v>2530</v>
      </c>
    </row>
    <row r="10" spans="1:6">
      <c r="A10" s="2580">
        <f>'数据-取费表'!AN10</f>
        <v>0</v>
      </c>
      <c r="B10" s="2579" t="e">
        <f ca="1">IF(F10="是",'数据-取费表'!AO10,0)</f>
        <v>#REF!</v>
      </c>
      <c r="C10" s="2570" t="s">
        <v>2524</v>
      </c>
      <c r="D10" s="2573"/>
      <c r="E10" s="2581">
        <f>IF(OR(A10=0,F10="否"),0,'数据-取费表'!K10+'数据-取费表'!S10)</f>
        <v>0</v>
      </c>
      <c r="F10" s="2582" t="s">
        <v>2530</v>
      </c>
    </row>
    <row r="11" spans="1:6">
      <c r="A11" s="2580">
        <f>'数据-取费表'!AN11</f>
        <v>0</v>
      </c>
      <c r="B11" s="2579" t="e">
        <f ca="1">IF(F11="是",'数据-取费表'!AO11,0)</f>
        <v>#REF!</v>
      </c>
      <c r="C11" s="2570" t="s">
        <v>2524</v>
      </c>
      <c r="D11" s="2573"/>
      <c r="E11" s="2581">
        <f>IF(OR(A11=0,F11="否"),0,'数据-取费表'!K11+'数据-取费表'!S11)</f>
        <v>0</v>
      </c>
      <c r="F11" s="2582" t="s">
        <v>2530</v>
      </c>
    </row>
    <row r="12" spans="1:6">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2" sqref="H42"/>
    </sheetView>
  </sheetViews>
  <sheetFormatPr defaultRowHeight="13.5"/>
  <cols>
    <col min="1" max="1" width="10.5" customWidth="1"/>
    <col min="2" max="2" width="12.875" customWidth="1"/>
    <col min="3" max="3" width="8.75" customWidth="1"/>
  </cols>
  <sheetData>
    <row r="1" spans="1:9" ht="14.25">
      <c r="A1" s="3206" t="s">
        <v>1076</v>
      </c>
      <c r="B1" s="3207"/>
      <c r="C1" s="3208"/>
      <c r="D1" s="3209">
        <f>SUM(I10,I15,I20,I21,I23)</f>
        <v>0</v>
      </c>
      <c r="E1" s="3209"/>
      <c r="F1" s="3209"/>
      <c r="G1" s="3209"/>
      <c r="H1" s="3209"/>
      <c r="I1" s="3210"/>
    </row>
    <row r="2" spans="1:9">
      <c r="A2" s="3211" t="s">
        <v>1077</v>
      </c>
      <c r="B2" s="3212" t="s">
        <v>1078</v>
      </c>
      <c r="C2" s="3212"/>
      <c r="D2" s="1304" t="s">
        <v>1079</v>
      </c>
      <c r="E2" s="1304" t="s">
        <v>1080</v>
      </c>
      <c r="F2" s="1304" t="s">
        <v>1081</v>
      </c>
      <c r="G2" s="1304" t="s">
        <v>1082</v>
      </c>
      <c r="H2" s="1304" t="s">
        <v>1083</v>
      </c>
      <c r="I2" s="1305" t="s">
        <v>1084</v>
      </c>
    </row>
    <row r="3" spans="1:9">
      <c r="A3" s="3211"/>
      <c r="B3" s="3212" t="s">
        <v>1085</v>
      </c>
      <c r="C3" s="3212"/>
      <c r="D3" s="1306"/>
      <c r="E3" s="1304"/>
      <c r="F3" s="1307"/>
      <c r="G3" s="1307"/>
      <c r="H3" s="1308"/>
      <c r="I3" s="1309">
        <f>ROUND(D3*E3*F3*G3*H3/10000,0)</f>
        <v>0</v>
      </c>
    </row>
    <row r="4" spans="1:9">
      <c r="A4" s="3211"/>
      <c r="B4" s="3212" t="s">
        <v>1086</v>
      </c>
      <c r="C4" s="3212"/>
      <c r="D4" s="1306"/>
      <c r="E4" s="1304"/>
      <c r="F4" s="1307"/>
      <c r="G4" s="1307"/>
      <c r="H4" s="1308"/>
      <c r="I4" s="1309">
        <f t="shared" ref="I4:I9" si="0">ROUND(D4*E4*F4*G4*H4/10000,0)</f>
        <v>0</v>
      </c>
    </row>
    <row r="5" spans="1:9">
      <c r="A5" s="3211"/>
      <c r="B5" s="3212" t="s">
        <v>1087</v>
      </c>
      <c r="C5" s="3212"/>
      <c r="D5" s="1306"/>
      <c r="E5" s="1304"/>
      <c r="F5" s="1307"/>
      <c r="G5" s="1307"/>
      <c r="H5" s="1308"/>
      <c r="I5" s="1309">
        <f t="shared" si="0"/>
        <v>0</v>
      </c>
    </row>
    <row r="6" spans="1:9">
      <c r="A6" s="3211"/>
      <c r="B6" s="3212" t="s">
        <v>1088</v>
      </c>
      <c r="C6" s="3212"/>
      <c r="D6" s="1306"/>
      <c r="E6" s="1304"/>
      <c r="F6" s="1307"/>
      <c r="G6" s="1307"/>
      <c r="H6" s="1308"/>
      <c r="I6" s="1309">
        <f t="shared" si="0"/>
        <v>0</v>
      </c>
    </row>
    <row r="7" spans="1:9">
      <c r="A7" s="3211"/>
      <c r="B7" s="3212" t="s">
        <v>1089</v>
      </c>
      <c r="C7" s="3212"/>
      <c r="D7" s="1306"/>
      <c r="E7" s="1304"/>
      <c r="F7" s="1307"/>
      <c r="G7" s="1307"/>
      <c r="H7" s="1308"/>
      <c r="I7" s="1309">
        <f t="shared" si="0"/>
        <v>0</v>
      </c>
    </row>
    <row r="8" spans="1:9">
      <c r="A8" s="3211"/>
      <c r="B8" s="3212" t="s">
        <v>1090</v>
      </c>
      <c r="C8" s="3212"/>
      <c r="D8" s="1306"/>
      <c r="E8" s="1304"/>
      <c r="F8" s="1307"/>
      <c r="G8" s="1307"/>
      <c r="H8" s="1308"/>
      <c r="I8" s="1309">
        <f t="shared" si="0"/>
        <v>0</v>
      </c>
    </row>
    <row r="9" spans="1:9">
      <c r="A9" s="3211"/>
      <c r="B9" s="3212" t="s">
        <v>1091</v>
      </c>
      <c r="C9" s="3212"/>
      <c r="D9" s="1306"/>
      <c r="E9" s="1304"/>
      <c r="F9" s="1307"/>
      <c r="G9" s="1307"/>
      <c r="H9" s="1308"/>
      <c r="I9" s="1309">
        <f t="shared" si="0"/>
        <v>0</v>
      </c>
    </row>
    <row r="10" spans="1:9">
      <c r="A10" s="3211"/>
      <c r="B10" s="3213" t="s">
        <v>1092</v>
      </c>
      <c r="C10" s="3213"/>
      <c r="D10" s="1310"/>
      <c r="E10" s="1310" t="e">
        <f>ROUND(D1*10000/D10/H9,0)</f>
        <v>#DIV/0!</v>
      </c>
      <c r="F10" s="1311"/>
      <c r="G10" s="1311"/>
      <c r="H10" s="1312"/>
      <c r="I10" s="1313">
        <f>SUM(I3:I9)</f>
        <v>0</v>
      </c>
    </row>
    <row r="11" spans="1:9" ht="14.25">
      <c r="A11" s="3211" t="s">
        <v>1093</v>
      </c>
      <c r="B11" s="3212" t="s">
        <v>1094</v>
      </c>
      <c r="C11" s="3212"/>
      <c r="D11" s="1306" t="s">
        <v>1095</v>
      </c>
      <c r="E11" s="1306" t="s">
        <v>1096</v>
      </c>
      <c r="F11" s="1307" t="s">
        <v>1097</v>
      </c>
      <c r="G11" s="1307" t="s">
        <v>1083</v>
      </c>
      <c r="H11" s="1314" t="s">
        <v>1098</v>
      </c>
      <c r="I11" s="1305" t="s">
        <v>1084</v>
      </c>
    </row>
    <row r="12" spans="1:9">
      <c r="A12" s="3211"/>
      <c r="B12" s="3212" t="s">
        <v>1099</v>
      </c>
      <c r="C12" s="3212"/>
      <c r="D12" s="1306"/>
      <c r="E12" s="1306"/>
      <c r="F12" s="1307"/>
      <c r="G12" s="1308"/>
      <c r="H12" s="1315"/>
      <c r="I12" s="1305">
        <f>ROUND(D12*E12*F12*G12/10000,0)</f>
        <v>0</v>
      </c>
    </row>
    <row r="13" spans="1:9">
      <c r="A13" s="3211"/>
      <c r="B13" s="3212" t="s">
        <v>1100</v>
      </c>
      <c r="C13" s="3212"/>
      <c r="D13" s="1306"/>
      <c r="E13" s="1306"/>
      <c r="F13" s="1307"/>
      <c r="G13" s="1308"/>
      <c r="H13" s="1315"/>
      <c r="I13" s="1305">
        <f>ROUND(D13*E13*F13*G13/10000,0)</f>
        <v>0</v>
      </c>
    </row>
    <row r="14" spans="1:9">
      <c r="A14" s="3211"/>
      <c r="B14" s="3212" t="s">
        <v>1101</v>
      </c>
      <c r="C14" s="3212"/>
      <c r="D14" s="1306"/>
      <c r="E14" s="1306"/>
      <c r="F14" s="1307"/>
      <c r="G14" s="1308"/>
      <c r="H14" s="1315"/>
      <c r="I14" s="1305">
        <f>ROUND(D14*E14*F14*G14/10000,0)</f>
        <v>0</v>
      </c>
    </row>
    <row r="15" spans="1:9">
      <c r="A15" s="3211"/>
      <c r="B15" s="3213" t="s">
        <v>1092</v>
      </c>
      <c r="C15" s="3213"/>
      <c r="D15" s="1310"/>
      <c r="E15" s="1310">
        <f>SUM(E12:E14)</f>
        <v>0</v>
      </c>
      <c r="F15" s="1311"/>
      <c r="G15" s="1308"/>
      <c r="H15" s="1315"/>
      <c r="I15" s="1316">
        <f>SUM(I12:I14)</f>
        <v>0</v>
      </c>
    </row>
    <row r="16" spans="1:9" ht="24">
      <c r="A16" s="3211" t="s">
        <v>1102</v>
      </c>
      <c r="B16" s="3212" t="s">
        <v>1103</v>
      </c>
      <c r="C16" s="3212"/>
      <c r="D16" s="1306" t="s">
        <v>1079</v>
      </c>
      <c r="E16" s="1317" t="s">
        <v>1104</v>
      </c>
      <c r="F16" s="1307" t="s">
        <v>1105</v>
      </c>
      <c r="G16" s="1308" t="s">
        <v>1083</v>
      </c>
      <c r="H16" s="1314" t="s">
        <v>1098</v>
      </c>
      <c r="I16" s="1305" t="s">
        <v>1084</v>
      </c>
    </row>
    <row r="17" spans="1:9" ht="14.25">
      <c r="A17" s="3211"/>
      <c r="B17" s="3212" t="s">
        <v>1106</v>
      </c>
      <c r="C17" s="3212"/>
      <c r="D17" s="1306"/>
      <c r="E17" s="1306"/>
      <c r="F17" s="1307"/>
      <c r="G17" s="1308"/>
      <c r="H17" s="1318"/>
      <c r="I17" s="1319">
        <f>ROUND(D17*E17*F17*G17/10000,0)</f>
        <v>0</v>
      </c>
    </row>
    <row r="18" spans="1:9" ht="14.25">
      <c r="A18" s="3211"/>
      <c r="B18" s="3212" t="s">
        <v>1107</v>
      </c>
      <c r="C18" s="3212"/>
      <c r="D18" s="1306"/>
      <c r="E18" s="1306"/>
      <c r="F18" s="1307"/>
      <c r="G18" s="1308"/>
      <c r="H18" s="1318"/>
      <c r="I18" s="1319">
        <f>ROUND(D18*E18*F18*G18/10000,0)</f>
        <v>0</v>
      </c>
    </row>
    <row r="19" spans="1:9" ht="14.25">
      <c r="A19" s="3211"/>
      <c r="B19" s="3212" t="s">
        <v>1108</v>
      </c>
      <c r="C19" s="3212"/>
      <c r="D19" s="1306"/>
      <c r="E19" s="1306"/>
      <c r="F19" s="1307"/>
      <c r="G19" s="1308"/>
      <c r="H19" s="1318"/>
      <c r="I19" s="1319">
        <f>ROUND(D19*E19*F19*G19/10000,0)</f>
        <v>0</v>
      </c>
    </row>
    <row r="20" spans="1:9">
      <c r="A20" s="3211"/>
      <c r="B20" s="3213" t="s">
        <v>1092</v>
      </c>
      <c r="C20" s="3213"/>
      <c r="D20" s="1310">
        <f>SUM(D17:D19)</f>
        <v>0</v>
      </c>
      <c r="E20" s="1310"/>
      <c r="F20" s="1311"/>
      <c r="G20" s="1308"/>
      <c r="H20" s="1315"/>
      <c r="I20" s="1316">
        <f>SUM(I17:I19)</f>
        <v>0</v>
      </c>
    </row>
    <row r="21" spans="1:9">
      <c r="A21" s="3211" t="s">
        <v>1109</v>
      </c>
      <c r="B21" s="3215"/>
      <c r="C21" s="3215"/>
      <c r="D21" s="3215"/>
      <c r="E21" s="3215"/>
      <c r="F21" s="3215"/>
      <c r="G21" s="3215"/>
      <c r="H21" s="1768">
        <v>0.1</v>
      </c>
      <c r="I21" s="1313">
        <f>ROUND(I10*H21,0)</f>
        <v>0</v>
      </c>
    </row>
    <row r="22" spans="1:9" ht="14.25">
      <c r="A22" s="3216" t="s">
        <v>1110</v>
      </c>
      <c r="B22" s="3217"/>
      <c r="C22" s="3218"/>
      <c r="D22" s="1320" t="s">
        <v>1111</v>
      </c>
      <c r="E22" s="1320" t="s">
        <v>1112</v>
      </c>
      <c r="F22" s="1321" t="s">
        <v>1113</v>
      </c>
      <c r="G22" s="1321" t="s">
        <v>1114</v>
      </c>
      <c r="H22" s="1314" t="s">
        <v>1115</v>
      </c>
      <c r="I22" s="1305" t="s">
        <v>1116</v>
      </c>
    </row>
    <row r="23" spans="1:9" ht="14.25" thickBot="1">
      <c r="A23" s="3219"/>
      <c r="B23" s="3220"/>
      <c r="C23" s="3221"/>
      <c r="D23" s="1322"/>
      <c r="E23" s="1322"/>
      <c r="F23" s="1322"/>
      <c r="G23" s="1323"/>
      <c r="H23" s="1324"/>
      <c r="I23" s="1325">
        <f>ROUND(E23*D23*F23*(1-G23)/10000,0)</f>
        <v>0</v>
      </c>
    </row>
    <row r="26" spans="1:9">
      <c r="A26" s="1326" t="s">
        <v>1117</v>
      </c>
      <c r="B26" s="1326"/>
      <c r="C26" s="1326"/>
      <c r="D26" s="1326"/>
      <c r="E26" s="3222">
        <f>C27-C30-C31-C32</f>
        <v>0</v>
      </c>
      <c r="F26" s="3222"/>
      <c r="G26" s="3222"/>
      <c r="H26" s="1740" t="s">
        <v>1340</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4"/>
      <c r="F32" s="3214"/>
      <c r="G32" s="3214"/>
    </row>
    <row r="33" spans="1:7" hidden="1">
      <c r="A33" s="3224" t="s">
        <v>1129</v>
      </c>
      <c r="B33" s="3225"/>
      <c r="C33" s="3225"/>
      <c r="D33" s="3226"/>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24" t="s">
        <v>1134</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2" sqref="H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2534</v>
      </c>
      <c r="C1" s="1637" t="s">
        <v>2535</v>
      </c>
      <c r="D1" s="1624"/>
      <c r="E1" s="2587"/>
      <c r="F1" s="2588" t="s">
        <v>2536</v>
      </c>
      <c r="G1" s="1634" t="s">
        <v>2537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2538</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2539</v>
      </c>
      <c r="D3" s="399">
        <f>IF(D1="",'数据-汇总表'!E3,SUMIF('数据-汇总表'!$C19:$C33,D1,'数据-汇总表'!$E19:$E33))</f>
        <v>39021.709999999977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2540</v>
      </c>
      <c r="B4" s="402"/>
      <c r="C4" s="3245" t="s">
        <v>2541</v>
      </c>
      <c r="D4" s="3246"/>
      <c r="E4" s="3247" t="s">
        <v>2542</v>
      </c>
      <c r="F4" s="3248"/>
      <c r="G4" s="3245" t="s">
        <v>2543</v>
      </c>
      <c r="H4" s="3246"/>
      <c r="I4" s="3245" t="s">
        <v>2544</v>
      </c>
      <c r="J4" s="3246"/>
      <c r="K4" s="2600" t="s">
        <v>2545</v>
      </c>
      <c r="L4" s="1133"/>
      <c r="M4" s="1134"/>
      <c r="N4" s="1134"/>
      <c r="O4" s="1134"/>
      <c r="P4" s="3249" t="s">
        <v>2546</v>
      </c>
      <c r="Q4" s="3250"/>
      <c r="R4" s="3232" t="s">
        <v>2542</v>
      </c>
      <c r="S4" s="3233"/>
      <c r="T4" s="3232" t="s">
        <v>2543</v>
      </c>
      <c r="U4" s="3233"/>
      <c r="V4" s="3257" t="s">
        <v>2544</v>
      </c>
      <c r="W4" s="3257"/>
      <c r="X4" s="1816"/>
      <c r="Y4" s="3232" t="s">
        <v>2546</v>
      </c>
      <c r="Z4" s="3233"/>
      <c r="AA4" s="3227" t="s">
        <v>2542</v>
      </c>
      <c r="AB4" s="3227" t="s">
        <v>2543</v>
      </c>
      <c r="AC4" s="3227" t="s">
        <v>2544</v>
      </c>
    </row>
    <row r="5" spans="1:29" ht="15">
      <c r="A5" s="404"/>
      <c r="B5" s="405"/>
      <c r="C5" s="3238" t="s">
        <v>2547</v>
      </c>
      <c r="D5" s="3239"/>
      <c r="E5" s="3236" t="s">
        <v>2548</v>
      </c>
      <c r="F5" s="3237"/>
      <c r="G5" s="3238" t="s">
        <v>2549</v>
      </c>
      <c r="H5" s="3239"/>
      <c r="I5" s="3238" t="s">
        <v>2550</v>
      </c>
      <c r="J5" s="3239"/>
      <c r="K5" s="2601"/>
      <c r="L5" s="1133"/>
      <c r="M5" s="1134"/>
      <c r="N5" s="1134"/>
      <c r="O5" s="1134"/>
      <c r="P5" s="3251"/>
      <c r="Q5" s="3252"/>
      <c r="R5" s="3234"/>
      <c r="S5" s="3235"/>
      <c r="T5" s="3234"/>
      <c r="U5" s="3235"/>
      <c r="V5" s="3257"/>
      <c r="W5" s="3257"/>
      <c r="X5" s="1816"/>
      <c r="Y5" s="3234"/>
      <c r="Z5" s="3235"/>
      <c r="AA5" s="3228"/>
      <c r="AB5" s="3228"/>
      <c r="AC5" s="3228"/>
    </row>
    <row r="6" spans="1:29" ht="15.75" thickBot="1">
      <c r="A6" s="406"/>
      <c r="B6" s="407"/>
      <c r="C6" s="3240" t="s">
        <v>2551</v>
      </c>
      <c r="D6" s="3241"/>
      <c r="E6" s="3242" t="s">
        <v>2551</v>
      </c>
      <c r="F6" s="3243"/>
      <c r="G6" s="3240" t="s">
        <v>2551</v>
      </c>
      <c r="H6" s="3241"/>
      <c r="I6" s="3240" t="s">
        <v>2551</v>
      </c>
      <c r="J6" s="3241"/>
      <c r="K6" s="2601" t="s">
        <v>2552</v>
      </c>
      <c r="L6" s="1133"/>
      <c r="M6" s="1134"/>
      <c r="N6" s="1134"/>
      <c r="O6" s="1134"/>
      <c r="P6" s="3253"/>
      <c r="Q6" s="3254"/>
      <c r="R6" s="3234"/>
      <c r="S6" s="3235"/>
      <c r="T6" s="3255"/>
      <c r="U6" s="3256"/>
      <c r="V6" s="3257"/>
      <c r="W6" s="3257"/>
      <c r="X6" s="1816"/>
      <c r="Y6" s="3255"/>
      <c r="Z6" s="3256"/>
      <c r="AA6" s="3229"/>
      <c r="AB6" s="3229"/>
      <c r="AC6" s="3229"/>
    </row>
    <row r="7" spans="1:29" s="117" customFormat="1" ht="15.75" thickBot="1">
      <c r="A7" s="408" t="s">
        <v>2553</v>
      </c>
      <c r="B7" s="409"/>
      <c r="C7" s="410">
        <f>'数据-取费表'!B2</f>
        <v>43236</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30" t="s">
        <v>2554</v>
      </c>
      <c r="Q7" s="3258"/>
      <c r="R7" s="770" t="s">
        <v>23</v>
      </c>
      <c r="S7" s="771">
        <f t="shared" ref="S7:S15" si="0">F7</f>
        <v>0</v>
      </c>
      <c r="T7" s="770" t="s">
        <v>23</v>
      </c>
      <c r="U7" s="771">
        <f t="shared" ref="U7:U15" si="1">H7</f>
        <v>0</v>
      </c>
      <c r="V7" s="770" t="s">
        <v>23</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2556</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30" t="s">
        <v>2557</v>
      </c>
      <c r="Q8" s="3231"/>
      <c r="R8" s="770" t="s">
        <v>23</v>
      </c>
      <c r="S8" s="771">
        <f t="shared" si="0"/>
        <v>0</v>
      </c>
      <c r="T8" s="770" t="s">
        <v>23</v>
      </c>
      <c r="U8" s="771">
        <f t="shared" si="1"/>
        <v>0</v>
      </c>
      <c r="V8" s="770" t="s">
        <v>23</v>
      </c>
      <c r="W8" s="771">
        <f t="shared" si="2"/>
        <v>0</v>
      </c>
      <c r="X8" s="772"/>
      <c r="Y8" s="3230" t="s">
        <v>2557</v>
      </c>
      <c r="Z8" s="3231"/>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44" t="s">
        <v>2560</v>
      </c>
      <c r="Q9" s="1798" t="str">
        <f t="shared" ref="Q9:Q15" si="6">B9</f>
        <v>用途</v>
      </c>
      <c r="R9" s="770" t="s">
        <v>17</v>
      </c>
      <c r="S9" s="771">
        <f t="shared" si="0"/>
        <v>100</v>
      </c>
      <c r="T9" s="770" t="s">
        <v>17</v>
      </c>
      <c r="U9" s="771">
        <f t="shared" si="1"/>
        <v>100</v>
      </c>
      <c r="V9" s="770" t="s">
        <v>17</v>
      </c>
      <c r="W9" s="771">
        <f t="shared" si="2"/>
        <v>100</v>
      </c>
      <c r="X9" s="772"/>
      <c r="Y9" s="305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4"/>
      <c r="Q11" s="1798" t="str">
        <f t="shared" si="6"/>
        <v>容积率</v>
      </c>
      <c r="R11" s="770" t="s">
        <v>21</v>
      </c>
      <c r="S11" s="771" t="e">
        <f t="shared" si="0"/>
        <v>#N/A</v>
      </c>
      <c r="T11" s="770" t="s">
        <v>21</v>
      </c>
      <c r="U11" s="771" t="e">
        <f t="shared" si="1"/>
        <v>#N/A</v>
      </c>
      <c r="V11" s="770" t="s">
        <v>21</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44"/>
      <c r="Q12" s="1798">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44"/>
      <c r="Q13" s="1798">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44"/>
      <c r="Q14" s="1798">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99.75">
      <c r="A15" s="440" t="s">
        <v>2564</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1" t="s">
        <v>2565</v>
      </c>
      <c r="Q15" s="1813" t="str">
        <f t="shared" si="6"/>
        <v>居住社区成熟度</v>
      </c>
      <c r="R15" s="774" t="s">
        <v>21</v>
      </c>
      <c r="S15" s="775">
        <f t="shared" si="0"/>
        <v>100</v>
      </c>
      <c r="T15" s="774" t="s">
        <v>21</v>
      </c>
      <c r="U15" s="775">
        <f t="shared" si="1"/>
        <v>100</v>
      </c>
      <c r="V15" s="774" t="s">
        <v>21</v>
      </c>
      <c r="W15" s="775">
        <f t="shared" si="2"/>
        <v>100</v>
      </c>
      <c r="X15" s="1816"/>
      <c r="Y15" s="3264" t="s">
        <v>2565</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72"/>
      <c r="Q16" s="1813"/>
      <c r="R16" s="774"/>
      <c r="S16" s="775"/>
      <c r="T16" s="774"/>
      <c r="U16" s="775"/>
      <c r="V16" s="774"/>
      <c r="W16" s="775"/>
      <c r="X16" s="1816"/>
      <c r="Y16" s="3265"/>
      <c r="Z16" s="1817"/>
      <c r="AA16" s="1814">
        <v>1</v>
      </c>
      <c r="AB16" s="1814">
        <v>1</v>
      </c>
      <c r="AC16" s="1814">
        <v>1</v>
      </c>
    </row>
    <row r="17" spans="1:29" ht="85.5">
      <c r="A17" s="428"/>
      <c r="B17" s="451" t="s">
        <v>2101</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2"/>
      <c r="Q17" s="1813" t="str">
        <f>B17</f>
        <v>交通便捷度</v>
      </c>
      <c r="R17" s="774" t="s">
        <v>21</v>
      </c>
      <c r="S17" s="775">
        <f>F17</f>
        <v>100</v>
      </c>
      <c r="T17" s="774" t="s">
        <v>21</v>
      </c>
      <c r="U17" s="775">
        <f>H17</f>
        <v>100</v>
      </c>
      <c r="V17" s="774" t="s">
        <v>21</v>
      </c>
      <c r="W17" s="775">
        <f>J17</f>
        <v>100</v>
      </c>
      <c r="X17" s="1816"/>
      <c r="Y17" s="3265"/>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72"/>
      <c r="Q18" s="1813"/>
      <c r="R18" s="774"/>
      <c r="S18" s="775"/>
      <c r="T18" s="774"/>
      <c r="U18" s="775"/>
      <c r="V18" s="774"/>
      <c r="W18" s="775"/>
      <c r="X18" s="1816"/>
      <c r="Y18" s="3265"/>
      <c r="Z18" s="1817"/>
      <c r="AA18" s="1814">
        <v>1</v>
      </c>
      <c r="AB18" s="1814">
        <v>1</v>
      </c>
      <c r="AC18" s="1814">
        <v>1</v>
      </c>
    </row>
    <row r="19" spans="1:29" ht="42.75">
      <c r="A19" s="428"/>
      <c r="B19" s="451" t="s">
        <v>2099</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2"/>
      <c r="Q19" s="1813" t="str">
        <f>B19</f>
        <v>公共配套设施</v>
      </c>
      <c r="R19" s="774" t="s">
        <v>21</v>
      </c>
      <c r="S19" s="775">
        <f>F19</f>
        <v>100</v>
      </c>
      <c r="T19" s="774" t="s">
        <v>21</v>
      </c>
      <c r="U19" s="775">
        <f>H19</f>
        <v>100</v>
      </c>
      <c r="V19" s="774" t="s">
        <v>21</v>
      </c>
      <c r="W19" s="775">
        <f>J19</f>
        <v>100</v>
      </c>
      <c r="X19" s="1816"/>
      <c r="Y19" s="3265"/>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72"/>
      <c r="Q20" s="1813"/>
      <c r="R20" s="774"/>
      <c r="S20" s="775"/>
      <c r="T20" s="774"/>
      <c r="U20" s="775"/>
      <c r="V20" s="774"/>
      <c r="W20" s="775"/>
      <c r="X20" s="1816"/>
      <c r="Y20" s="3265"/>
      <c r="Z20" s="1817"/>
      <c r="AA20" s="1814">
        <v>1</v>
      </c>
      <c r="AB20" s="1814">
        <v>1</v>
      </c>
      <c r="AC20" s="1814">
        <v>1</v>
      </c>
    </row>
    <row r="21" spans="1:29" ht="28.5">
      <c r="A21" s="428"/>
      <c r="B21" s="1387" t="s">
        <v>2102</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2"/>
      <c r="Q21" s="1813" t="str">
        <f>B21</f>
        <v>基础设施水平</v>
      </c>
      <c r="R21" s="774" t="s">
        <v>17</v>
      </c>
      <c r="S21" s="775">
        <f>F21</f>
        <v>100</v>
      </c>
      <c r="T21" s="774" t="s">
        <v>17</v>
      </c>
      <c r="U21" s="775">
        <f>H21</f>
        <v>100</v>
      </c>
      <c r="V21" s="774" t="s">
        <v>17</v>
      </c>
      <c r="W21" s="775">
        <f>J21</f>
        <v>100</v>
      </c>
      <c r="X21" s="1816"/>
      <c r="Y21" s="3265"/>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72"/>
      <c r="Q22" s="1813"/>
      <c r="R22" s="774"/>
      <c r="S22" s="775"/>
      <c r="T22" s="774"/>
      <c r="U22" s="775"/>
      <c r="V22" s="774"/>
      <c r="W22" s="775"/>
      <c r="X22" s="1816"/>
      <c r="Y22" s="3265"/>
      <c r="Z22" s="1817"/>
      <c r="AA22" s="1814">
        <v>1</v>
      </c>
      <c r="AB22" s="1814">
        <v>1</v>
      </c>
      <c r="AC22" s="1814">
        <v>1</v>
      </c>
    </row>
    <row r="23" spans="1:29" ht="57">
      <c r="A23" s="428"/>
      <c r="B23" s="451" t="s">
        <v>2106</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2"/>
      <c r="Q23" s="1813" t="str">
        <f>B23</f>
        <v>自然及人文环境</v>
      </c>
      <c r="R23" s="774" t="s">
        <v>21</v>
      </c>
      <c r="S23" s="775">
        <f>F23</f>
        <v>100</v>
      </c>
      <c r="T23" s="774" t="s">
        <v>21</v>
      </c>
      <c r="U23" s="775">
        <f>H23</f>
        <v>100</v>
      </c>
      <c r="V23" s="774" t="s">
        <v>21</v>
      </c>
      <c r="W23" s="775">
        <f>J23</f>
        <v>100</v>
      </c>
      <c r="X23" s="1816"/>
      <c r="Y23" s="3265"/>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72"/>
      <c r="Q24" s="1813"/>
      <c r="R24" s="774"/>
      <c r="S24" s="775"/>
      <c r="T24" s="774"/>
      <c r="U24" s="775"/>
      <c r="V24" s="774"/>
      <c r="W24" s="775"/>
      <c r="X24" s="1816"/>
      <c r="Y24" s="3265"/>
      <c r="Z24" s="1817"/>
      <c r="AA24" s="1814">
        <v>1</v>
      </c>
      <c r="AB24" s="1814">
        <v>1</v>
      </c>
      <c r="AC24" s="1814">
        <v>1</v>
      </c>
    </row>
    <row r="25" spans="1:29" ht="15">
      <c r="A25" s="428"/>
      <c r="B25" s="422"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7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5"/>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72"/>
      <c r="Q26" s="1813" t="str">
        <f t="shared" si="11"/>
        <v>朝向</v>
      </c>
      <c r="R26" s="774" t="s">
        <v>21</v>
      </c>
      <c r="S26" s="775">
        <f t="shared" si="12"/>
        <v>100</v>
      </c>
      <c r="T26" s="774" t="s">
        <v>21</v>
      </c>
      <c r="U26" s="775">
        <f t="shared" si="13"/>
        <v>100</v>
      </c>
      <c r="V26" s="774" t="s">
        <v>21</v>
      </c>
      <c r="W26" s="775">
        <f t="shared" si="14"/>
        <v>100</v>
      </c>
      <c r="X26" s="1816"/>
      <c r="Y26" s="326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72"/>
      <c r="Q27" s="1798">
        <f t="shared" si="11"/>
        <v>111</v>
      </c>
      <c r="R27" s="770" t="s">
        <v>21</v>
      </c>
      <c r="S27" s="771">
        <f t="shared" si="12"/>
        <v>100</v>
      </c>
      <c r="T27" s="770" t="s">
        <v>21</v>
      </c>
      <c r="U27" s="771">
        <f t="shared" si="13"/>
        <v>100</v>
      </c>
      <c r="V27" s="770" t="s">
        <v>21</v>
      </c>
      <c r="W27" s="771">
        <f t="shared" si="14"/>
        <v>100</v>
      </c>
      <c r="X27" s="772"/>
      <c r="Y27" s="326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72"/>
      <c r="Q28" s="1813">
        <f t="shared" si="11"/>
        <v>111</v>
      </c>
      <c r="R28" s="774" t="s">
        <v>21</v>
      </c>
      <c r="S28" s="775">
        <f t="shared" si="12"/>
        <v>100</v>
      </c>
      <c r="T28" s="774" t="s">
        <v>21</v>
      </c>
      <c r="U28" s="775">
        <f t="shared" si="13"/>
        <v>100</v>
      </c>
      <c r="V28" s="774" t="s">
        <v>21</v>
      </c>
      <c r="W28" s="775">
        <f t="shared" si="14"/>
        <v>100</v>
      </c>
      <c r="X28" s="1816"/>
      <c r="Y28" s="326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72"/>
      <c r="Q29" s="1813">
        <f t="shared" si="11"/>
        <v>111</v>
      </c>
      <c r="R29" s="774" t="s">
        <v>21</v>
      </c>
      <c r="S29" s="775">
        <f t="shared" si="12"/>
        <v>100</v>
      </c>
      <c r="T29" s="774" t="s">
        <v>21</v>
      </c>
      <c r="U29" s="775">
        <f t="shared" si="13"/>
        <v>100</v>
      </c>
      <c r="V29" s="774" t="s">
        <v>21</v>
      </c>
      <c r="W29" s="775">
        <f t="shared" si="14"/>
        <v>100</v>
      </c>
      <c r="X29" s="1816"/>
      <c r="Y29" s="326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72"/>
      <c r="Q30" s="1813">
        <f t="shared" si="11"/>
        <v>111</v>
      </c>
      <c r="R30" s="774" t="s">
        <v>21</v>
      </c>
      <c r="S30" s="775">
        <f t="shared" si="12"/>
        <v>100</v>
      </c>
      <c r="T30" s="774" t="s">
        <v>21</v>
      </c>
      <c r="U30" s="775">
        <f t="shared" si="13"/>
        <v>100</v>
      </c>
      <c r="V30" s="774" t="s">
        <v>21</v>
      </c>
      <c r="W30" s="775">
        <f t="shared" si="14"/>
        <v>100</v>
      </c>
      <c r="X30" s="1816"/>
      <c r="Y30" s="326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72"/>
      <c r="Q31" s="1813">
        <f t="shared" si="11"/>
        <v>111</v>
      </c>
      <c r="R31" s="774" t="s">
        <v>21</v>
      </c>
      <c r="S31" s="775">
        <f t="shared" si="12"/>
        <v>100</v>
      </c>
      <c r="T31" s="774" t="s">
        <v>21</v>
      </c>
      <c r="U31" s="775">
        <f t="shared" si="13"/>
        <v>100</v>
      </c>
      <c r="V31" s="774" t="s">
        <v>21</v>
      </c>
      <c r="W31" s="775">
        <f t="shared" si="14"/>
        <v>100</v>
      </c>
      <c r="X31" s="1816"/>
      <c r="Y31" s="3265"/>
      <c r="Z31" s="1817">
        <f t="shared" si="18"/>
        <v>111</v>
      </c>
      <c r="AA31" s="1814">
        <f t="shared" si="15"/>
        <v>1</v>
      </c>
      <c r="AB31" s="1814">
        <f t="shared" si="16"/>
        <v>1</v>
      </c>
      <c r="AC31" s="1814">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66" t="s">
        <v>2570</v>
      </c>
      <c r="Q32" s="1813" t="str">
        <f t="shared" si="11"/>
        <v>建筑类型</v>
      </c>
      <c r="R32" s="774" t="s">
        <v>21</v>
      </c>
      <c r="S32" s="775">
        <f t="shared" si="12"/>
        <v>100</v>
      </c>
      <c r="T32" s="774" t="s">
        <v>21</v>
      </c>
      <c r="U32" s="775">
        <f t="shared" si="13"/>
        <v>100</v>
      </c>
      <c r="V32" s="774" t="s">
        <v>21</v>
      </c>
      <c r="W32" s="775">
        <f t="shared" si="14"/>
        <v>100</v>
      </c>
      <c r="X32" s="1816"/>
      <c r="Y32" s="3269"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67"/>
      <c r="Q33" s="776" t="str">
        <f t="shared" si="11"/>
        <v>项目建筑规模</v>
      </c>
      <c r="R33" s="777" t="s">
        <v>21</v>
      </c>
      <c r="S33" s="778" t="e">
        <f t="shared" si="12"/>
        <v>#N/A</v>
      </c>
      <c r="T33" s="777" t="s">
        <v>21</v>
      </c>
      <c r="U33" s="778" t="e">
        <f t="shared" si="13"/>
        <v>#N/A</v>
      </c>
      <c r="V33" s="777" t="s">
        <v>21</v>
      </c>
      <c r="W33" s="778" t="e">
        <f t="shared" si="14"/>
        <v>#N/A</v>
      </c>
      <c r="X33" s="779"/>
      <c r="Y33" s="3269"/>
      <c r="Z33" s="780" t="str">
        <f t="shared" si="18"/>
        <v>项目建筑规模</v>
      </c>
      <c r="AA33" s="1814" t="e">
        <f t="shared" si="15"/>
        <v>#N/A</v>
      </c>
      <c r="AB33" s="1814" t="e">
        <f t="shared" si="16"/>
        <v>#N/A</v>
      </c>
      <c r="AC33" s="1814" t="e">
        <f t="shared" si="17"/>
        <v>#N/A</v>
      </c>
    </row>
    <row r="34" spans="1:29" ht="15">
      <c r="A34" s="472"/>
      <c r="B34" s="422"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67"/>
      <c r="Q34" s="1813" t="str">
        <f t="shared" si="11"/>
        <v>建筑结构</v>
      </c>
      <c r="R34" s="774" t="s">
        <v>21</v>
      </c>
      <c r="S34" s="775">
        <f t="shared" si="12"/>
        <v>100</v>
      </c>
      <c r="T34" s="774" t="s">
        <v>21</v>
      </c>
      <c r="U34" s="775">
        <f t="shared" si="13"/>
        <v>100</v>
      </c>
      <c r="V34" s="774" t="s">
        <v>21</v>
      </c>
      <c r="W34" s="775">
        <f t="shared" si="14"/>
        <v>100</v>
      </c>
      <c r="X34" s="1816"/>
      <c r="Y34" s="3269"/>
      <c r="Z34" s="1817" t="str">
        <f t="shared" si="18"/>
        <v>建筑结构</v>
      </c>
      <c r="AA34" s="1814">
        <f t="shared" si="15"/>
        <v>1</v>
      </c>
      <c r="AB34" s="1814">
        <f t="shared" si="16"/>
        <v>1</v>
      </c>
      <c r="AC34" s="1814">
        <f t="shared" si="17"/>
        <v>1</v>
      </c>
    </row>
    <row r="35" spans="1:29" ht="15">
      <c r="A35" s="472"/>
      <c r="B35" s="422"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67"/>
      <c r="Q35" s="1813" t="str">
        <f t="shared" si="11"/>
        <v>建筑品质</v>
      </c>
      <c r="R35" s="774" t="s">
        <v>21</v>
      </c>
      <c r="S35" s="775">
        <f t="shared" si="12"/>
        <v>100</v>
      </c>
      <c r="T35" s="774" t="s">
        <v>21</v>
      </c>
      <c r="U35" s="775">
        <f t="shared" si="13"/>
        <v>100</v>
      </c>
      <c r="V35" s="774" t="s">
        <v>21</v>
      </c>
      <c r="W35" s="775">
        <f t="shared" si="14"/>
        <v>100</v>
      </c>
      <c r="X35" s="1816"/>
      <c r="Y35" s="3269"/>
      <c r="Z35" s="1817" t="str">
        <f t="shared" si="18"/>
        <v>建筑品质</v>
      </c>
      <c r="AA35" s="1814">
        <f t="shared" si="15"/>
        <v>1</v>
      </c>
      <c r="AB35" s="1814">
        <f t="shared" si="16"/>
        <v>1</v>
      </c>
      <c r="AC35" s="1814">
        <f t="shared" si="17"/>
        <v>1</v>
      </c>
    </row>
    <row r="36" spans="1:29" ht="15">
      <c r="A36" s="472"/>
      <c r="B36" s="422"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67"/>
      <c r="Q36" s="1813" t="str">
        <f t="shared" si="11"/>
        <v>公共部分装修</v>
      </c>
      <c r="R36" s="774" t="s">
        <v>21</v>
      </c>
      <c r="S36" s="775">
        <f t="shared" si="12"/>
        <v>100</v>
      </c>
      <c r="T36" s="774" t="s">
        <v>21</v>
      </c>
      <c r="U36" s="775">
        <f t="shared" si="13"/>
        <v>100</v>
      </c>
      <c r="V36" s="774" t="s">
        <v>21</v>
      </c>
      <c r="W36" s="775">
        <f t="shared" si="14"/>
        <v>100</v>
      </c>
      <c r="X36" s="1816"/>
      <c r="Y36" s="3269"/>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7"/>
      <c r="Q37" s="1798" t="str">
        <f t="shared" si="11"/>
        <v>成新度</v>
      </c>
      <c r="R37" s="770" t="s">
        <v>21</v>
      </c>
      <c r="S37" s="771" t="e">
        <f t="shared" si="12"/>
        <v>#N/A</v>
      </c>
      <c r="T37" s="770" t="s">
        <v>21</v>
      </c>
      <c r="U37" s="771" t="e">
        <f t="shared" si="13"/>
        <v>#N/A</v>
      </c>
      <c r="V37" s="770" t="s">
        <v>21</v>
      </c>
      <c r="W37" s="771" t="e">
        <f t="shared" si="14"/>
        <v>#N/A</v>
      </c>
      <c r="X37" s="772"/>
      <c r="Y37" s="3269"/>
      <c r="Z37" s="55" t="str">
        <f t="shared" si="18"/>
        <v>成新度</v>
      </c>
      <c r="AA37" s="773" t="e">
        <f t="shared" si="15"/>
        <v>#N/A</v>
      </c>
      <c r="AB37" s="773" t="e">
        <f t="shared" si="16"/>
        <v>#N/A</v>
      </c>
      <c r="AC37" s="773" t="e">
        <f t="shared" si="17"/>
        <v>#N/A</v>
      </c>
    </row>
    <row r="38" spans="1:29" ht="15">
      <c r="A38" s="472"/>
      <c r="B38" s="422"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67" t="s">
        <v>2570</v>
      </c>
      <c r="Q38" s="1813" t="str">
        <f t="shared" si="11"/>
        <v>物业管理</v>
      </c>
      <c r="R38" s="774" t="s">
        <v>21</v>
      </c>
      <c r="S38" s="775">
        <f t="shared" si="12"/>
        <v>100</v>
      </c>
      <c r="T38" s="774" t="s">
        <v>21</v>
      </c>
      <c r="U38" s="775">
        <f t="shared" si="13"/>
        <v>100</v>
      </c>
      <c r="V38" s="774" t="s">
        <v>21</v>
      </c>
      <c r="W38" s="775">
        <f t="shared" si="14"/>
        <v>100</v>
      </c>
      <c r="X38" s="1816"/>
      <c r="Y38" s="3269" t="s">
        <v>2570</v>
      </c>
      <c r="Z38" s="1817" t="str">
        <f t="shared" si="18"/>
        <v>物业管理</v>
      </c>
      <c r="AA38" s="1814">
        <f t="shared" si="15"/>
        <v>1</v>
      </c>
      <c r="AB38" s="1814">
        <f t="shared" si="16"/>
        <v>1</v>
      </c>
      <c r="AC38" s="1814">
        <f t="shared" si="17"/>
        <v>1</v>
      </c>
    </row>
    <row r="39" spans="1:29" ht="15">
      <c r="A39" s="472"/>
      <c r="B39" s="422"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67"/>
      <c r="Q39" s="1813" t="str">
        <f t="shared" si="11"/>
        <v>市政基础设施</v>
      </c>
      <c r="R39" s="774" t="s">
        <v>21</v>
      </c>
      <c r="S39" s="775">
        <f t="shared" si="12"/>
        <v>100</v>
      </c>
      <c r="T39" s="774" t="s">
        <v>21</v>
      </c>
      <c r="U39" s="775">
        <f t="shared" si="13"/>
        <v>100</v>
      </c>
      <c r="V39" s="774" t="s">
        <v>21</v>
      </c>
      <c r="W39" s="775">
        <f t="shared" si="14"/>
        <v>100</v>
      </c>
      <c r="X39" s="1816"/>
      <c r="Y39" s="3269"/>
      <c r="Z39" s="1817" t="str">
        <f t="shared" si="18"/>
        <v>市政基础设施</v>
      </c>
      <c r="AA39" s="1814">
        <f t="shared" si="15"/>
        <v>1</v>
      </c>
      <c r="AB39" s="1814">
        <f t="shared" si="16"/>
        <v>1</v>
      </c>
      <c r="AC39" s="1814">
        <f t="shared" si="17"/>
        <v>1</v>
      </c>
    </row>
    <row r="40" spans="1:29" ht="15">
      <c r="A40" s="472"/>
      <c r="B40" s="422"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67"/>
      <c r="Q40" s="1813" t="str">
        <f t="shared" si="11"/>
        <v>房型</v>
      </c>
      <c r="R40" s="774" t="s">
        <v>21</v>
      </c>
      <c r="S40" s="775">
        <f t="shared" si="12"/>
        <v>100</v>
      </c>
      <c r="T40" s="774" t="s">
        <v>21</v>
      </c>
      <c r="U40" s="775">
        <f t="shared" si="13"/>
        <v>100</v>
      </c>
      <c r="V40" s="774" t="s">
        <v>21</v>
      </c>
      <c r="W40" s="775">
        <f t="shared" si="14"/>
        <v>100</v>
      </c>
      <c r="X40" s="1816"/>
      <c r="Y40" s="3269"/>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67"/>
      <c r="Q41" s="776" t="str">
        <f t="shared" si="11"/>
        <v>单套/主力户型建筑面积</v>
      </c>
      <c r="R41" s="777" t="s">
        <v>21</v>
      </c>
      <c r="S41" s="778">
        <f t="shared" si="12"/>
        <v>100</v>
      </c>
      <c r="T41" s="777" t="s">
        <v>21</v>
      </c>
      <c r="U41" s="778">
        <f t="shared" si="13"/>
        <v>100</v>
      </c>
      <c r="V41" s="777" t="s">
        <v>21</v>
      </c>
      <c r="W41" s="778">
        <f t="shared" si="14"/>
        <v>100</v>
      </c>
      <c r="X41" s="779"/>
      <c r="Y41" s="3269"/>
      <c r="Z41" s="780" t="str">
        <f t="shared" si="18"/>
        <v>单套/主力户型建筑面积</v>
      </c>
      <c r="AA41" s="1814">
        <f t="shared" si="15"/>
        <v>1</v>
      </c>
      <c r="AB41" s="1814">
        <f t="shared" si="16"/>
        <v>1</v>
      </c>
      <c r="AC41" s="1814">
        <f t="shared" si="17"/>
        <v>1</v>
      </c>
    </row>
    <row r="42" spans="1:29" ht="15">
      <c r="A42" s="472"/>
      <c r="B42" s="422"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67"/>
      <c r="Q42" s="1813" t="str">
        <f t="shared" si="11"/>
        <v>内部装修</v>
      </c>
      <c r="R42" s="774" t="s">
        <v>21</v>
      </c>
      <c r="S42" s="775">
        <f t="shared" si="12"/>
        <v>100</v>
      </c>
      <c r="T42" s="774" t="s">
        <v>21</v>
      </c>
      <c r="U42" s="775">
        <f t="shared" si="13"/>
        <v>100</v>
      </c>
      <c r="V42" s="774" t="s">
        <v>21</v>
      </c>
      <c r="W42" s="775">
        <f t="shared" si="14"/>
        <v>100</v>
      </c>
      <c r="X42" s="1816"/>
      <c r="Y42" s="3269"/>
      <c r="Z42" s="1817" t="str">
        <f t="shared" si="18"/>
        <v>内部装修</v>
      </c>
      <c r="AA42" s="1814">
        <f t="shared" si="15"/>
        <v>1</v>
      </c>
      <c r="AB42" s="1814">
        <f t="shared" si="16"/>
        <v>1</v>
      </c>
      <c r="AC42" s="1814">
        <f t="shared" si="17"/>
        <v>1</v>
      </c>
    </row>
    <row r="43" spans="1:29" ht="15">
      <c r="A43" s="472"/>
      <c r="B43" s="422"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67"/>
      <c r="Q43" s="1813" t="str">
        <f t="shared" si="11"/>
        <v>内部装修维护情况</v>
      </c>
      <c r="R43" s="774" t="s">
        <v>21</v>
      </c>
      <c r="S43" s="775">
        <f t="shared" si="12"/>
        <v>100</v>
      </c>
      <c r="T43" s="774" t="s">
        <v>21</v>
      </c>
      <c r="U43" s="775">
        <f t="shared" si="13"/>
        <v>100</v>
      </c>
      <c r="V43" s="774" t="s">
        <v>21</v>
      </c>
      <c r="W43" s="775">
        <f t="shared" si="14"/>
        <v>100</v>
      </c>
      <c r="X43" s="1816"/>
      <c r="Y43" s="326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67"/>
      <c r="Q44" s="1798">
        <f t="shared" si="11"/>
        <v>111</v>
      </c>
      <c r="R44" s="770" t="s">
        <v>21</v>
      </c>
      <c r="S44" s="771">
        <f t="shared" si="12"/>
        <v>100</v>
      </c>
      <c r="T44" s="770" t="s">
        <v>21</v>
      </c>
      <c r="U44" s="771">
        <f t="shared" si="13"/>
        <v>100</v>
      </c>
      <c r="V44" s="770" t="s">
        <v>21</v>
      </c>
      <c r="W44" s="771">
        <f t="shared" si="14"/>
        <v>100</v>
      </c>
      <c r="X44" s="772"/>
      <c r="Y44" s="326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67"/>
      <c r="Q45" s="1813">
        <f t="shared" si="11"/>
        <v>111</v>
      </c>
      <c r="R45" s="774" t="s">
        <v>21</v>
      </c>
      <c r="S45" s="775">
        <f t="shared" si="12"/>
        <v>100</v>
      </c>
      <c r="T45" s="774" t="s">
        <v>21</v>
      </c>
      <c r="U45" s="775">
        <f t="shared" si="13"/>
        <v>100</v>
      </c>
      <c r="V45" s="774" t="s">
        <v>21</v>
      </c>
      <c r="W45" s="775">
        <f t="shared" si="14"/>
        <v>100</v>
      </c>
      <c r="X45" s="1816"/>
      <c r="Y45" s="3269"/>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68"/>
      <c r="Q46" s="1813">
        <f t="shared" si="11"/>
        <v>111</v>
      </c>
      <c r="R46" s="774" t="s">
        <v>20</v>
      </c>
      <c r="S46" s="775">
        <f t="shared" si="12"/>
        <v>100</v>
      </c>
      <c r="T46" s="774" t="s">
        <v>20</v>
      </c>
      <c r="U46" s="775">
        <f t="shared" si="13"/>
        <v>100</v>
      </c>
      <c r="V46" s="774" t="s">
        <v>20</v>
      </c>
      <c r="W46" s="775">
        <f t="shared" si="14"/>
        <v>100</v>
      </c>
      <c r="X46" s="1816"/>
      <c r="Y46" s="3270"/>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5"/>
      <c r="L47" s="1146"/>
      <c r="M47" s="1147"/>
      <c r="N47" s="1134"/>
      <c r="O47" s="1147"/>
      <c r="P47" s="3262" t="str">
        <f>A47</f>
        <v>成交单价（元/平方米）</v>
      </c>
      <c r="Q47" s="3262"/>
      <c r="R47" s="3263">
        <f>E47</f>
        <v>0</v>
      </c>
      <c r="S47" s="3263"/>
      <c r="T47" s="3263">
        <f>G47</f>
        <v>0</v>
      </c>
      <c r="U47" s="3263"/>
      <c r="V47" s="3263">
        <f>I47</f>
        <v>0</v>
      </c>
      <c r="W47" s="3263"/>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6"/>
      <c r="L48" s="1146"/>
      <c r="M48" s="1147"/>
      <c r="N48" s="1147"/>
      <c r="O48" s="1147"/>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7"/>
      <c r="L49" s="1146"/>
      <c r="M49" s="1147"/>
      <c r="N49" s="1147"/>
      <c r="O49" s="1147"/>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0"/>
      <c r="Q57" s="504"/>
    </row>
    <row r="58" spans="1:29" s="508" customFormat="1" ht="15">
      <c r="A58" s="505" t="s">
        <v>2589</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2591</v>
      </c>
      <c r="B61" s="510"/>
      <c r="C61" s="522" t="s">
        <v>2592</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2593</v>
      </c>
      <c r="B63" s="528" t="s">
        <v>2559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2616</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2568</v>
      </c>
      <c r="B100" s="528" t="s">
        <v>2617</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2620</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2621</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2622</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2623</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2624</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7">
        <v>6</v>
      </c>
      <c r="C139" s="1088">
        <v>96</v>
      </c>
      <c r="D139" s="2652" t="s">
        <v>2636</v>
      </c>
      <c r="E139" s="1089">
        <v>100</v>
      </c>
      <c r="F139" s="1090">
        <v>102.5</v>
      </c>
      <c r="G139" s="2652" t="s">
        <v>2636</v>
      </c>
      <c r="H139" s="1091">
        <v>105</v>
      </c>
      <c r="I139" s="2653" t="s">
        <v>2637</v>
      </c>
      <c r="J139" s="1088">
        <v>20</v>
      </c>
      <c r="K139" s="1092">
        <f>C145/(J139-2)</f>
        <v>4.0555555555555553E-3</v>
      </c>
    </row>
    <row r="140" spans="1:17" ht="15">
      <c r="B140" s="1093">
        <v>5</v>
      </c>
      <c r="C140" s="1094">
        <v>100</v>
      </c>
      <c r="D140" s="1094"/>
      <c r="E140" s="1095"/>
      <c r="F140" s="1096">
        <v>102</v>
      </c>
      <c r="G140" s="1094"/>
      <c r="H140" s="1097"/>
      <c r="I140" s="2654" t="s">
        <v>2638</v>
      </c>
      <c r="J140" s="315">
        <f>ROUNDUP((J139-1)/2,0)</f>
        <v>10</v>
      </c>
      <c r="K140" s="1098">
        <v>100</v>
      </c>
    </row>
    <row r="141" spans="1:17" ht="15">
      <c r="B141" s="1093">
        <v>4</v>
      </c>
      <c r="C141" s="1094">
        <v>102</v>
      </c>
      <c r="D141" s="1094"/>
      <c r="E141" s="1095"/>
      <c r="F141" s="1096">
        <v>101.5</v>
      </c>
      <c r="G141" s="1094"/>
      <c r="H141" s="1097"/>
      <c r="I141" s="2654" t="s">
        <v>2639</v>
      </c>
      <c r="J141" s="315">
        <v>1</v>
      </c>
      <c r="K141" s="1099">
        <f>ROUND(100+(J141-J140)*K139*100,1)</f>
        <v>96.4</v>
      </c>
    </row>
    <row r="142" spans="1:17" ht="15">
      <c r="B142" s="1093">
        <v>3</v>
      </c>
      <c r="C142" s="1094">
        <v>103</v>
      </c>
      <c r="D142" s="1094"/>
      <c r="E142" s="1095"/>
      <c r="F142" s="1096">
        <v>101</v>
      </c>
      <c r="G142" s="1094"/>
      <c r="H142" s="1097"/>
      <c r="I142" s="2654" t="s">
        <v>2640</v>
      </c>
      <c r="J142" s="315">
        <f>J139</f>
        <v>20</v>
      </c>
      <c r="K142" s="1100">
        <v>95</v>
      </c>
    </row>
    <row r="143" spans="1:17" ht="15">
      <c r="B143" s="1093">
        <v>2</v>
      </c>
      <c r="C143" s="1094">
        <v>100</v>
      </c>
      <c r="D143" s="1094"/>
      <c r="E143" s="1095"/>
      <c r="F143" s="1096">
        <v>100.5</v>
      </c>
      <c r="G143" s="1094"/>
      <c r="H143" s="1097"/>
      <c r="I143" s="2654" t="s">
        <v>2641</v>
      </c>
      <c r="J143" s="1094">
        <v>15</v>
      </c>
      <c r="K143" s="1099">
        <f>ROUND(100+(J143-J140)*K139*100,1)</f>
        <v>102</v>
      </c>
    </row>
    <row r="144" spans="1:17" ht="15">
      <c r="B144" s="1093">
        <v>1</v>
      </c>
      <c r="C144" s="1094">
        <v>98</v>
      </c>
      <c r="D144" s="2655" t="s">
        <v>2642</v>
      </c>
      <c r="E144" s="1095">
        <v>102</v>
      </c>
      <c r="F144" s="1101">
        <v>100</v>
      </c>
      <c r="G144" s="2655" t="s">
        <v>2642</v>
      </c>
      <c r="H144" s="1097">
        <v>105</v>
      </c>
      <c r="I144" s="2654" t="s">
        <v>2641</v>
      </c>
      <c r="J144" s="1094">
        <v>18</v>
      </c>
      <c r="K144" s="1099">
        <f>ROUND(100+(J144-J140)*K139*100,1)</f>
        <v>103.2</v>
      </c>
    </row>
    <row r="145" spans="2:11" ht="15.75" thickBot="1">
      <c r="B145" s="2656" t="s">
        <v>2643</v>
      </c>
      <c r="C145" s="1102">
        <f>ROUND(MAX(C139:C144)/MIN(C139:C144)-1,3)</f>
        <v>7.2999999999999995E-2</v>
      </c>
      <c r="D145" s="1103"/>
      <c r="E145" s="1103"/>
      <c r="F145" s="2657" t="s">
        <v>2644</v>
      </c>
      <c r="G145" s="2658"/>
      <c r="H145" s="2659"/>
      <c r="I145" s="2660" t="s">
        <v>2641</v>
      </c>
      <c r="J145" s="1104">
        <v>8</v>
      </c>
      <c r="K145" s="1105">
        <f>ROUND(100+(J145-J140)*K139*100,1)</f>
        <v>99.2</v>
      </c>
    </row>
    <row r="147" spans="2:11">
      <c r="B147" s="2641" t="s">
        <v>2645</v>
      </c>
    </row>
    <row r="148" spans="2:11">
      <c r="B148" s="2641"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42" sqref="H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2647</v>
      </c>
      <c r="C1" s="1637" t="s">
        <v>2535</v>
      </c>
      <c r="D1" s="1624"/>
      <c r="E1" s="2661"/>
      <c r="F1" s="2588"/>
      <c r="G1" s="1634" t="s">
        <v>2648</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2332</v>
      </c>
      <c r="B2" s="1421" t="e">
        <f ca="1">IF(C2="——",ROUND(C49*D3/10000,0),ROUND(C49*D3/10000,0)-D2)</f>
        <v>#DIV/0!</v>
      </c>
      <c r="C2" s="2590"/>
      <c r="D2" s="1368" t="e">
        <f ca="1">SUMIF(INDIRECT("'"&amp;F2&amp;"'"&amp;"!A:A"),"承租人权益价值",INDIRECT("'"&amp;F2&amp;"'"&amp;"!c:c"))</f>
        <v>#REF!</v>
      </c>
      <c r="E2" s="2591" t="s">
        <v>2333</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2334</v>
      </c>
      <c r="B3" s="609" t="e">
        <f ca="1">IF(C2="——",C49,ROUND(B2*10000/D3,0))</f>
        <v>#DIV/0!</v>
      </c>
      <c r="C3" s="400" t="s">
        <v>2649</v>
      </c>
      <c r="D3" s="399">
        <f>IF(D1="",'数据-汇总表'!E3,SUMIF('数据-汇总表'!$C19:$C33,D1,'数据-汇总表'!$E19:$E33))</f>
        <v>39021.709999999977</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2650</v>
      </c>
      <c r="B4" s="402"/>
      <c r="C4" s="3245" t="s">
        <v>2651</v>
      </c>
      <c r="D4" s="3246"/>
      <c r="E4" s="3247" t="s">
        <v>2652</v>
      </c>
      <c r="F4" s="3248"/>
      <c r="G4" s="3245" t="s">
        <v>2653</v>
      </c>
      <c r="H4" s="3246"/>
      <c r="I4" s="3245" t="s">
        <v>2654</v>
      </c>
      <c r="J4" s="3246"/>
      <c r="K4" s="610" t="s">
        <v>2655</v>
      </c>
      <c r="L4" s="1133"/>
      <c r="M4" s="1134"/>
      <c r="N4" s="1134"/>
      <c r="O4" s="1134"/>
      <c r="P4" s="3249" t="s">
        <v>2656</v>
      </c>
      <c r="Q4" s="3250"/>
      <c r="R4" s="3232" t="s">
        <v>2652</v>
      </c>
      <c r="S4" s="3233"/>
      <c r="T4" s="3232" t="s">
        <v>2653</v>
      </c>
      <c r="U4" s="3233"/>
      <c r="V4" s="3257" t="s">
        <v>2654</v>
      </c>
      <c r="W4" s="3257"/>
      <c r="X4" s="1816"/>
      <c r="Y4" s="3232" t="s">
        <v>2656</v>
      </c>
      <c r="Z4" s="3233"/>
      <c r="AA4" s="3227" t="s">
        <v>2652</v>
      </c>
      <c r="AB4" s="3257" t="s">
        <v>2653</v>
      </c>
      <c r="AC4" s="3227" t="s">
        <v>2654</v>
      </c>
    </row>
    <row r="5" spans="1:29" ht="15">
      <c r="A5" s="404"/>
      <c r="B5" s="405"/>
      <c r="C5" s="3238" t="s">
        <v>2547</v>
      </c>
      <c r="D5" s="3239"/>
      <c r="E5" s="3236" t="s">
        <v>2548</v>
      </c>
      <c r="F5" s="3237"/>
      <c r="G5" s="3238" t="s">
        <v>2549</v>
      </c>
      <c r="H5" s="3239"/>
      <c r="I5" s="3238" t="s">
        <v>2550</v>
      </c>
      <c r="J5" s="3239"/>
      <c r="K5" s="610"/>
      <c r="L5" s="1133"/>
      <c r="M5" s="1134"/>
      <c r="N5" s="1134"/>
      <c r="O5" s="1134"/>
      <c r="P5" s="3251"/>
      <c r="Q5" s="3252"/>
      <c r="R5" s="3234"/>
      <c r="S5" s="3235"/>
      <c r="T5" s="3234"/>
      <c r="U5" s="3235"/>
      <c r="V5" s="3257"/>
      <c r="W5" s="3257"/>
      <c r="X5" s="1816"/>
      <c r="Y5" s="3234"/>
      <c r="Z5" s="3235"/>
      <c r="AA5" s="3228"/>
      <c r="AB5" s="3257"/>
      <c r="AC5" s="3228"/>
    </row>
    <row r="6" spans="1:29" ht="15.75" thickBot="1">
      <c r="A6" s="406"/>
      <c r="B6" s="407"/>
      <c r="C6" s="3240" t="s">
        <v>2551</v>
      </c>
      <c r="D6" s="3241"/>
      <c r="E6" s="3242" t="s">
        <v>2551</v>
      </c>
      <c r="F6" s="3243"/>
      <c r="G6" s="3240" t="s">
        <v>2551</v>
      </c>
      <c r="H6" s="3241"/>
      <c r="I6" s="3240" t="s">
        <v>2551</v>
      </c>
      <c r="J6" s="3241"/>
      <c r="K6" s="610" t="s">
        <v>2552</v>
      </c>
      <c r="L6" s="1133"/>
      <c r="M6" s="1134"/>
      <c r="N6" s="1134"/>
      <c r="O6" s="1134"/>
      <c r="P6" s="3253"/>
      <c r="Q6" s="3254"/>
      <c r="R6" s="3234"/>
      <c r="S6" s="3235"/>
      <c r="T6" s="3255"/>
      <c r="U6" s="3256"/>
      <c r="V6" s="3257"/>
      <c r="W6" s="3257"/>
      <c r="X6" s="1816"/>
      <c r="Y6" s="3255"/>
      <c r="Z6" s="3256"/>
      <c r="AA6" s="3229"/>
      <c r="AB6" s="3257"/>
      <c r="AC6" s="3229"/>
    </row>
    <row r="7" spans="1:29" s="117" customFormat="1" ht="15.75" thickBot="1">
      <c r="A7" s="408" t="s">
        <v>2553</v>
      </c>
      <c r="B7" s="409"/>
      <c r="C7" s="410">
        <f>'数据-取费表'!B2</f>
        <v>43236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0" t="s">
        <v>2554</v>
      </c>
      <c r="Q7" s="3258"/>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4" t="s">
        <v>2560</v>
      </c>
      <c r="Q9" s="1798" t="str">
        <f t="shared" ref="Q9:Q15" si="6">B9</f>
        <v>用途</v>
      </c>
      <c r="R9" s="770" t="s">
        <v>17</v>
      </c>
      <c r="S9" s="771">
        <f t="shared" si="0"/>
        <v>100</v>
      </c>
      <c r="T9" s="770" t="s">
        <v>17</v>
      </c>
      <c r="U9" s="771">
        <f t="shared" si="1"/>
        <v>100</v>
      </c>
      <c r="V9" s="770" t="s">
        <v>17</v>
      </c>
      <c r="W9" s="771">
        <f t="shared" si="2"/>
        <v>100</v>
      </c>
      <c r="X9" s="772"/>
      <c r="Y9" s="305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4"/>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4"/>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4"/>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4"/>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2564</v>
      </c>
      <c r="B15" s="69" t="s">
        <v>2658</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1" t="s">
        <v>2565</v>
      </c>
      <c r="Q15" s="1813" t="str">
        <f t="shared" si="6"/>
        <v>商业繁华度</v>
      </c>
      <c r="R15" s="774" t="s">
        <v>17</v>
      </c>
      <c r="S15" s="775">
        <f t="shared" si="0"/>
        <v>100</v>
      </c>
      <c r="T15" s="774" t="s">
        <v>17</v>
      </c>
      <c r="U15" s="775">
        <f t="shared" si="1"/>
        <v>100</v>
      </c>
      <c r="V15" s="774" t="s">
        <v>17</v>
      </c>
      <c r="W15" s="775">
        <f t="shared" si="2"/>
        <v>100</v>
      </c>
      <c r="X15" s="1816"/>
      <c r="Y15" s="3264"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2"/>
      <c r="Q16" s="1813"/>
      <c r="R16" s="774"/>
      <c r="S16" s="775"/>
      <c r="T16" s="774"/>
      <c r="U16" s="775"/>
      <c r="V16" s="774"/>
      <c r="W16" s="775"/>
      <c r="X16" s="1816"/>
      <c r="Y16" s="3265"/>
      <c r="Z16" s="1817"/>
      <c r="AA16" s="1814">
        <v>1</v>
      </c>
      <c r="AB16" s="1814">
        <v>1</v>
      </c>
      <c r="AC16" s="1814">
        <v>1</v>
      </c>
    </row>
    <row r="17" spans="1:29" ht="85.5">
      <c r="A17" s="428"/>
      <c r="B17" s="451" t="s">
        <v>2101</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2"/>
      <c r="Q17" s="1813" t="str">
        <f>B17</f>
        <v>交通便捷度</v>
      </c>
      <c r="R17" s="774" t="s">
        <v>17</v>
      </c>
      <c r="S17" s="775">
        <f>F17</f>
        <v>100</v>
      </c>
      <c r="T17" s="774" t="s">
        <v>17</v>
      </c>
      <c r="U17" s="775">
        <f>H17</f>
        <v>100</v>
      </c>
      <c r="V17" s="774" t="s">
        <v>17</v>
      </c>
      <c r="W17" s="775">
        <f>J17</f>
        <v>100</v>
      </c>
      <c r="X17" s="1816"/>
      <c r="Y17" s="3265"/>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72"/>
      <c r="Q18" s="1813"/>
      <c r="R18" s="774"/>
      <c r="S18" s="775"/>
      <c r="T18" s="774"/>
      <c r="U18" s="775"/>
      <c r="V18" s="774"/>
      <c r="W18" s="775"/>
      <c r="X18" s="1816"/>
      <c r="Y18" s="3265"/>
      <c r="Z18" s="1817"/>
      <c r="AA18" s="1814">
        <v>1</v>
      </c>
      <c r="AB18" s="1814">
        <v>1</v>
      </c>
      <c r="AC18" s="1814">
        <v>1</v>
      </c>
    </row>
    <row r="19" spans="1:29" ht="42.75">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2"/>
      <c r="Q19" s="1813" t="str">
        <f>B19</f>
        <v>公共配套设施</v>
      </c>
      <c r="R19" s="774" t="s">
        <v>17</v>
      </c>
      <c r="S19" s="775">
        <f>F19</f>
        <v>100</v>
      </c>
      <c r="T19" s="774" t="s">
        <v>17</v>
      </c>
      <c r="U19" s="775">
        <f>H19</f>
        <v>100</v>
      </c>
      <c r="V19" s="774" t="s">
        <v>17</v>
      </c>
      <c r="W19" s="775">
        <f>J19</f>
        <v>100</v>
      </c>
      <c r="X19" s="1816"/>
      <c r="Y19" s="3265"/>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72"/>
      <c r="Q20" s="1813"/>
      <c r="R20" s="774"/>
      <c r="S20" s="775"/>
      <c r="T20" s="774"/>
      <c r="U20" s="775"/>
      <c r="V20" s="774"/>
      <c r="W20" s="775"/>
      <c r="X20" s="1816"/>
      <c r="Y20" s="3265"/>
      <c r="Z20" s="1817"/>
      <c r="AA20" s="1814">
        <v>1</v>
      </c>
      <c r="AB20" s="1814">
        <v>1</v>
      </c>
      <c r="AC20" s="1814">
        <v>1</v>
      </c>
    </row>
    <row r="21" spans="1:29" ht="28.5">
      <c r="A21" s="428"/>
      <c r="B21" s="1387"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2"/>
      <c r="Q21" s="1813" t="str">
        <f>B21</f>
        <v>基础设施水平</v>
      </c>
      <c r="R21" s="774" t="s">
        <v>17</v>
      </c>
      <c r="S21" s="775">
        <f>F21</f>
        <v>100</v>
      </c>
      <c r="T21" s="774" t="s">
        <v>17</v>
      </c>
      <c r="U21" s="775">
        <f>H21</f>
        <v>100</v>
      </c>
      <c r="V21" s="774" t="s">
        <v>17</v>
      </c>
      <c r="W21" s="775">
        <f>J21</f>
        <v>100</v>
      </c>
      <c r="X21" s="1816"/>
      <c r="Y21" s="3265"/>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72"/>
      <c r="Q22" s="1813"/>
      <c r="R22" s="774"/>
      <c r="S22" s="775"/>
      <c r="T22" s="774"/>
      <c r="U22" s="775"/>
      <c r="V22" s="774"/>
      <c r="W22" s="775"/>
      <c r="X22" s="1816"/>
      <c r="Y22" s="3265"/>
      <c r="Z22" s="1817"/>
      <c r="AA22" s="1814">
        <v>1</v>
      </c>
      <c r="AB22" s="1814">
        <v>1</v>
      </c>
      <c r="AC22" s="1814">
        <v>1</v>
      </c>
    </row>
    <row r="23" spans="1:29" ht="57">
      <c r="A23" s="428"/>
      <c r="B23" s="451" t="s">
        <v>2106</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2"/>
      <c r="Q23" s="1813" t="str">
        <f>B23</f>
        <v>自然及人文环境</v>
      </c>
      <c r="R23" s="774" t="s">
        <v>17</v>
      </c>
      <c r="S23" s="775">
        <f>F23</f>
        <v>100</v>
      </c>
      <c r="T23" s="774" t="s">
        <v>17</v>
      </c>
      <c r="U23" s="775">
        <f>H23</f>
        <v>100</v>
      </c>
      <c r="V23" s="774" t="s">
        <v>17</v>
      </c>
      <c r="W23" s="775">
        <f>J23</f>
        <v>100</v>
      </c>
      <c r="X23" s="1816"/>
      <c r="Y23" s="3265"/>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72"/>
      <c r="Q24" s="1813"/>
      <c r="R24" s="774"/>
      <c r="S24" s="775"/>
      <c r="T24" s="774"/>
      <c r="U24" s="775"/>
      <c r="V24" s="774"/>
      <c r="W24" s="775"/>
      <c r="X24" s="1816"/>
      <c r="Y24" s="3265"/>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2"/>
      <c r="Q25" s="1813" t="str">
        <f t="shared" ref="Q25:Q46" si="11">B25</f>
        <v>临街状况</v>
      </c>
      <c r="R25" s="774" t="s">
        <v>17</v>
      </c>
      <c r="S25" s="775">
        <f>F25</f>
        <v>100</v>
      </c>
      <c r="T25" s="774" t="s">
        <v>17</v>
      </c>
      <c r="U25" s="775">
        <f>H25</f>
        <v>100</v>
      </c>
      <c r="V25" s="774" t="s">
        <v>17</v>
      </c>
      <c r="W25" s="775">
        <f>J25</f>
        <v>100</v>
      </c>
      <c r="X25" s="1816"/>
      <c r="Y25" s="3265"/>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2"/>
      <c r="Q26" s="1813" t="str">
        <f t="shared" si="11"/>
        <v>平面位置/可视性</v>
      </c>
      <c r="R26" s="774" t="s">
        <v>17</v>
      </c>
      <c r="S26" s="775">
        <f>F26</f>
        <v>100</v>
      </c>
      <c r="T26" s="774" t="s">
        <v>17</v>
      </c>
      <c r="U26" s="775">
        <f>H26</f>
        <v>100</v>
      </c>
      <c r="V26" s="774" t="s">
        <v>17</v>
      </c>
      <c r="W26" s="775">
        <f>J26</f>
        <v>100</v>
      </c>
      <c r="X26" s="1816"/>
      <c r="Y26" s="3265"/>
      <c r="Z26" s="1817" t="str">
        <f>Q26</f>
        <v>平面位置/可视性</v>
      </c>
      <c r="AA26" s="1814">
        <f t="shared" si="3"/>
        <v>1</v>
      </c>
      <c r="AB26" s="1814">
        <f t="shared" si="4"/>
        <v>1</v>
      </c>
      <c r="AC26" s="1814">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72"/>
      <c r="Q27" s="1798" t="str">
        <f t="shared" si="11"/>
        <v>人流量</v>
      </c>
      <c r="R27" s="770" t="s">
        <v>17</v>
      </c>
      <c r="S27" s="771">
        <f>F27</f>
        <v>100</v>
      </c>
      <c r="T27" s="770" t="s">
        <v>17</v>
      </c>
      <c r="U27" s="771">
        <f>H27</f>
        <v>100</v>
      </c>
      <c r="V27" s="770" t="s">
        <v>17</v>
      </c>
      <c r="W27" s="771">
        <f>J27</f>
        <v>100</v>
      </c>
      <c r="X27" s="772"/>
      <c r="Y27" s="3265"/>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2"/>
      <c r="Q29" s="1813">
        <f t="shared" si="11"/>
        <v>111</v>
      </c>
      <c r="R29" s="774" t="s">
        <v>17</v>
      </c>
      <c r="S29" s="775">
        <f t="shared" si="12"/>
        <v>100</v>
      </c>
      <c r="T29" s="774" t="s">
        <v>17</v>
      </c>
      <c r="U29" s="775">
        <f t="shared" si="13"/>
        <v>100</v>
      </c>
      <c r="V29" s="774" t="s">
        <v>17</v>
      </c>
      <c r="W29" s="775">
        <f t="shared" si="14"/>
        <v>100</v>
      </c>
      <c r="X29" s="1816"/>
      <c r="Y29" s="326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2"/>
      <c r="Q30" s="1813">
        <f t="shared" si="11"/>
        <v>111</v>
      </c>
      <c r="R30" s="774" t="s">
        <v>17</v>
      </c>
      <c r="S30" s="775">
        <f t="shared" si="12"/>
        <v>100</v>
      </c>
      <c r="T30" s="774" t="s">
        <v>17</v>
      </c>
      <c r="U30" s="775">
        <f t="shared" si="13"/>
        <v>100</v>
      </c>
      <c r="V30" s="774" t="s">
        <v>17</v>
      </c>
      <c r="W30" s="775">
        <f t="shared" si="14"/>
        <v>100</v>
      </c>
      <c r="X30" s="1816"/>
      <c r="Y30" s="326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2"/>
      <c r="Q31" s="1813">
        <f t="shared" si="11"/>
        <v>111</v>
      </c>
      <c r="R31" s="774" t="s">
        <v>17</v>
      </c>
      <c r="S31" s="775">
        <f t="shared" si="12"/>
        <v>100</v>
      </c>
      <c r="T31" s="774" t="s">
        <v>17</v>
      </c>
      <c r="U31" s="775">
        <f t="shared" si="13"/>
        <v>100</v>
      </c>
      <c r="V31" s="774" t="s">
        <v>17</v>
      </c>
      <c r="W31" s="775">
        <f t="shared" si="14"/>
        <v>100</v>
      </c>
      <c r="X31" s="1816"/>
      <c r="Y31" s="3265"/>
      <c r="Z31" s="1817">
        <f t="shared" si="15"/>
        <v>111</v>
      </c>
      <c r="AA31" s="1814">
        <f t="shared" si="3"/>
        <v>1</v>
      </c>
      <c r="AB31" s="1814">
        <f t="shared" si="4"/>
        <v>1</v>
      </c>
      <c r="AC31" s="1814">
        <f t="shared" si="5"/>
        <v>1</v>
      </c>
    </row>
    <row r="32" spans="1:29" ht="15">
      <c r="A32" s="440" t="s">
        <v>2568</v>
      </c>
      <c r="B32" s="71" t="s">
        <v>2665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66" t="s">
        <v>2570</v>
      </c>
      <c r="Q32" s="1813" t="str">
        <f t="shared" si="11"/>
        <v>商业类型</v>
      </c>
      <c r="R32" s="774" t="s">
        <v>17</v>
      </c>
      <c r="S32" s="775">
        <f t="shared" si="12"/>
        <v>100</v>
      </c>
      <c r="T32" s="774" t="s">
        <v>17</v>
      </c>
      <c r="U32" s="775">
        <f t="shared" si="13"/>
        <v>100</v>
      </c>
      <c r="V32" s="774" t="s">
        <v>17</v>
      </c>
      <c r="W32" s="775">
        <f t="shared" si="14"/>
        <v>100</v>
      </c>
      <c r="X32" s="1816"/>
      <c r="Y32" s="3269"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7"/>
      <c r="Q33" s="776" t="str">
        <f t="shared" si="11"/>
        <v>项目建筑规模</v>
      </c>
      <c r="R33" s="777" t="s">
        <v>17</v>
      </c>
      <c r="S33" s="778" t="e">
        <f t="shared" si="12"/>
        <v>#N/A</v>
      </c>
      <c r="T33" s="777" t="s">
        <v>17</v>
      </c>
      <c r="U33" s="778" t="e">
        <f t="shared" si="13"/>
        <v>#N/A</v>
      </c>
      <c r="V33" s="777" t="s">
        <v>17</v>
      </c>
      <c r="W33" s="778" t="e">
        <f t="shared" si="14"/>
        <v>#N/A</v>
      </c>
      <c r="X33" s="779"/>
      <c r="Y33" s="3269"/>
      <c r="Z33" s="780" t="str">
        <f t="shared" si="15"/>
        <v>项目建筑规模</v>
      </c>
      <c r="AA33" s="1814" t="e">
        <f t="shared" si="3"/>
        <v>#N/A</v>
      </c>
      <c r="AB33" s="1814" t="e">
        <f t="shared" si="4"/>
        <v>#N/A</v>
      </c>
      <c r="AC33" s="1814" t="e">
        <f t="shared" si="5"/>
        <v>#N/A</v>
      </c>
    </row>
    <row r="34" spans="1:29" ht="15">
      <c r="A34" s="472"/>
      <c r="B34" s="422" t="s">
        <v>2572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67"/>
      <c r="Q34" s="1813" t="str">
        <f t="shared" si="11"/>
        <v>建筑结构</v>
      </c>
      <c r="R34" s="774" t="s">
        <v>17</v>
      </c>
      <c r="S34" s="775">
        <f t="shared" si="12"/>
        <v>100</v>
      </c>
      <c r="T34" s="774" t="s">
        <v>17</v>
      </c>
      <c r="U34" s="775">
        <f t="shared" si="13"/>
        <v>100</v>
      </c>
      <c r="V34" s="774" t="s">
        <v>17</v>
      </c>
      <c r="W34" s="775">
        <f t="shared" si="14"/>
        <v>100</v>
      </c>
      <c r="X34" s="1816"/>
      <c r="Y34" s="3269"/>
      <c r="Z34" s="1817" t="str">
        <f t="shared" si="15"/>
        <v>建筑结构</v>
      </c>
      <c r="AA34" s="1814">
        <f t="shared" si="3"/>
        <v>1</v>
      </c>
      <c r="AB34" s="1814">
        <f t="shared" si="4"/>
        <v>1</v>
      </c>
      <c r="AC34" s="1814">
        <f t="shared" si="5"/>
        <v>1</v>
      </c>
    </row>
    <row r="35" spans="1:29" ht="15">
      <c r="A35" s="472"/>
      <c r="B35" s="422" t="s">
        <v>2666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67"/>
      <c r="Q35" s="1813" t="str">
        <f t="shared" si="11"/>
        <v>公共部分装修</v>
      </c>
      <c r="R35" s="774" t="s">
        <v>17</v>
      </c>
      <c r="S35" s="775">
        <f t="shared" si="12"/>
        <v>100</v>
      </c>
      <c r="T35" s="774" t="s">
        <v>17</v>
      </c>
      <c r="U35" s="775">
        <f t="shared" si="13"/>
        <v>100</v>
      </c>
      <c r="V35" s="774" t="s">
        <v>17</v>
      </c>
      <c r="W35" s="775">
        <f t="shared" si="14"/>
        <v>100</v>
      </c>
      <c r="X35" s="1816"/>
      <c r="Y35" s="3269"/>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7"/>
      <c r="Q36" s="1813" t="str">
        <f t="shared" si="11"/>
        <v>成新度</v>
      </c>
      <c r="R36" s="774" t="s">
        <v>17</v>
      </c>
      <c r="S36" s="775" t="e">
        <f t="shared" si="12"/>
        <v>#N/A</v>
      </c>
      <c r="T36" s="774" t="s">
        <v>17</v>
      </c>
      <c r="U36" s="775" t="e">
        <f t="shared" si="13"/>
        <v>#N/A</v>
      </c>
      <c r="V36" s="774" t="s">
        <v>17</v>
      </c>
      <c r="W36" s="775" t="e">
        <f t="shared" si="14"/>
        <v>#N/A</v>
      </c>
      <c r="X36" s="1816"/>
      <c r="Y36" s="3269"/>
      <c r="Z36" s="1817" t="str">
        <f t="shared" si="15"/>
        <v>成新度</v>
      </c>
      <c r="AA36" s="1814" t="e">
        <f t="shared" si="3"/>
        <v>#N/A</v>
      </c>
      <c r="AB36" s="1814" t="e">
        <f t="shared" si="4"/>
        <v>#N/A</v>
      </c>
      <c r="AC36" s="1814" t="e">
        <f t="shared" si="5"/>
        <v>#N/A</v>
      </c>
    </row>
    <row r="37" spans="1:29" s="117" customFormat="1" ht="15">
      <c r="A37" s="473"/>
      <c r="B37" s="422" t="s">
        <v>2668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67"/>
      <c r="Q37" s="1798" t="str">
        <f t="shared" si="11"/>
        <v>市政基础设施</v>
      </c>
      <c r="R37" s="770" t="s">
        <v>17</v>
      </c>
      <c r="S37" s="771">
        <f t="shared" si="12"/>
        <v>100</v>
      </c>
      <c r="T37" s="770" t="s">
        <v>17</v>
      </c>
      <c r="U37" s="771">
        <f t="shared" si="13"/>
        <v>100</v>
      </c>
      <c r="V37" s="770" t="s">
        <v>17</v>
      </c>
      <c r="W37" s="771">
        <f t="shared" si="14"/>
        <v>100</v>
      </c>
      <c r="X37" s="772"/>
      <c r="Y37" s="3269"/>
      <c r="Z37" s="55" t="str">
        <f t="shared" si="15"/>
        <v>市政基础设施</v>
      </c>
      <c r="AA37" s="773">
        <f t="shared" si="3"/>
        <v>1</v>
      </c>
      <c r="AB37" s="773">
        <f t="shared" si="4"/>
        <v>1</v>
      </c>
      <c r="AC37" s="773">
        <f t="shared" si="5"/>
        <v>1</v>
      </c>
    </row>
    <row r="38" spans="1:29" ht="15">
      <c r="A38" s="472"/>
      <c r="B38" s="422"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67" t="s">
        <v>2570</v>
      </c>
      <c r="Q38" s="1813" t="str">
        <f t="shared" si="11"/>
        <v>业态</v>
      </c>
      <c r="R38" s="774" t="s">
        <v>17</v>
      </c>
      <c r="S38" s="775">
        <f t="shared" si="12"/>
        <v>100</v>
      </c>
      <c r="T38" s="774" t="s">
        <v>17</v>
      </c>
      <c r="U38" s="775">
        <f t="shared" si="13"/>
        <v>100</v>
      </c>
      <c r="V38" s="774" t="s">
        <v>17</v>
      </c>
      <c r="W38" s="775">
        <f t="shared" si="14"/>
        <v>100</v>
      </c>
      <c r="X38" s="1816"/>
      <c r="Y38" s="3269" t="s">
        <v>2570</v>
      </c>
      <c r="Z38" s="1817" t="str">
        <f t="shared" si="15"/>
        <v>业态</v>
      </c>
      <c r="AA38" s="1814">
        <f t="shared" si="3"/>
        <v>1</v>
      </c>
      <c r="AB38" s="1814">
        <f t="shared" si="4"/>
        <v>1</v>
      </c>
      <c r="AC38" s="1814">
        <f t="shared" si="5"/>
        <v>1</v>
      </c>
    </row>
    <row r="39" spans="1:29" ht="15">
      <c r="A39" s="472"/>
      <c r="B39" s="422" t="s">
        <v>2670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67"/>
      <c r="Q39" s="1813" t="str">
        <f t="shared" si="11"/>
        <v>层高</v>
      </c>
      <c r="R39" s="774" t="s">
        <v>17</v>
      </c>
      <c r="S39" s="775">
        <f t="shared" si="12"/>
        <v>100</v>
      </c>
      <c r="T39" s="774" t="s">
        <v>17</v>
      </c>
      <c r="U39" s="775">
        <f t="shared" si="13"/>
        <v>100</v>
      </c>
      <c r="V39" s="774" t="s">
        <v>17</v>
      </c>
      <c r="W39" s="775">
        <f t="shared" si="14"/>
        <v>100</v>
      </c>
      <c r="X39" s="1816"/>
      <c r="Y39" s="3269"/>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7"/>
      <c r="Q40" s="1813" t="str">
        <f t="shared" si="11"/>
        <v>单套建筑面积</v>
      </c>
      <c r="R40" s="774" t="s">
        <v>17</v>
      </c>
      <c r="S40" s="775">
        <f t="shared" si="12"/>
        <v>100</v>
      </c>
      <c r="T40" s="774" t="s">
        <v>17</v>
      </c>
      <c r="U40" s="775">
        <f t="shared" si="13"/>
        <v>100</v>
      </c>
      <c r="V40" s="774" t="s">
        <v>17</v>
      </c>
      <c r="W40" s="775">
        <f t="shared" si="14"/>
        <v>100</v>
      </c>
      <c r="X40" s="1816"/>
      <c r="Y40" s="3269"/>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7"/>
      <c r="Q41" s="776" t="str">
        <f t="shared" si="11"/>
        <v>进深比</v>
      </c>
      <c r="R41" s="777" t="s">
        <v>17</v>
      </c>
      <c r="S41" s="778">
        <f t="shared" si="12"/>
        <v>100</v>
      </c>
      <c r="T41" s="777" t="s">
        <v>17</v>
      </c>
      <c r="U41" s="778">
        <f t="shared" si="13"/>
        <v>100</v>
      </c>
      <c r="V41" s="777" t="s">
        <v>17</v>
      </c>
      <c r="W41" s="778">
        <f t="shared" si="14"/>
        <v>100</v>
      </c>
      <c r="X41" s="779"/>
      <c r="Y41" s="3269"/>
      <c r="Z41" s="780" t="str">
        <f t="shared" si="15"/>
        <v>进深比</v>
      </c>
      <c r="AA41" s="1814">
        <f t="shared" si="3"/>
        <v>1</v>
      </c>
      <c r="AB41" s="1814">
        <f t="shared" si="4"/>
        <v>1</v>
      </c>
      <c r="AC41" s="1814">
        <f t="shared" si="5"/>
        <v>1</v>
      </c>
    </row>
    <row r="42" spans="1:29" ht="15">
      <c r="A42" s="472"/>
      <c r="B42" s="422"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67"/>
      <c r="Q42" s="1813" t="str">
        <f t="shared" si="11"/>
        <v>内部装修</v>
      </c>
      <c r="R42" s="774" t="s">
        <v>17</v>
      </c>
      <c r="S42" s="775">
        <f t="shared" si="12"/>
        <v>100</v>
      </c>
      <c r="T42" s="774" t="s">
        <v>17</v>
      </c>
      <c r="U42" s="775">
        <f t="shared" si="13"/>
        <v>100</v>
      </c>
      <c r="V42" s="774" t="s">
        <v>17</v>
      </c>
      <c r="W42" s="775">
        <f t="shared" si="14"/>
        <v>100</v>
      </c>
      <c r="X42" s="1816"/>
      <c r="Y42" s="3269"/>
      <c r="Z42" s="1817" t="str">
        <f t="shared" si="15"/>
        <v>内部装修</v>
      </c>
      <c r="AA42" s="1814">
        <f t="shared" si="3"/>
        <v>1</v>
      </c>
      <c r="AB42" s="1814">
        <f t="shared" si="4"/>
        <v>1</v>
      </c>
      <c r="AC42" s="1814">
        <f t="shared" si="5"/>
        <v>1</v>
      </c>
    </row>
    <row r="43" spans="1:29" ht="15">
      <c r="A43" s="472"/>
      <c r="B43" s="422"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67"/>
      <c r="Q43" s="1813" t="str">
        <f t="shared" si="11"/>
        <v>内部装修维护情况</v>
      </c>
      <c r="R43" s="774" t="s">
        <v>17</v>
      </c>
      <c r="S43" s="775">
        <f t="shared" si="12"/>
        <v>100</v>
      </c>
      <c r="T43" s="774" t="s">
        <v>17</v>
      </c>
      <c r="U43" s="775">
        <f t="shared" si="13"/>
        <v>100</v>
      </c>
      <c r="V43" s="774" t="s">
        <v>17</v>
      </c>
      <c r="W43" s="775">
        <f t="shared" si="14"/>
        <v>100</v>
      </c>
      <c r="X43" s="1816"/>
      <c r="Y43" s="326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7"/>
      <c r="Q44" s="1798">
        <f t="shared" si="11"/>
        <v>111</v>
      </c>
      <c r="R44" s="770" t="s">
        <v>17</v>
      </c>
      <c r="S44" s="771">
        <f t="shared" si="12"/>
        <v>100</v>
      </c>
      <c r="T44" s="770" t="s">
        <v>17</v>
      </c>
      <c r="U44" s="771">
        <f t="shared" si="13"/>
        <v>100</v>
      </c>
      <c r="V44" s="770" t="s">
        <v>17</v>
      </c>
      <c r="W44" s="771">
        <f t="shared" si="14"/>
        <v>100</v>
      </c>
      <c r="X44" s="772"/>
      <c r="Y44" s="326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7"/>
      <c r="Q45" s="1813">
        <f t="shared" si="11"/>
        <v>111</v>
      </c>
      <c r="R45" s="774" t="s">
        <v>17</v>
      </c>
      <c r="S45" s="775">
        <f t="shared" si="12"/>
        <v>100</v>
      </c>
      <c r="T45" s="774" t="s">
        <v>17</v>
      </c>
      <c r="U45" s="775">
        <f t="shared" si="13"/>
        <v>100</v>
      </c>
      <c r="V45" s="774" t="s">
        <v>17</v>
      </c>
      <c r="W45" s="775">
        <f t="shared" si="14"/>
        <v>100</v>
      </c>
      <c r="X45" s="1816"/>
      <c r="Y45" s="3269"/>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8"/>
      <c r="Q46" s="1813">
        <f t="shared" si="11"/>
        <v>111</v>
      </c>
      <c r="R46" s="774" t="s">
        <v>17</v>
      </c>
      <c r="S46" s="775">
        <f t="shared" si="12"/>
        <v>100</v>
      </c>
      <c r="T46" s="774" t="s">
        <v>17</v>
      </c>
      <c r="U46" s="775">
        <f t="shared" si="13"/>
        <v>100</v>
      </c>
      <c r="V46" s="774" t="s">
        <v>17</v>
      </c>
      <c r="W46" s="775">
        <f t="shared" si="14"/>
        <v>100</v>
      </c>
      <c r="X46" s="1816"/>
      <c r="Y46" s="3270"/>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62" t="str">
        <f>A47</f>
        <v>成交单价（元/平方米）</v>
      </c>
      <c r="Q47" s="3262"/>
      <c r="R47" s="3257">
        <f>E47</f>
        <v>0</v>
      </c>
      <c r="S47" s="3257"/>
      <c r="T47" s="3257">
        <f>G47</f>
        <v>0</v>
      </c>
      <c r="U47" s="3257"/>
      <c r="V47" s="3257">
        <f>I47</f>
        <v>0</v>
      </c>
      <c r="W47" s="3257"/>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2553</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2555</v>
      </c>
      <c r="B61" s="510"/>
      <c r="C61" s="522" t="s">
        <v>2657</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2593</v>
      </c>
      <c r="B63" s="528" t="s">
        <v>2559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2568</v>
      </c>
      <c r="B100" s="528" t="s">
        <v>2686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2621</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2687</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2688</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2689</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2" sqref="H4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3" t="s">
        <v>2691</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0"/>
      <c r="D2" s="1368" t="e">
        <f ca="1">SUMIF(INDIRECT("'"&amp;F2&amp;"'"&amp;"!A:A"),"承租人权益价值",INDIRECT("'"&amp;F2&amp;"'"&amp;"!c:c"))</f>
        <v>#REF!</v>
      </c>
      <c r="E2" s="2591" t="s">
        <v>2333</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39021.709999999977</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45" t="s">
        <v>2651</v>
      </c>
      <c r="D4" s="3246"/>
      <c r="E4" s="3247" t="s">
        <v>2652</v>
      </c>
      <c r="F4" s="3248"/>
      <c r="G4" s="3245" t="s">
        <v>2653</v>
      </c>
      <c r="H4" s="3246"/>
      <c r="I4" s="3245" t="s">
        <v>2654</v>
      </c>
      <c r="J4" s="3246"/>
      <c r="K4" s="610" t="s">
        <v>2655</v>
      </c>
      <c r="L4" s="1133"/>
      <c r="M4" s="1134"/>
      <c r="N4" s="1134"/>
      <c r="O4" s="1134"/>
      <c r="P4" s="3279" t="s">
        <v>2656</v>
      </c>
      <c r="Q4" s="3280"/>
      <c r="R4" s="3274" t="s">
        <v>2652</v>
      </c>
      <c r="S4" s="3275"/>
      <c r="T4" s="3274" t="s">
        <v>2653</v>
      </c>
      <c r="U4" s="3275"/>
      <c r="V4" s="3283" t="s">
        <v>2654</v>
      </c>
      <c r="W4" s="3283"/>
      <c r="X4" s="2674"/>
      <c r="Y4" s="3274" t="s">
        <v>2656</v>
      </c>
      <c r="Z4" s="3275"/>
      <c r="AA4" s="3273" t="s">
        <v>2652</v>
      </c>
      <c r="AB4" s="3273" t="s">
        <v>2653</v>
      </c>
      <c r="AC4" s="3276" t="s">
        <v>2654</v>
      </c>
    </row>
    <row r="5" spans="1:29" ht="15">
      <c r="A5" s="404"/>
      <c r="B5" s="405"/>
      <c r="C5" s="3238" t="s">
        <v>2547</v>
      </c>
      <c r="D5" s="3239"/>
      <c r="E5" s="3236" t="s">
        <v>2548</v>
      </c>
      <c r="F5" s="3237"/>
      <c r="G5" s="3238" t="s">
        <v>2549</v>
      </c>
      <c r="H5" s="3239"/>
      <c r="I5" s="3238" t="s">
        <v>2550</v>
      </c>
      <c r="J5" s="3239"/>
      <c r="K5" s="610"/>
      <c r="L5" s="1133"/>
      <c r="M5" s="1134"/>
      <c r="N5" s="1134"/>
      <c r="O5" s="1134"/>
      <c r="P5" s="3281"/>
      <c r="Q5" s="3252"/>
      <c r="R5" s="3234"/>
      <c r="S5" s="3235"/>
      <c r="T5" s="3234"/>
      <c r="U5" s="3235"/>
      <c r="V5" s="3257"/>
      <c r="W5" s="3257"/>
      <c r="X5" s="1816"/>
      <c r="Y5" s="3234"/>
      <c r="Z5" s="3235"/>
      <c r="AA5" s="3228"/>
      <c r="AB5" s="3228"/>
      <c r="AC5" s="3277"/>
    </row>
    <row r="6" spans="1:29" ht="15.75" thickBot="1">
      <c r="A6" s="406"/>
      <c r="B6" s="407"/>
      <c r="C6" s="3240" t="s">
        <v>2551</v>
      </c>
      <c r="D6" s="3241"/>
      <c r="E6" s="3242" t="s">
        <v>2551</v>
      </c>
      <c r="F6" s="3243"/>
      <c r="G6" s="3240" t="s">
        <v>2551</v>
      </c>
      <c r="H6" s="3241"/>
      <c r="I6" s="3240" t="s">
        <v>2551</v>
      </c>
      <c r="J6" s="3241"/>
      <c r="K6" s="610" t="s">
        <v>2552</v>
      </c>
      <c r="L6" s="1133"/>
      <c r="M6" s="1134"/>
      <c r="N6" s="1134"/>
      <c r="O6" s="1134"/>
      <c r="P6" s="3282"/>
      <c r="Q6" s="3254"/>
      <c r="R6" s="3234"/>
      <c r="S6" s="3235"/>
      <c r="T6" s="3255"/>
      <c r="U6" s="3256"/>
      <c r="V6" s="3257"/>
      <c r="W6" s="3257"/>
      <c r="X6" s="1816"/>
      <c r="Y6" s="3255"/>
      <c r="Z6" s="3256"/>
      <c r="AA6" s="3229"/>
      <c r="AB6" s="3229"/>
      <c r="AC6" s="3278"/>
    </row>
    <row r="7" spans="1:29" s="117" customFormat="1" ht="15.75" thickBot="1">
      <c r="A7" s="408" t="s">
        <v>2553</v>
      </c>
      <c r="B7" s="409"/>
      <c r="C7" s="410">
        <f>'数据-取费表'!B2</f>
        <v>43236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4" t="s">
        <v>2554</v>
      </c>
      <c r="Q7" s="3258"/>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2675"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4" t="s">
        <v>2557</v>
      </c>
      <c r="Q8" s="3231"/>
      <c r="R8" s="770" t="s">
        <v>17</v>
      </c>
      <c r="S8" s="771">
        <f t="shared" si="0"/>
        <v>0</v>
      </c>
      <c r="T8" s="770" t="s">
        <v>17</v>
      </c>
      <c r="U8" s="771">
        <f t="shared" si="1"/>
        <v>0</v>
      </c>
      <c r="V8" s="770" t="s">
        <v>17</v>
      </c>
      <c r="W8" s="771">
        <f t="shared" si="2"/>
        <v>0</v>
      </c>
      <c r="X8" s="772"/>
      <c r="Y8" s="3230" t="s">
        <v>2557</v>
      </c>
      <c r="Z8" s="3231"/>
      <c r="AA8" s="773" t="e">
        <f t="shared" ref="AA8:AA47" si="3">D8/F8</f>
        <v>#DIV/0!</v>
      </c>
      <c r="AB8" s="773" t="e">
        <f t="shared" ref="AB8:AB47" si="4">D8/H8</f>
        <v>#DIV/0!</v>
      </c>
      <c r="AC8" s="2675"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4" t="s">
        <v>2560</v>
      </c>
      <c r="Q9" s="1798" t="str">
        <f t="shared" ref="Q9:Q15" si="6">B9</f>
        <v>用途</v>
      </c>
      <c r="R9" s="770" t="s">
        <v>17</v>
      </c>
      <c r="S9" s="771">
        <f t="shared" si="0"/>
        <v>100</v>
      </c>
      <c r="T9" s="770" t="s">
        <v>17</v>
      </c>
      <c r="U9" s="771">
        <f t="shared" si="1"/>
        <v>100</v>
      </c>
      <c r="V9" s="770" t="s">
        <v>17</v>
      </c>
      <c r="W9" s="771">
        <f t="shared" si="2"/>
        <v>100</v>
      </c>
      <c r="X9" s="772"/>
      <c r="Y9" s="3053" t="s">
        <v>2561</v>
      </c>
      <c r="Z9" s="55" t="str">
        <f t="shared" ref="Z9:Z15" si="7">Q9</f>
        <v>用途</v>
      </c>
      <c r="AA9" s="773">
        <f t="shared" si="3"/>
        <v>1</v>
      </c>
      <c r="AB9" s="773">
        <f t="shared" si="4"/>
        <v>1</v>
      </c>
      <c r="AC9" s="2675">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75">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4"/>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44"/>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44"/>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44"/>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75">
        <f t="shared" si="5"/>
        <v>1</v>
      </c>
    </row>
    <row r="15" spans="1:29" ht="71.25">
      <c r="A15" s="440" t="s">
        <v>2564</v>
      </c>
      <c r="B15" s="629" t="s">
        <v>2692</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1" t="s">
        <v>2565</v>
      </c>
      <c r="Q15" s="1813" t="str">
        <f t="shared" si="6"/>
        <v>办公集聚程度</v>
      </c>
      <c r="R15" s="774" t="s">
        <v>17</v>
      </c>
      <c r="S15" s="775">
        <f t="shared" si="0"/>
        <v>100</v>
      </c>
      <c r="T15" s="774" t="s">
        <v>17</v>
      </c>
      <c r="U15" s="775">
        <f t="shared" si="1"/>
        <v>100</v>
      </c>
      <c r="V15" s="774" t="s">
        <v>17</v>
      </c>
      <c r="W15" s="775">
        <f t="shared" si="2"/>
        <v>100</v>
      </c>
      <c r="X15" s="1816"/>
      <c r="Y15" s="3264" t="s">
        <v>2565</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72"/>
      <c r="Q16" s="1813"/>
      <c r="R16" s="774"/>
      <c r="S16" s="775"/>
      <c r="T16" s="774"/>
      <c r="U16" s="775"/>
      <c r="V16" s="774"/>
      <c r="W16" s="775"/>
      <c r="X16" s="1816"/>
      <c r="Y16" s="3265"/>
      <c r="Z16" s="1817"/>
      <c r="AA16" s="1814">
        <v>1</v>
      </c>
      <c r="AB16" s="1814">
        <v>1</v>
      </c>
      <c r="AC16" s="2678">
        <v>1</v>
      </c>
    </row>
    <row r="17" spans="1:29" ht="71.25">
      <c r="A17" s="428"/>
      <c r="B17" s="631" t="s">
        <v>2101</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2"/>
      <c r="Q17" s="1813" t="str">
        <f>B17</f>
        <v>交通便捷度</v>
      </c>
      <c r="R17" s="774" t="s">
        <v>17</v>
      </c>
      <c r="S17" s="775">
        <f>F17</f>
        <v>100</v>
      </c>
      <c r="T17" s="774" t="s">
        <v>17</v>
      </c>
      <c r="U17" s="775">
        <f>H17</f>
        <v>100</v>
      </c>
      <c r="V17" s="774" t="s">
        <v>17</v>
      </c>
      <c r="W17" s="775">
        <f>J17</f>
        <v>100</v>
      </c>
      <c r="X17" s="1816"/>
      <c r="Y17" s="3265"/>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72"/>
      <c r="Q18" s="1813"/>
      <c r="R18" s="774"/>
      <c r="S18" s="775"/>
      <c r="T18" s="774"/>
      <c r="U18" s="775"/>
      <c r="V18" s="774"/>
      <c r="W18" s="775"/>
      <c r="X18" s="1816"/>
      <c r="Y18" s="3265"/>
      <c r="Z18" s="1817"/>
      <c r="AA18" s="1814">
        <v>1</v>
      </c>
      <c r="AB18" s="1814">
        <v>1</v>
      </c>
      <c r="AC18" s="2678">
        <v>1</v>
      </c>
    </row>
    <row r="19" spans="1:29" ht="42.75">
      <c r="A19" s="428"/>
      <c r="B19" s="631" t="s">
        <v>2693</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2"/>
      <c r="Q19" s="1813" t="str">
        <f>B19</f>
        <v>公共配套设施</v>
      </c>
      <c r="R19" s="774" t="s">
        <v>17</v>
      </c>
      <c r="S19" s="775">
        <f>F19</f>
        <v>100</v>
      </c>
      <c r="T19" s="774" t="s">
        <v>17</v>
      </c>
      <c r="U19" s="775">
        <f>H19</f>
        <v>100</v>
      </c>
      <c r="V19" s="774" t="s">
        <v>17</v>
      </c>
      <c r="W19" s="775">
        <f>J19</f>
        <v>100</v>
      </c>
      <c r="X19" s="1816"/>
      <c r="Y19" s="3265"/>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72"/>
      <c r="Q20" s="1813"/>
      <c r="R20" s="774"/>
      <c r="S20" s="775"/>
      <c r="T20" s="774"/>
      <c r="U20" s="775"/>
      <c r="V20" s="774"/>
      <c r="W20" s="775"/>
      <c r="X20" s="1816"/>
      <c r="Y20" s="3265"/>
      <c r="Z20" s="1817"/>
      <c r="AA20" s="1814">
        <v>1</v>
      </c>
      <c r="AB20" s="1814">
        <v>1</v>
      </c>
      <c r="AC20" s="2678">
        <v>1</v>
      </c>
    </row>
    <row r="21" spans="1:29" ht="28.5">
      <c r="A21" s="428"/>
      <c r="B21" s="633" t="s">
        <v>2694</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2"/>
      <c r="Q21" s="1813" t="str">
        <f>B21</f>
        <v>基础设施水平</v>
      </c>
      <c r="R21" s="774" t="s">
        <v>17</v>
      </c>
      <c r="S21" s="775">
        <f>F21</f>
        <v>100</v>
      </c>
      <c r="T21" s="774" t="s">
        <v>17</v>
      </c>
      <c r="U21" s="775">
        <f>H21</f>
        <v>100</v>
      </c>
      <c r="V21" s="774" t="s">
        <v>17</v>
      </c>
      <c r="W21" s="775">
        <f>J21</f>
        <v>100</v>
      </c>
      <c r="X21" s="1816"/>
      <c r="Y21" s="3265"/>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72"/>
      <c r="Q22" s="1813"/>
      <c r="R22" s="774"/>
      <c r="S22" s="775"/>
      <c r="T22" s="774"/>
      <c r="U22" s="775"/>
      <c r="V22" s="774"/>
      <c r="W22" s="775"/>
      <c r="X22" s="1816"/>
      <c r="Y22" s="3265"/>
      <c r="Z22" s="1817"/>
      <c r="AA22" s="1814">
        <v>1</v>
      </c>
      <c r="AB22" s="1814">
        <v>1</v>
      </c>
      <c r="AC22" s="2678">
        <v>1</v>
      </c>
    </row>
    <row r="23" spans="1:29" ht="42.75">
      <c r="A23" s="428"/>
      <c r="B23" s="631" t="s">
        <v>2695</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2"/>
      <c r="Q23" s="1813" t="str">
        <f>B23</f>
        <v>环境质量</v>
      </c>
      <c r="R23" s="774" t="s">
        <v>17</v>
      </c>
      <c r="S23" s="775">
        <f>F23</f>
        <v>100</v>
      </c>
      <c r="T23" s="774" t="s">
        <v>17</v>
      </c>
      <c r="U23" s="775">
        <f>H23</f>
        <v>100</v>
      </c>
      <c r="V23" s="774" t="s">
        <v>17</v>
      </c>
      <c r="W23" s="775">
        <f>J23</f>
        <v>100</v>
      </c>
      <c r="X23" s="1816"/>
      <c r="Y23" s="3265"/>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72"/>
      <c r="Q24" s="1813"/>
      <c r="R24" s="774"/>
      <c r="S24" s="775"/>
      <c r="T24" s="774"/>
      <c r="U24" s="775"/>
      <c r="V24" s="774"/>
      <c r="W24" s="775"/>
      <c r="X24" s="1816"/>
      <c r="Y24" s="3265"/>
      <c r="Z24" s="1817"/>
      <c r="AA24" s="1814">
        <v>1</v>
      </c>
      <c r="AB24" s="1814">
        <v>1</v>
      </c>
      <c r="AC24" s="2678">
        <v>1</v>
      </c>
    </row>
    <row r="25" spans="1:29" ht="27">
      <c r="A25" s="404"/>
      <c r="B25" s="631" t="s">
        <v>2696</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72"/>
      <c r="Q25" s="1813" t="str">
        <f>B25</f>
        <v>毗邻道路的类型与等级</v>
      </c>
      <c r="R25" s="774" t="s">
        <v>17</v>
      </c>
      <c r="S25" s="775">
        <f>F25</f>
        <v>100</v>
      </c>
      <c r="T25" s="774" t="s">
        <v>17</v>
      </c>
      <c r="U25" s="775">
        <f>H25</f>
        <v>100</v>
      </c>
      <c r="V25" s="774" t="s">
        <v>17</v>
      </c>
      <c r="W25" s="775">
        <f>J25</f>
        <v>100</v>
      </c>
      <c r="X25" s="1816"/>
      <c r="Y25" s="3265"/>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72"/>
      <c r="Q26" s="1813"/>
      <c r="R26" s="774"/>
      <c r="S26" s="775"/>
      <c r="T26" s="774"/>
      <c r="U26" s="775"/>
      <c r="V26" s="774"/>
      <c r="W26" s="775"/>
      <c r="X26" s="1816"/>
      <c r="Y26" s="3265"/>
      <c r="Z26" s="1817"/>
      <c r="AA26" s="1814">
        <v>1</v>
      </c>
      <c r="AB26" s="1814">
        <v>1</v>
      </c>
      <c r="AC26" s="2678">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2"/>
      <c r="Q27" s="1813" t="str">
        <f t="shared" ref="Q27:Q47" si="11">B27</f>
        <v>楼层</v>
      </c>
      <c r="R27" s="774" t="s">
        <v>17</v>
      </c>
      <c r="S27" s="775">
        <f>F27</f>
        <v>100</v>
      </c>
      <c r="T27" s="774" t="s">
        <v>17</v>
      </c>
      <c r="U27" s="775">
        <f>H27</f>
        <v>100</v>
      </c>
      <c r="V27" s="774" t="s">
        <v>17</v>
      </c>
      <c r="W27" s="775">
        <f>J27</f>
        <v>100</v>
      </c>
      <c r="X27" s="1816"/>
      <c r="Y27" s="3265"/>
      <c r="Z27" s="1817" t="str">
        <f>Q27</f>
        <v>楼层</v>
      </c>
      <c r="AA27" s="1814">
        <f t="shared" si="3"/>
        <v>1</v>
      </c>
      <c r="AB27" s="1814">
        <f t="shared" si="4"/>
        <v>1</v>
      </c>
      <c r="AC27" s="2678">
        <f t="shared" si="5"/>
        <v>1</v>
      </c>
    </row>
    <row r="28" spans="1:29" s="117" customFormat="1" ht="15">
      <c r="A28" s="431"/>
      <c r="B28" s="631" t="s">
        <v>2697</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72"/>
      <c r="Q28" s="1798" t="str">
        <f t="shared" si="11"/>
        <v>朝向</v>
      </c>
      <c r="R28" s="770" t="s">
        <v>17</v>
      </c>
      <c r="S28" s="771">
        <f>F28</f>
        <v>100</v>
      </c>
      <c r="T28" s="770" t="s">
        <v>17</v>
      </c>
      <c r="U28" s="771">
        <f>H28</f>
        <v>100</v>
      </c>
      <c r="V28" s="770" t="s">
        <v>17</v>
      </c>
      <c r="W28" s="771">
        <f>J28</f>
        <v>100</v>
      </c>
      <c r="X28" s="772"/>
      <c r="Y28" s="3265"/>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72"/>
      <c r="Q29" s="1813">
        <f t="shared" si="11"/>
        <v>111</v>
      </c>
      <c r="R29" s="774" t="s">
        <v>17</v>
      </c>
      <c r="S29" s="775">
        <f t="shared" ref="S29:S47" si="12">F29</f>
        <v>100</v>
      </c>
      <c r="T29" s="774" t="s">
        <v>17</v>
      </c>
      <c r="U29" s="775">
        <f t="shared" ref="U29:U47" si="13">H29</f>
        <v>100</v>
      </c>
      <c r="V29" s="774" t="s">
        <v>17</v>
      </c>
      <c r="W29" s="775">
        <f t="shared" ref="W29:W47" si="14">J29</f>
        <v>100</v>
      </c>
      <c r="X29" s="1816"/>
      <c r="Y29" s="3265"/>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72"/>
      <c r="Q30" s="1813">
        <f t="shared" si="11"/>
        <v>111</v>
      </c>
      <c r="R30" s="774" t="s">
        <v>17</v>
      </c>
      <c r="S30" s="775">
        <f t="shared" si="12"/>
        <v>100</v>
      </c>
      <c r="T30" s="774" t="s">
        <v>17</v>
      </c>
      <c r="U30" s="775">
        <f t="shared" si="13"/>
        <v>100</v>
      </c>
      <c r="V30" s="774" t="s">
        <v>17</v>
      </c>
      <c r="W30" s="775">
        <f t="shared" si="14"/>
        <v>100</v>
      </c>
      <c r="X30" s="1816"/>
      <c r="Y30" s="3265"/>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72"/>
      <c r="Q31" s="1813">
        <f t="shared" si="11"/>
        <v>111</v>
      </c>
      <c r="R31" s="774" t="s">
        <v>17</v>
      </c>
      <c r="S31" s="775">
        <f t="shared" si="12"/>
        <v>100</v>
      </c>
      <c r="T31" s="774" t="s">
        <v>17</v>
      </c>
      <c r="U31" s="775">
        <f t="shared" si="13"/>
        <v>100</v>
      </c>
      <c r="V31" s="774" t="s">
        <v>17</v>
      </c>
      <c r="W31" s="775">
        <f t="shared" si="14"/>
        <v>100</v>
      </c>
      <c r="X31" s="1816"/>
      <c r="Y31" s="3265"/>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72"/>
      <c r="Q32" s="1813">
        <f t="shared" si="11"/>
        <v>111</v>
      </c>
      <c r="R32" s="774" t="s">
        <v>17</v>
      </c>
      <c r="S32" s="775">
        <f t="shared" si="12"/>
        <v>100</v>
      </c>
      <c r="T32" s="774" t="s">
        <v>17</v>
      </c>
      <c r="U32" s="775">
        <f t="shared" si="13"/>
        <v>100</v>
      </c>
      <c r="V32" s="774" t="s">
        <v>17</v>
      </c>
      <c r="W32" s="775">
        <f t="shared" si="14"/>
        <v>100</v>
      </c>
      <c r="X32" s="1816"/>
      <c r="Y32" s="3265"/>
      <c r="Z32" s="1817">
        <f t="shared" si="15"/>
        <v>111</v>
      </c>
      <c r="AA32" s="1814">
        <f t="shared" si="3"/>
        <v>1</v>
      </c>
      <c r="AB32" s="1814">
        <f t="shared" si="4"/>
        <v>1</v>
      </c>
      <c r="AC32" s="2678">
        <f t="shared" si="5"/>
        <v>1</v>
      </c>
    </row>
    <row r="33" spans="1:29" ht="15">
      <c r="A33" s="440" t="s">
        <v>2568</v>
      </c>
      <c r="B33" s="71" t="s">
        <v>2698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66" t="s">
        <v>2570</v>
      </c>
      <c r="Q33" s="1813" t="str">
        <f t="shared" si="11"/>
        <v>建筑类型</v>
      </c>
      <c r="R33" s="774" t="s">
        <v>17</v>
      </c>
      <c r="S33" s="775">
        <f t="shared" si="12"/>
        <v>100</v>
      </c>
      <c r="T33" s="774" t="s">
        <v>17</v>
      </c>
      <c r="U33" s="775">
        <f t="shared" si="13"/>
        <v>100</v>
      </c>
      <c r="V33" s="774" t="s">
        <v>17</v>
      </c>
      <c r="W33" s="775">
        <f t="shared" si="14"/>
        <v>100</v>
      </c>
      <c r="X33" s="1816"/>
      <c r="Y33" s="3269" t="s">
        <v>2570</v>
      </c>
      <c r="Z33" s="1817" t="str">
        <f t="shared" si="15"/>
        <v>建筑类型</v>
      </c>
      <c r="AA33" s="1814">
        <f t="shared" si="3"/>
        <v>1</v>
      </c>
      <c r="AB33" s="1814">
        <f t="shared" si="4"/>
        <v>1</v>
      </c>
      <c r="AC33" s="2678">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7"/>
      <c r="Q34" s="776" t="str">
        <f t="shared" si="11"/>
        <v>项目建筑规模</v>
      </c>
      <c r="R34" s="777" t="s">
        <v>17</v>
      </c>
      <c r="S34" s="778" t="e">
        <f t="shared" si="12"/>
        <v>#N/A</v>
      </c>
      <c r="T34" s="777" t="s">
        <v>17</v>
      </c>
      <c r="U34" s="778" t="e">
        <f t="shared" si="13"/>
        <v>#N/A</v>
      </c>
      <c r="V34" s="777" t="s">
        <v>17</v>
      </c>
      <c r="W34" s="778" t="e">
        <f t="shared" si="14"/>
        <v>#N/A</v>
      </c>
      <c r="X34" s="779"/>
      <c r="Y34" s="3269"/>
      <c r="Z34" s="780" t="str">
        <f t="shared" si="15"/>
        <v>项目建筑规模</v>
      </c>
      <c r="AA34" s="1814" t="e">
        <f t="shared" si="3"/>
        <v>#N/A</v>
      </c>
      <c r="AB34" s="1814" t="e">
        <f t="shared" si="4"/>
        <v>#N/A</v>
      </c>
      <c r="AC34" s="2678"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7"/>
      <c r="Q35" s="1813" t="str">
        <f t="shared" si="11"/>
        <v>建筑结构</v>
      </c>
      <c r="R35" s="774" t="s">
        <v>17</v>
      </c>
      <c r="S35" s="775">
        <f t="shared" si="12"/>
        <v>100</v>
      </c>
      <c r="T35" s="774" t="s">
        <v>17</v>
      </c>
      <c r="U35" s="775">
        <f t="shared" si="13"/>
        <v>100</v>
      </c>
      <c r="V35" s="774" t="s">
        <v>17</v>
      </c>
      <c r="W35" s="775">
        <f t="shared" si="14"/>
        <v>100</v>
      </c>
      <c r="X35" s="1816"/>
      <c r="Y35" s="3269"/>
      <c r="Z35" s="1817" t="str">
        <f t="shared" si="15"/>
        <v>建筑结构</v>
      </c>
      <c r="AA35" s="1814">
        <f t="shared" si="3"/>
        <v>1</v>
      </c>
      <c r="AB35" s="1814">
        <f t="shared" si="4"/>
        <v>1</v>
      </c>
      <c r="AC35" s="2678">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7"/>
      <c r="Q36" s="1813" t="str">
        <f t="shared" si="11"/>
        <v>公共部分装修</v>
      </c>
      <c r="R36" s="774" t="s">
        <v>17</v>
      </c>
      <c r="S36" s="775">
        <f t="shared" si="12"/>
        <v>100</v>
      </c>
      <c r="T36" s="774" t="s">
        <v>17</v>
      </c>
      <c r="U36" s="775">
        <f t="shared" si="13"/>
        <v>100</v>
      </c>
      <c r="V36" s="774" t="s">
        <v>17</v>
      </c>
      <c r="W36" s="775">
        <f t="shared" si="14"/>
        <v>100</v>
      </c>
      <c r="X36" s="1816"/>
      <c r="Y36" s="3269"/>
      <c r="Z36" s="1817" t="str">
        <f t="shared" si="15"/>
        <v>公共部分装修</v>
      </c>
      <c r="AA36" s="1814">
        <f t="shared" si="3"/>
        <v>1</v>
      </c>
      <c r="AB36" s="1814">
        <f t="shared" si="4"/>
        <v>1</v>
      </c>
      <c r="AC36" s="2678">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7"/>
      <c r="Q37" s="1813" t="str">
        <f t="shared" si="11"/>
        <v>成新度</v>
      </c>
      <c r="R37" s="774" t="s">
        <v>17</v>
      </c>
      <c r="S37" s="775" t="e">
        <f t="shared" si="12"/>
        <v>#N/A</v>
      </c>
      <c r="T37" s="774" t="s">
        <v>17</v>
      </c>
      <c r="U37" s="775" t="e">
        <f t="shared" si="13"/>
        <v>#N/A</v>
      </c>
      <c r="V37" s="774" t="s">
        <v>17</v>
      </c>
      <c r="W37" s="775" t="e">
        <f t="shared" si="14"/>
        <v>#N/A</v>
      </c>
      <c r="X37" s="1816"/>
      <c r="Y37" s="3269"/>
      <c r="Z37" s="1817" t="str">
        <f t="shared" si="15"/>
        <v>成新度</v>
      </c>
      <c r="AA37" s="1814" t="e">
        <f t="shared" si="3"/>
        <v>#N/A</v>
      </c>
      <c r="AB37" s="1814" t="e">
        <f t="shared" si="4"/>
        <v>#N/A</v>
      </c>
      <c r="AC37" s="2678"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7"/>
      <c r="Q38" s="1798" t="str">
        <f t="shared" si="11"/>
        <v>写字楼等级</v>
      </c>
      <c r="R38" s="770" t="s">
        <v>17</v>
      </c>
      <c r="S38" s="771">
        <f t="shared" si="12"/>
        <v>100</v>
      </c>
      <c r="T38" s="770" t="s">
        <v>17</v>
      </c>
      <c r="U38" s="771">
        <f t="shared" si="13"/>
        <v>100</v>
      </c>
      <c r="V38" s="770" t="s">
        <v>17</v>
      </c>
      <c r="W38" s="771">
        <f t="shared" si="14"/>
        <v>100</v>
      </c>
      <c r="X38" s="772"/>
      <c r="Y38" s="3269"/>
      <c r="Z38" s="55" t="str">
        <f t="shared" si="15"/>
        <v>写字楼等级</v>
      </c>
      <c r="AA38" s="773">
        <f t="shared" si="3"/>
        <v>1</v>
      </c>
      <c r="AB38" s="773">
        <f t="shared" si="4"/>
        <v>1</v>
      </c>
      <c r="AC38" s="2675">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7" t="s">
        <v>2570</v>
      </c>
      <c r="Q39" s="1813" t="str">
        <f t="shared" si="11"/>
        <v>物业管理</v>
      </c>
      <c r="R39" s="774" t="s">
        <v>17</v>
      </c>
      <c r="S39" s="775">
        <f t="shared" si="12"/>
        <v>100</v>
      </c>
      <c r="T39" s="774" t="s">
        <v>17</v>
      </c>
      <c r="U39" s="775">
        <f t="shared" si="13"/>
        <v>100</v>
      </c>
      <c r="V39" s="774" t="s">
        <v>17</v>
      </c>
      <c r="W39" s="775">
        <f t="shared" si="14"/>
        <v>100</v>
      </c>
      <c r="X39" s="1816"/>
      <c r="Y39" s="3269" t="s">
        <v>2570</v>
      </c>
      <c r="Z39" s="1817" t="str">
        <f t="shared" si="15"/>
        <v>物业管理</v>
      </c>
      <c r="AA39" s="1814">
        <f t="shared" si="3"/>
        <v>1</v>
      </c>
      <c r="AB39" s="1814">
        <f t="shared" si="4"/>
        <v>1</v>
      </c>
      <c r="AC39" s="2678">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7"/>
      <c r="Q40" s="1813" t="str">
        <f t="shared" si="11"/>
        <v>市政基础设施</v>
      </c>
      <c r="R40" s="774" t="s">
        <v>17</v>
      </c>
      <c r="S40" s="775">
        <f t="shared" si="12"/>
        <v>100</v>
      </c>
      <c r="T40" s="774" t="s">
        <v>17</v>
      </c>
      <c r="U40" s="775">
        <f t="shared" si="13"/>
        <v>100</v>
      </c>
      <c r="V40" s="774" t="s">
        <v>17</v>
      </c>
      <c r="W40" s="775">
        <f t="shared" si="14"/>
        <v>100</v>
      </c>
      <c r="X40" s="1816"/>
      <c r="Y40" s="3269"/>
      <c r="Z40" s="1817" t="str">
        <f t="shared" si="15"/>
        <v>市政基础设施</v>
      </c>
      <c r="AA40" s="1814">
        <f t="shared" si="3"/>
        <v>1</v>
      </c>
      <c r="AB40" s="1814">
        <f t="shared" si="4"/>
        <v>1</v>
      </c>
      <c r="AC40" s="2678">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7"/>
      <c r="Q41" s="1813" t="str">
        <f t="shared" si="11"/>
        <v>层高</v>
      </c>
      <c r="R41" s="774" t="s">
        <v>17</v>
      </c>
      <c r="S41" s="775">
        <f t="shared" si="12"/>
        <v>100</v>
      </c>
      <c r="T41" s="774" t="s">
        <v>17</v>
      </c>
      <c r="U41" s="775">
        <f t="shared" si="13"/>
        <v>100</v>
      </c>
      <c r="V41" s="774" t="s">
        <v>17</v>
      </c>
      <c r="W41" s="775">
        <f t="shared" si="14"/>
        <v>100</v>
      </c>
      <c r="X41" s="1816"/>
      <c r="Y41" s="3269"/>
      <c r="Z41" s="1817" t="str">
        <f t="shared" si="15"/>
        <v>层高</v>
      </c>
      <c r="AA41" s="1814">
        <f t="shared" si="3"/>
        <v>1</v>
      </c>
      <c r="AB41" s="1814">
        <f t="shared" si="4"/>
        <v>1</v>
      </c>
      <c r="AC41" s="2678">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69"/>
      <c r="Z42" s="780" t="str">
        <f t="shared" si="15"/>
        <v>单套建筑面积</v>
      </c>
      <c r="AA42" s="1814">
        <f t="shared" si="3"/>
        <v>1</v>
      </c>
      <c r="AB42" s="1814">
        <f t="shared" si="4"/>
        <v>1</v>
      </c>
      <c r="AC42" s="2678">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7"/>
      <c r="Q43" s="1813" t="str">
        <f t="shared" si="11"/>
        <v>内部装修</v>
      </c>
      <c r="R43" s="774" t="s">
        <v>17</v>
      </c>
      <c r="S43" s="775">
        <f t="shared" si="12"/>
        <v>100</v>
      </c>
      <c r="T43" s="774" t="s">
        <v>17</v>
      </c>
      <c r="U43" s="775">
        <f t="shared" si="13"/>
        <v>100</v>
      </c>
      <c r="V43" s="774" t="s">
        <v>17</v>
      </c>
      <c r="W43" s="775">
        <f t="shared" si="14"/>
        <v>100</v>
      </c>
      <c r="X43" s="1816"/>
      <c r="Y43" s="3269"/>
      <c r="Z43" s="1817" t="str">
        <f t="shared" si="15"/>
        <v>内部装修</v>
      </c>
      <c r="AA43" s="1814">
        <f t="shared" si="3"/>
        <v>1</v>
      </c>
      <c r="AB43" s="1814">
        <f t="shared" si="4"/>
        <v>1</v>
      </c>
      <c r="AC43" s="2678">
        <f t="shared" si="5"/>
        <v>1</v>
      </c>
    </row>
    <row r="44" spans="1:29" ht="15">
      <c r="A44" s="472"/>
      <c r="B44" s="422" t="s">
        <v>2581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67"/>
      <c r="Q44" s="1813" t="str">
        <f t="shared" si="11"/>
        <v>内部装修维护情况</v>
      </c>
      <c r="R44" s="774" t="s">
        <v>17</v>
      </c>
      <c r="S44" s="775">
        <f t="shared" si="12"/>
        <v>100</v>
      </c>
      <c r="T44" s="774" t="s">
        <v>17</v>
      </c>
      <c r="U44" s="775">
        <f t="shared" si="13"/>
        <v>100</v>
      </c>
      <c r="V44" s="774" t="s">
        <v>17</v>
      </c>
      <c r="W44" s="775">
        <f t="shared" si="14"/>
        <v>100</v>
      </c>
      <c r="X44" s="1816"/>
      <c r="Y44" s="3269"/>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7"/>
      <c r="Q45" s="1798">
        <f t="shared" si="11"/>
        <v>111</v>
      </c>
      <c r="R45" s="770" t="s">
        <v>17</v>
      </c>
      <c r="S45" s="771">
        <f t="shared" si="12"/>
        <v>100</v>
      </c>
      <c r="T45" s="770" t="s">
        <v>17</v>
      </c>
      <c r="U45" s="771">
        <f t="shared" si="13"/>
        <v>100</v>
      </c>
      <c r="V45" s="770" t="s">
        <v>17</v>
      </c>
      <c r="W45" s="771">
        <f t="shared" si="14"/>
        <v>100</v>
      </c>
      <c r="X45" s="772"/>
      <c r="Y45" s="3269"/>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1813">
        <f t="shared" si="11"/>
        <v>111</v>
      </c>
      <c r="R46" s="774" t="s">
        <v>17</v>
      </c>
      <c r="S46" s="775">
        <f t="shared" si="12"/>
        <v>100</v>
      </c>
      <c r="T46" s="774" t="s">
        <v>17</v>
      </c>
      <c r="U46" s="775">
        <f t="shared" si="13"/>
        <v>100</v>
      </c>
      <c r="V46" s="774" t="s">
        <v>17</v>
      </c>
      <c r="W46" s="775">
        <f t="shared" si="14"/>
        <v>100</v>
      </c>
      <c r="X46" s="1816"/>
      <c r="Y46" s="3269"/>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1813">
        <f t="shared" si="11"/>
        <v>111</v>
      </c>
      <c r="R47" s="774" t="s">
        <v>17</v>
      </c>
      <c r="S47" s="775">
        <f t="shared" si="12"/>
        <v>100</v>
      </c>
      <c r="T47" s="774" t="s">
        <v>17</v>
      </c>
      <c r="U47" s="775">
        <f t="shared" si="13"/>
        <v>100</v>
      </c>
      <c r="V47" s="774" t="s">
        <v>17</v>
      </c>
      <c r="W47" s="775">
        <f t="shared" si="14"/>
        <v>100</v>
      </c>
      <c r="X47" s="1816"/>
      <c r="Y47" s="3270"/>
      <c r="Z47" s="1817">
        <f t="shared" si="15"/>
        <v>111</v>
      </c>
      <c r="AA47" s="1814">
        <f t="shared" si="3"/>
        <v>1</v>
      </c>
      <c r="AB47" s="1814">
        <f t="shared" si="4"/>
        <v>1</v>
      </c>
      <c r="AC47" s="2678">
        <f t="shared" si="5"/>
        <v>1</v>
      </c>
    </row>
    <row r="48" spans="1:29" ht="15">
      <c r="A48" s="479" t="s">
        <v>2582</v>
      </c>
      <c r="B48" s="480"/>
      <c r="C48" s="1410" t="s">
        <v>1</v>
      </c>
      <c r="D48" s="1411"/>
      <c r="E48" s="1412"/>
      <c r="F48" s="1413"/>
      <c r="G48" s="1414"/>
      <c r="H48" s="1415"/>
      <c r="I48" s="1412"/>
      <c r="J48" s="485"/>
      <c r="K48" s="783"/>
      <c r="L48" s="1146"/>
      <c r="M48" s="1134"/>
      <c r="N48" s="1134"/>
      <c r="O48" s="1134"/>
      <c r="P48" s="3244" t="str">
        <f>A48</f>
        <v>成交单价（元/平方米）</v>
      </c>
      <c r="Q48" s="3262"/>
      <c r="R48" s="3263">
        <f>E48</f>
        <v>0</v>
      </c>
      <c r="S48" s="3263"/>
      <c r="T48" s="3263">
        <f>G48</f>
        <v>0</v>
      </c>
      <c r="U48" s="3263"/>
      <c r="V48" s="3263">
        <f>I48</f>
        <v>0</v>
      </c>
      <c r="W48" s="3263"/>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44"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85" t="str">
        <f>A50</f>
        <v>估价对象XX用房的比较价值（楼面单价，元/平方米）</v>
      </c>
      <c r="Q50" s="3286"/>
      <c r="R50" s="3287" t="e">
        <f>IF(F1="售价",ROUND(AVERAGE(R49:V49),0),ROUND(AVERAGE(R49:V49),1))</f>
        <v>#DIV/0!</v>
      </c>
      <c r="S50" s="3287"/>
      <c r="T50" s="3287"/>
      <c r="U50" s="3287"/>
      <c r="V50" s="3287"/>
      <c r="W50" s="3287"/>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5"/>
      <c r="Q58" s="504"/>
    </row>
    <row r="59" spans="1:29" s="508" customFormat="1" ht="15">
      <c r="A59" s="505" t="s">
        <v>2553</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2590</v>
      </c>
      <c r="B61" s="516"/>
      <c r="C61" s="517"/>
      <c r="D61" s="518"/>
      <c r="E61" s="518"/>
      <c r="F61" s="518"/>
      <c r="G61" s="518"/>
      <c r="H61" s="518"/>
      <c r="I61" s="518"/>
      <c r="J61" s="518"/>
      <c r="K61" s="518"/>
      <c r="L61" s="518"/>
      <c r="M61" s="519"/>
      <c r="N61" s="518"/>
      <c r="O61" s="519"/>
      <c r="P61" s="2686"/>
      <c r="Q61" s="504"/>
    </row>
    <row r="62" spans="1:29" s="117" customFormat="1" ht="15">
      <c r="A62" s="521" t="s">
        <v>2555</v>
      </c>
      <c r="B62" s="510"/>
      <c r="C62" s="522" t="s">
        <v>2657</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2593</v>
      </c>
      <c r="B64" s="528" t="s">
        <v>2559</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2704</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2568</v>
      </c>
      <c r="B101" s="528" t="s">
        <v>2617</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2619</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2621</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2622</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2623</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2706</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2625</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北京八家嘉苑房地产开发有限公司：</v>
      </c>
    </row>
    <row r="4" spans="1:1" ht="18">
      <c r="A4" s="1951" t="str">
        <f>"受贵公司委托，我公司对"&amp;项目基本情况!S1&amp;"进行了预评估。"</f>
        <v>受贵公司委托，我公司对北京市海淀区八家嘉苑房地产市场价值进行了预评估。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估价对象为北京市海淀区八家嘉苑房地产，为所有。根据《国有土地使用证》[]，估价对象（分摊）出让国有建设用地使用权面积为2227.66平方米，建筑面积为39021.71平方米。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估价对象为北京市海淀区八家嘉苑房地产,属开发建设的，该项目尚在开发建设中。根据《国有土地使用证》[]，估价对象（分摊）出让国有建设用地使用权面积为2227.66平方米，规划建筑面积为39021.71平方米。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为估价委托人在向北京农商银行海淀支行办理贷款手续过程中，确定房地产抵押贷款额度提供参考依据而评估房地产抵押价值。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2018年5月16日（评估专业人员实地查勘之日）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2" sqref="H4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3" t="s">
        <v>2707</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0"/>
      <c r="D2" s="1127" t="e">
        <f ca="1">SUMIF(INDIRECT("'"&amp;F2&amp;"'"&amp;"!A:A"),"承租人权益价值",INDIRECT("'"&amp;F2&amp;"'"&amp;"!c:c"))</f>
        <v>#REF!</v>
      </c>
      <c r="E2" s="2591" t="s">
        <v>2333</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39021.709999999977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45" t="s">
        <v>2651</v>
      </c>
      <c r="D4" s="3246"/>
      <c r="E4" s="3247" t="s">
        <v>2652</v>
      </c>
      <c r="F4" s="3248"/>
      <c r="G4" s="3245" t="s">
        <v>2653</v>
      </c>
      <c r="H4" s="3246"/>
      <c r="I4" s="3245" t="s">
        <v>2654</v>
      </c>
      <c r="J4" s="3246"/>
      <c r="K4" s="610" t="s">
        <v>2655</v>
      </c>
      <c r="L4" s="1133"/>
      <c r="M4" s="1134"/>
      <c r="N4" s="1134"/>
      <c r="O4" s="1134"/>
      <c r="P4" s="3249" t="s">
        <v>2656</v>
      </c>
      <c r="Q4" s="3250"/>
      <c r="R4" s="3232" t="s">
        <v>2652</v>
      </c>
      <c r="S4" s="3233"/>
      <c r="T4" s="3232" t="s">
        <v>2653</v>
      </c>
      <c r="U4" s="3233"/>
      <c r="V4" s="3257" t="s">
        <v>2654</v>
      </c>
      <c r="W4" s="3257"/>
      <c r="X4" s="1816"/>
      <c r="Y4" s="3232" t="s">
        <v>2656</v>
      </c>
      <c r="Z4" s="3233"/>
      <c r="AA4" s="3227" t="s">
        <v>2652</v>
      </c>
      <c r="AB4" s="3228" t="s">
        <v>2653</v>
      </c>
      <c r="AC4" s="3227" t="s">
        <v>2654</v>
      </c>
    </row>
    <row r="5" spans="1:29" ht="15">
      <c r="A5" s="404"/>
      <c r="B5" s="405"/>
      <c r="C5" s="3238" t="s">
        <v>2547</v>
      </c>
      <c r="D5" s="3239"/>
      <c r="E5" s="3236" t="s">
        <v>2548</v>
      </c>
      <c r="F5" s="3237"/>
      <c r="G5" s="3238" t="s">
        <v>2549</v>
      </c>
      <c r="H5" s="3239"/>
      <c r="I5" s="3238" t="s">
        <v>2550</v>
      </c>
      <c r="J5" s="3239"/>
      <c r="K5" s="610"/>
      <c r="L5" s="1133"/>
      <c r="M5" s="1134"/>
      <c r="N5" s="1134"/>
      <c r="O5" s="1134"/>
      <c r="P5" s="3251"/>
      <c r="Q5" s="3252"/>
      <c r="R5" s="3234"/>
      <c r="S5" s="3235"/>
      <c r="T5" s="3234"/>
      <c r="U5" s="3235"/>
      <c r="V5" s="3257"/>
      <c r="W5" s="3257"/>
      <c r="X5" s="1816"/>
      <c r="Y5" s="3234"/>
      <c r="Z5" s="3235"/>
      <c r="AA5" s="3228"/>
      <c r="AB5" s="3228"/>
      <c r="AC5" s="3228"/>
    </row>
    <row r="6" spans="1:29" ht="15.75" thickBot="1">
      <c r="A6" s="406"/>
      <c r="B6" s="407"/>
      <c r="C6" s="3240" t="s">
        <v>2551</v>
      </c>
      <c r="D6" s="3241"/>
      <c r="E6" s="3242" t="s">
        <v>2551</v>
      </c>
      <c r="F6" s="3243"/>
      <c r="G6" s="3240" t="s">
        <v>2551</v>
      </c>
      <c r="H6" s="3241"/>
      <c r="I6" s="3240" t="s">
        <v>2551</v>
      </c>
      <c r="J6" s="3241"/>
      <c r="K6" s="610" t="s">
        <v>2552</v>
      </c>
      <c r="L6" s="1133"/>
      <c r="M6" s="1134"/>
      <c r="N6" s="1134"/>
      <c r="O6" s="1134"/>
      <c r="P6" s="3253"/>
      <c r="Q6" s="3254"/>
      <c r="R6" s="3234"/>
      <c r="S6" s="3235"/>
      <c r="T6" s="3255"/>
      <c r="U6" s="3256"/>
      <c r="V6" s="3257"/>
      <c r="W6" s="3257"/>
      <c r="X6" s="1816"/>
      <c r="Y6" s="3255"/>
      <c r="Z6" s="3256"/>
      <c r="AA6" s="3229"/>
      <c r="AB6" s="3229"/>
      <c r="AC6" s="3229"/>
    </row>
    <row r="7" spans="1:29" s="117" customFormat="1" ht="15.75" thickBot="1">
      <c r="A7" s="408" t="s">
        <v>2553</v>
      </c>
      <c r="B7" s="409"/>
      <c r="C7" s="410">
        <f>'数据-取费表'!B2</f>
        <v>43236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0" t="s">
        <v>2554</v>
      </c>
      <c r="Q7" s="3258"/>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2" t="s">
        <v>2560</v>
      </c>
      <c r="Q9" s="1798" t="str">
        <f t="shared" ref="Q9:Q15" si="6">B9</f>
        <v>用途</v>
      </c>
      <c r="R9" s="770" t="s">
        <v>17</v>
      </c>
      <c r="S9" s="771">
        <f t="shared" si="0"/>
        <v>100</v>
      </c>
      <c r="T9" s="770" t="s">
        <v>17</v>
      </c>
      <c r="U9" s="771">
        <f t="shared" si="1"/>
        <v>100</v>
      </c>
      <c r="V9" s="770" t="s">
        <v>17</v>
      </c>
      <c r="W9" s="771">
        <f t="shared" si="2"/>
        <v>100</v>
      </c>
      <c r="X9" s="772"/>
      <c r="Y9" s="305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2"/>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2"/>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62"/>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62"/>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57">
      <c r="A15" s="440" t="s">
        <v>2564</v>
      </c>
      <c r="B15" s="69" t="s">
        <v>2708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4" t="s">
        <v>2565</v>
      </c>
      <c r="Q15" s="1813" t="str">
        <f t="shared" si="6"/>
        <v>产业集聚程度</v>
      </c>
      <c r="R15" s="774" t="s">
        <v>17</v>
      </c>
      <c r="S15" s="775">
        <f t="shared" si="0"/>
        <v>100</v>
      </c>
      <c r="T15" s="774" t="s">
        <v>17</v>
      </c>
      <c r="U15" s="775">
        <f t="shared" si="1"/>
        <v>100</v>
      </c>
      <c r="V15" s="774" t="s">
        <v>17</v>
      </c>
      <c r="W15" s="775">
        <f t="shared" si="2"/>
        <v>100</v>
      </c>
      <c r="X15" s="1816"/>
      <c r="Y15" s="3264"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5"/>
      <c r="Q16" s="1813"/>
      <c r="R16" s="774"/>
      <c r="S16" s="775"/>
      <c r="T16" s="774"/>
      <c r="U16" s="775"/>
      <c r="V16" s="774"/>
      <c r="W16" s="775"/>
      <c r="X16" s="1816"/>
      <c r="Y16" s="3265"/>
      <c r="Z16" s="1817"/>
      <c r="AA16" s="1814">
        <v>1</v>
      </c>
      <c r="AB16" s="1814">
        <v>1</v>
      </c>
      <c r="AC16" s="1814">
        <v>1</v>
      </c>
    </row>
    <row r="17" spans="1:29" ht="85.5">
      <c r="A17" s="428"/>
      <c r="B17" s="451" t="s">
        <v>2101</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5"/>
      <c r="Q17" s="1813" t="str">
        <f>B17</f>
        <v>交通便捷度</v>
      </c>
      <c r="R17" s="774" t="s">
        <v>17</v>
      </c>
      <c r="S17" s="775">
        <f>F17</f>
        <v>100</v>
      </c>
      <c r="T17" s="774" t="s">
        <v>17</v>
      </c>
      <c r="U17" s="775">
        <f>H17</f>
        <v>100</v>
      </c>
      <c r="V17" s="774" t="s">
        <v>17</v>
      </c>
      <c r="W17" s="775">
        <f>J17</f>
        <v>100</v>
      </c>
      <c r="X17" s="1816"/>
      <c r="Y17" s="3265"/>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65"/>
      <c r="Q18" s="1813"/>
      <c r="R18" s="774"/>
      <c r="S18" s="775"/>
      <c r="T18" s="774"/>
      <c r="U18" s="775"/>
      <c r="V18" s="774"/>
      <c r="W18" s="775"/>
      <c r="X18" s="1816"/>
      <c r="Y18" s="3265"/>
      <c r="Z18" s="1817"/>
      <c r="AA18" s="1814">
        <v>1</v>
      </c>
      <c r="AB18" s="1814">
        <v>1</v>
      </c>
      <c r="AC18" s="1814">
        <v>1</v>
      </c>
    </row>
    <row r="19" spans="1:29" ht="42.75">
      <c r="A19" s="428"/>
      <c r="B19" s="451" t="s">
        <v>2693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5"/>
      <c r="Q19" s="1813" t="str">
        <f>B19</f>
        <v>公共配套设施</v>
      </c>
      <c r="R19" s="774" t="s">
        <v>17</v>
      </c>
      <c r="S19" s="775">
        <f>F19</f>
        <v>100</v>
      </c>
      <c r="T19" s="774" t="s">
        <v>17</v>
      </c>
      <c r="U19" s="775">
        <f>H19</f>
        <v>100</v>
      </c>
      <c r="V19" s="774" t="s">
        <v>17</v>
      </c>
      <c r="W19" s="775">
        <f>J19</f>
        <v>100</v>
      </c>
      <c r="X19" s="1816"/>
      <c r="Y19" s="3265"/>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65"/>
      <c r="Q20" s="1813"/>
      <c r="R20" s="774"/>
      <c r="S20" s="775"/>
      <c r="T20" s="774"/>
      <c r="U20" s="775"/>
      <c r="V20" s="774"/>
      <c r="W20" s="775"/>
      <c r="X20" s="1816"/>
      <c r="Y20" s="3265"/>
      <c r="Z20" s="1817"/>
      <c r="AA20" s="1814">
        <v>1</v>
      </c>
      <c r="AB20" s="1814">
        <v>1</v>
      </c>
      <c r="AC20" s="1814">
        <v>1</v>
      </c>
    </row>
    <row r="21" spans="1:29" ht="28.5">
      <c r="A21" s="428"/>
      <c r="B21" s="1387" t="s">
        <v>2694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5"/>
      <c r="Q21" s="1813" t="str">
        <f>B21</f>
        <v>基础设施水平</v>
      </c>
      <c r="R21" s="774" t="s">
        <v>17</v>
      </c>
      <c r="S21" s="775">
        <f>F21</f>
        <v>100</v>
      </c>
      <c r="T21" s="774" t="s">
        <v>17</v>
      </c>
      <c r="U21" s="775">
        <f>H21</f>
        <v>100</v>
      </c>
      <c r="V21" s="774" t="s">
        <v>17</v>
      </c>
      <c r="W21" s="775">
        <f>J21</f>
        <v>100</v>
      </c>
      <c r="X21" s="1816"/>
      <c r="Y21" s="3265"/>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65"/>
      <c r="Q22" s="1813"/>
      <c r="R22" s="774"/>
      <c r="S22" s="775"/>
      <c r="T22" s="774"/>
      <c r="U22" s="775"/>
      <c r="V22" s="774"/>
      <c r="W22" s="775"/>
      <c r="X22" s="1816"/>
      <c r="Y22" s="3265"/>
      <c r="Z22" s="1817"/>
      <c r="AA22" s="1814">
        <v>1</v>
      </c>
      <c r="AB22" s="1814">
        <v>1</v>
      </c>
      <c r="AC22" s="1814">
        <v>1</v>
      </c>
    </row>
    <row r="23" spans="1:29" ht="71.25">
      <c r="A23" s="428"/>
      <c r="B23" s="451" t="s">
        <v>2695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5"/>
      <c r="Q23" s="1813" t="str">
        <f>B23</f>
        <v>环境质量</v>
      </c>
      <c r="R23" s="774" t="s">
        <v>17</v>
      </c>
      <c r="S23" s="775">
        <f>F23</f>
        <v>100</v>
      </c>
      <c r="T23" s="774" t="s">
        <v>17</v>
      </c>
      <c r="U23" s="775">
        <f>H23</f>
        <v>100</v>
      </c>
      <c r="V23" s="774" t="s">
        <v>17</v>
      </c>
      <c r="W23" s="775">
        <f>J23</f>
        <v>100</v>
      </c>
      <c r="X23" s="1816"/>
      <c r="Y23" s="3265"/>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65"/>
      <c r="Q24" s="1813"/>
      <c r="R24" s="774"/>
      <c r="S24" s="775"/>
      <c r="T24" s="774"/>
      <c r="U24" s="775"/>
      <c r="V24" s="774"/>
      <c r="W24" s="775"/>
      <c r="X24" s="1816"/>
      <c r="Y24" s="326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5"/>
      <c r="Q25" s="1813">
        <f>B25</f>
        <v>111</v>
      </c>
      <c r="R25" s="774" t="s">
        <v>17</v>
      </c>
      <c r="S25" s="775">
        <f>F25</f>
        <v>100</v>
      </c>
      <c r="T25" s="774" t="s">
        <v>17</v>
      </c>
      <c r="U25" s="775">
        <f>H25</f>
        <v>100</v>
      </c>
      <c r="V25" s="774" t="s">
        <v>17</v>
      </c>
      <c r="W25" s="775">
        <f>J25</f>
        <v>100</v>
      </c>
      <c r="X25" s="1816"/>
      <c r="Y25" s="326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5"/>
      <c r="Q26" s="1813">
        <f t="shared" ref="Q26:Q40" si="11">B26</f>
        <v>111</v>
      </c>
      <c r="R26" s="774" t="s">
        <v>17</v>
      </c>
      <c r="S26" s="775">
        <f>F26</f>
        <v>100</v>
      </c>
      <c r="T26" s="774" t="s">
        <v>17</v>
      </c>
      <c r="U26" s="775">
        <f>H26</f>
        <v>100</v>
      </c>
      <c r="V26" s="774" t="s">
        <v>17</v>
      </c>
      <c r="W26" s="775">
        <f>J26</f>
        <v>100</v>
      </c>
      <c r="X26" s="1816"/>
      <c r="Y26" s="326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5"/>
      <c r="Q27" s="1798">
        <f t="shared" si="11"/>
        <v>111</v>
      </c>
      <c r="R27" s="770" t="s">
        <v>17</v>
      </c>
      <c r="S27" s="771">
        <f>F27</f>
        <v>100</v>
      </c>
      <c r="T27" s="770" t="s">
        <v>17</v>
      </c>
      <c r="U27" s="771">
        <f>H27</f>
        <v>100</v>
      </c>
      <c r="V27" s="770" t="s">
        <v>17</v>
      </c>
      <c r="W27" s="771">
        <f>J27</f>
        <v>100</v>
      </c>
      <c r="X27" s="772"/>
      <c r="Y27" s="326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5"/>
      <c r="Q28" s="1813">
        <f t="shared" si="11"/>
        <v>111</v>
      </c>
      <c r="R28" s="774" t="s">
        <v>17</v>
      </c>
      <c r="S28" s="775">
        <f t="shared" ref="S28:S40" si="12">F28</f>
        <v>100</v>
      </c>
      <c r="T28" s="774" t="s">
        <v>17</v>
      </c>
      <c r="U28" s="775">
        <f t="shared" ref="U28:U40" si="13">H28</f>
        <v>100</v>
      </c>
      <c r="V28" s="774" t="s">
        <v>17</v>
      </c>
      <c r="W28" s="775">
        <f t="shared" ref="W28:W40" si="14">J28</f>
        <v>100</v>
      </c>
      <c r="X28" s="1816"/>
      <c r="Y28" s="3265"/>
      <c r="Z28" s="1817">
        <f t="shared" ref="Z28:Z40" si="15">Q28</f>
        <v>111</v>
      </c>
      <c r="AA28" s="1814">
        <f t="shared" si="3"/>
        <v>1</v>
      </c>
      <c r="AB28" s="1814">
        <f t="shared" si="4"/>
        <v>1</v>
      </c>
      <c r="AC28" s="1814">
        <f t="shared" si="5"/>
        <v>1</v>
      </c>
    </row>
    <row r="29" spans="1:29" ht="15">
      <c r="A29" s="466" t="s">
        <v>2568</v>
      </c>
      <c r="B29" s="71" t="s">
        <v>2698</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88" t="s">
        <v>2570</v>
      </c>
      <c r="Q29" s="1813" t="str">
        <f t="shared" si="11"/>
        <v>建筑类型</v>
      </c>
      <c r="R29" s="774" t="s">
        <v>17</v>
      </c>
      <c r="S29" s="775">
        <f t="shared" si="12"/>
        <v>100</v>
      </c>
      <c r="T29" s="774" t="s">
        <v>17</v>
      </c>
      <c r="U29" s="775">
        <f t="shared" si="13"/>
        <v>100</v>
      </c>
      <c r="V29" s="774" t="s">
        <v>17</v>
      </c>
      <c r="W29" s="775">
        <f t="shared" si="14"/>
        <v>100</v>
      </c>
      <c r="X29" s="1816"/>
      <c r="Y29" s="3269"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9"/>
      <c r="Q30" s="776" t="str">
        <f t="shared" si="11"/>
        <v>项目建筑规模</v>
      </c>
      <c r="R30" s="777" t="s">
        <v>17</v>
      </c>
      <c r="S30" s="778" t="e">
        <f t="shared" si="12"/>
        <v>#N/A</v>
      </c>
      <c r="T30" s="777" t="s">
        <v>17</v>
      </c>
      <c r="U30" s="778" t="e">
        <f t="shared" si="13"/>
        <v>#N/A</v>
      </c>
      <c r="V30" s="777" t="s">
        <v>17</v>
      </c>
      <c r="W30" s="778" t="e">
        <f t="shared" si="14"/>
        <v>#N/A</v>
      </c>
      <c r="X30" s="779"/>
      <c r="Y30" s="3269"/>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9"/>
      <c r="Q31" s="1813" t="str">
        <f t="shared" si="11"/>
        <v>建筑结构</v>
      </c>
      <c r="R31" s="774" t="s">
        <v>17</v>
      </c>
      <c r="S31" s="775">
        <f t="shared" si="12"/>
        <v>100</v>
      </c>
      <c r="T31" s="774" t="s">
        <v>17</v>
      </c>
      <c r="U31" s="775">
        <f t="shared" si="13"/>
        <v>100</v>
      </c>
      <c r="V31" s="774" t="s">
        <v>17</v>
      </c>
      <c r="W31" s="775">
        <f t="shared" si="14"/>
        <v>100</v>
      </c>
      <c r="X31" s="1816"/>
      <c r="Y31" s="3269"/>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9"/>
      <c r="Q32" s="1813" t="str">
        <f t="shared" si="11"/>
        <v>公共部分装修</v>
      </c>
      <c r="R32" s="774" t="s">
        <v>17</v>
      </c>
      <c r="S32" s="775">
        <f t="shared" si="12"/>
        <v>100</v>
      </c>
      <c r="T32" s="774" t="s">
        <v>17</v>
      </c>
      <c r="U32" s="775">
        <f t="shared" si="13"/>
        <v>100</v>
      </c>
      <c r="V32" s="774" t="s">
        <v>17</v>
      </c>
      <c r="W32" s="775">
        <f t="shared" si="14"/>
        <v>100</v>
      </c>
      <c r="X32" s="1816"/>
      <c r="Y32" s="3269"/>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9"/>
      <c r="Q33" s="1813" t="str">
        <f t="shared" si="11"/>
        <v>成新度</v>
      </c>
      <c r="R33" s="774" t="s">
        <v>17</v>
      </c>
      <c r="S33" s="775" t="e">
        <f t="shared" si="12"/>
        <v>#N/A</v>
      </c>
      <c r="T33" s="774" t="s">
        <v>17</v>
      </c>
      <c r="U33" s="775" t="e">
        <f t="shared" si="13"/>
        <v>#N/A</v>
      </c>
      <c r="V33" s="774" t="s">
        <v>17</v>
      </c>
      <c r="W33" s="775" t="e">
        <f t="shared" si="14"/>
        <v>#N/A</v>
      </c>
      <c r="X33" s="1816"/>
      <c r="Y33" s="3269"/>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9"/>
      <c r="Q34" s="1798" t="str">
        <f t="shared" si="11"/>
        <v>物业管理</v>
      </c>
      <c r="R34" s="770" t="s">
        <v>17</v>
      </c>
      <c r="S34" s="771">
        <f t="shared" si="12"/>
        <v>100</v>
      </c>
      <c r="T34" s="770" t="s">
        <v>17</v>
      </c>
      <c r="U34" s="771">
        <f t="shared" si="13"/>
        <v>100</v>
      </c>
      <c r="V34" s="770" t="s">
        <v>17</v>
      </c>
      <c r="W34" s="771">
        <f t="shared" si="14"/>
        <v>100</v>
      </c>
      <c r="X34" s="772"/>
      <c r="Y34" s="3269"/>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9" t="s">
        <v>2570</v>
      </c>
      <c r="Q35" s="1813" t="str">
        <f t="shared" si="11"/>
        <v>市政基础设施</v>
      </c>
      <c r="R35" s="774" t="s">
        <v>17</v>
      </c>
      <c r="S35" s="775">
        <f t="shared" si="12"/>
        <v>100</v>
      </c>
      <c r="T35" s="774" t="s">
        <v>17</v>
      </c>
      <c r="U35" s="775">
        <f t="shared" si="13"/>
        <v>100</v>
      </c>
      <c r="V35" s="774" t="s">
        <v>17</v>
      </c>
      <c r="W35" s="775">
        <f t="shared" si="14"/>
        <v>100</v>
      </c>
      <c r="X35" s="1816"/>
      <c r="Y35" s="3269"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9"/>
      <c r="Q36" s="1813" t="str">
        <f t="shared" si="11"/>
        <v>内部装修</v>
      </c>
      <c r="R36" s="774" t="s">
        <v>17</v>
      </c>
      <c r="S36" s="775">
        <f t="shared" si="12"/>
        <v>100</v>
      </c>
      <c r="T36" s="774" t="s">
        <v>17</v>
      </c>
      <c r="U36" s="775">
        <f t="shared" si="13"/>
        <v>100</v>
      </c>
      <c r="V36" s="774" t="s">
        <v>17</v>
      </c>
      <c r="W36" s="775">
        <f t="shared" si="14"/>
        <v>100</v>
      </c>
      <c r="X36" s="1816"/>
      <c r="Y36" s="3269"/>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9"/>
      <c r="Q37" s="1813" t="str">
        <f t="shared" si="11"/>
        <v>内部装修状况</v>
      </c>
      <c r="R37" s="774" t="s">
        <v>17</v>
      </c>
      <c r="S37" s="775">
        <f t="shared" si="12"/>
        <v>100</v>
      </c>
      <c r="T37" s="774" t="s">
        <v>17</v>
      </c>
      <c r="U37" s="775">
        <f t="shared" si="13"/>
        <v>100</v>
      </c>
      <c r="V37" s="774" t="s">
        <v>17</v>
      </c>
      <c r="W37" s="775">
        <f t="shared" si="14"/>
        <v>100</v>
      </c>
      <c r="X37" s="1816"/>
      <c r="Y37" s="326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9"/>
      <c r="Q38" s="776">
        <f t="shared" si="11"/>
        <v>111</v>
      </c>
      <c r="R38" s="777" t="s">
        <v>17</v>
      </c>
      <c r="S38" s="778">
        <f t="shared" si="12"/>
        <v>100</v>
      </c>
      <c r="T38" s="777" t="s">
        <v>17</v>
      </c>
      <c r="U38" s="778">
        <f t="shared" si="13"/>
        <v>100</v>
      </c>
      <c r="V38" s="777" t="s">
        <v>17</v>
      </c>
      <c r="W38" s="778">
        <f t="shared" si="14"/>
        <v>100</v>
      </c>
      <c r="X38" s="779"/>
      <c r="Y38" s="326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9"/>
      <c r="Q39" s="1813">
        <f t="shared" si="11"/>
        <v>111</v>
      </c>
      <c r="R39" s="774" t="s">
        <v>17</v>
      </c>
      <c r="S39" s="775">
        <f t="shared" si="12"/>
        <v>100</v>
      </c>
      <c r="T39" s="774" t="s">
        <v>17</v>
      </c>
      <c r="U39" s="775">
        <f t="shared" si="13"/>
        <v>100</v>
      </c>
      <c r="V39" s="774" t="s">
        <v>17</v>
      </c>
      <c r="W39" s="775">
        <f t="shared" si="14"/>
        <v>100</v>
      </c>
      <c r="X39" s="1816"/>
      <c r="Y39" s="3269"/>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0"/>
      <c r="Q40" s="1813">
        <f t="shared" si="11"/>
        <v>111</v>
      </c>
      <c r="R40" s="774" t="s">
        <v>17</v>
      </c>
      <c r="S40" s="775">
        <f t="shared" si="12"/>
        <v>100</v>
      </c>
      <c r="T40" s="774" t="s">
        <v>17</v>
      </c>
      <c r="U40" s="775">
        <f t="shared" si="13"/>
        <v>100</v>
      </c>
      <c r="V40" s="774" t="s">
        <v>17</v>
      </c>
      <c r="W40" s="775">
        <f t="shared" si="14"/>
        <v>100</v>
      </c>
      <c r="X40" s="1816"/>
      <c r="Y40" s="3270"/>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62" t="str">
        <f>A41</f>
        <v>成交单价（元/平方米）</v>
      </c>
      <c r="Q41" s="3262"/>
      <c r="R41" s="3263">
        <f>E41</f>
        <v>0</v>
      </c>
      <c r="S41" s="3263"/>
      <c r="T41" s="3263">
        <f>G41</f>
        <v>0</v>
      </c>
      <c r="U41" s="3263"/>
      <c r="V41" s="3263">
        <f>I41</f>
        <v>0</v>
      </c>
      <c r="W41" s="3263"/>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2" sqref="H4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8"/>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0"/>
      <c r="D2" s="1127" t="e">
        <f ca="1">SUMIF(INDIRECT("'"&amp;F2&amp;"'"&amp;"!A:A"),"承租人权益价值",INDIRECT("'"&amp;F2&amp;"'"&amp;"!c:c"))</f>
        <v>#REF!</v>
      </c>
      <c r="E2" s="2591" t="s">
        <v>2333</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45" t="s">
        <v>2651</v>
      </c>
      <c r="D4" s="3246"/>
      <c r="E4" s="3247" t="s">
        <v>2652</v>
      </c>
      <c r="F4" s="3248"/>
      <c r="G4" s="3245" t="s">
        <v>2653</v>
      </c>
      <c r="H4" s="3246"/>
      <c r="I4" s="3245" t="s">
        <v>2654</v>
      </c>
      <c r="J4" s="3246"/>
      <c r="K4" s="610" t="s">
        <v>2655</v>
      </c>
      <c r="L4" s="1133"/>
      <c r="M4" s="1134"/>
      <c r="N4" s="1134"/>
      <c r="O4" s="1134"/>
      <c r="P4" s="3249" t="s">
        <v>2656</v>
      </c>
      <c r="Q4" s="3250"/>
      <c r="R4" s="3232" t="s">
        <v>2652</v>
      </c>
      <c r="S4" s="3233"/>
      <c r="T4" s="3232" t="s">
        <v>2653</v>
      </c>
      <c r="U4" s="3233"/>
      <c r="V4" s="3257" t="s">
        <v>2654</v>
      </c>
      <c r="W4" s="3257"/>
      <c r="X4" s="1816"/>
      <c r="Y4" s="3232" t="s">
        <v>2656</v>
      </c>
      <c r="Z4" s="3233"/>
      <c r="AA4" s="3227" t="s">
        <v>2652</v>
      </c>
      <c r="AB4" s="3228" t="s">
        <v>2653</v>
      </c>
      <c r="AC4" s="3227" t="s">
        <v>2654</v>
      </c>
    </row>
    <row r="5" spans="1:29" ht="15">
      <c r="A5" s="404"/>
      <c r="B5" s="405"/>
      <c r="C5" s="3238" t="s">
        <v>2547</v>
      </c>
      <c r="D5" s="3239"/>
      <c r="E5" s="3236" t="s">
        <v>2548</v>
      </c>
      <c r="F5" s="3237"/>
      <c r="G5" s="3238" t="s">
        <v>2549</v>
      </c>
      <c r="H5" s="3239"/>
      <c r="I5" s="3238" t="s">
        <v>2550</v>
      </c>
      <c r="J5" s="3239"/>
      <c r="K5" s="610"/>
      <c r="L5" s="1133"/>
      <c r="M5" s="1134"/>
      <c r="N5" s="1134"/>
      <c r="O5" s="1134"/>
      <c r="P5" s="3251"/>
      <c r="Q5" s="3252"/>
      <c r="R5" s="3234"/>
      <c r="S5" s="3235"/>
      <c r="T5" s="3234"/>
      <c r="U5" s="3235"/>
      <c r="V5" s="3257"/>
      <c r="W5" s="3257"/>
      <c r="X5" s="1816"/>
      <c r="Y5" s="3234"/>
      <c r="Z5" s="3235"/>
      <c r="AA5" s="3228"/>
      <c r="AB5" s="3228"/>
      <c r="AC5" s="3228"/>
    </row>
    <row r="6" spans="1:29" ht="15.75" thickBot="1">
      <c r="A6" s="406"/>
      <c r="B6" s="407"/>
      <c r="C6" s="3240" t="s">
        <v>2551</v>
      </c>
      <c r="D6" s="3241"/>
      <c r="E6" s="3242" t="s">
        <v>2551</v>
      </c>
      <c r="F6" s="3243"/>
      <c r="G6" s="3240" t="s">
        <v>2551</v>
      </c>
      <c r="H6" s="3241"/>
      <c r="I6" s="3240" t="s">
        <v>2551</v>
      </c>
      <c r="J6" s="3241"/>
      <c r="K6" s="610" t="s">
        <v>2552</v>
      </c>
      <c r="L6" s="1133"/>
      <c r="M6" s="1134"/>
      <c r="N6" s="1134"/>
      <c r="O6" s="1134"/>
      <c r="P6" s="3253"/>
      <c r="Q6" s="3254"/>
      <c r="R6" s="3234"/>
      <c r="S6" s="3235"/>
      <c r="T6" s="3255"/>
      <c r="U6" s="3256"/>
      <c r="V6" s="3257"/>
      <c r="W6" s="3257"/>
      <c r="X6" s="1816"/>
      <c r="Y6" s="3255"/>
      <c r="Z6" s="3256"/>
      <c r="AA6" s="3229"/>
      <c r="AB6" s="3229"/>
      <c r="AC6" s="3229"/>
    </row>
    <row r="7" spans="1:29" s="117" customFormat="1" ht="15.75" thickBot="1">
      <c r="A7" s="408" t="s">
        <v>2553</v>
      </c>
      <c r="B7" s="409"/>
      <c r="C7" s="410">
        <f>'数据-取费表'!B2</f>
        <v>43236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0" t="s">
        <v>2554</v>
      </c>
      <c r="Q7" s="3258"/>
      <c r="R7" s="770" t="s">
        <v>17</v>
      </c>
      <c r="S7" s="771">
        <f t="shared" ref="S7:S14" si="0">F7</f>
        <v>0</v>
      </c>
      <c r="T7" s="770" t="s">
        <v>17</v>
      </c>
      <c r="U7" s="771">
        <f t="shared" ref="U7:U14" si="1">H7</f>
        <v>0</v>
      </c>
      <c r="V7" s="770" t="s">
        <v>17</v>
      </c>
      <c r="W7" s="771">
        <f t="shared" ref="W7:W14" si="2">J7</f>
        <v>0</v>
      </c>
      <c r="X7" s="772"/>
      <c r="Y7" s="3230" t="s">
        <v>2554</v>
      </c>
      <c r="Z7" s="3231"/>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2" t="s">
        <v>2560</v>
      </c>
      <c r="Q9" s="1798" t="str">
        <f t="shared" ref="Q9:Q14" si="6">B9</f>
        <v>用途</v>
      </c>
      <c r="R9" s="770" t="s">
        <v>17</v>
      </c>
      <c r="S9" s="771">
        <f t="shared" si="0"/>
        <v>100</v>
      </c>
      <c r="T9" s="770" t="s">
        <v>17</v>
      </c>
      <c r="U9" s="771">
        <f t="shared" si="1"/>
        <v>100</v>
      </c>
      <c r="V9" s="770" t="s">
        <v>17</v>
      </c>
      <c r="W9" s="771">
        <f t="shared" si="2"/>
        <v>100</v>
      </c>
      <c r="X9" s="772"/>
      <c r="Y9" s="3053"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2"/>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2"/>
      <c r="Q11" s="1798">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2"/>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2"/>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01" t="s">
        <v>2564</v>
      </c>
      <c r="B14" s="629" t="s">
        <v>2714</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4" t="s">
        <v>2565</v>
      </c>
      <c r="Q14" s="1813" t="str">
        <f t="shared" si="6"/>
        <v>交通便捷度</v>
      </c>
      <c r="R14" s="774" t="s">
        <v>17</v>
      </c>
      <c r="S14" s="775">
        <f t="shared" si="0"/>
        <v>100</v>
      </c>
      <c r="T14" s="774" t="s">
        <v>17</v>
      </c>
      <c r="U14" s="775">
        <f t="shared" si="1"/>
        <v>100</v>
      </c>
      <c r="V14" s="774" t="s">
        <v>17</v>
      </c>
      <c r="W14" s="775">
        <f t="shared" si="2"/>
        <v>100</v>
      </c>
      <c r="X14" s="1816"/>
      <c r="Y14" s="3264"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5"/>
      <c r="Q15" s="1813"/>
      <c r="R15" s="774"/>
      <c r="S15" s="775"/>
      <c r="T15" s="774"/>
      <c r="U15" s="775"/>
      <c r="V15" s="774"/>
      <c r="W15" s="775"/>
      <c r="X15" s="1816"/>
      <c r="Y15" s="3265"/>
      <c r="Z15" s="1817"/>
      <c r="AA15" s="1814">
        <v>1</v>
      </c>
      <c r="AB15" s="1814">
        <v>1</v>
      </c>
      <c r="AC15" s="1814">
        <v>1</v>
      </c>
    </row>
    <row r="16" spans="1:29" ht="42.75">
      <c r="A16" s="404"/>
      <c r="B16" s="631" t="s">
        <v>2693</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5"/>
      <c r="Q16" s="1813" t="str">
        <f>B16</f>
        <v>公共配套设施</v>
      </c>
      <c r="R16" s="774" t="s">
        <v>17</v>
      </c>
      <c r="S16" s="775">
        <f>F16</f>
        <v>100</v>
      </c>
      <c r="T16" s="774" t="s">
        <v>17</v>
      </c>
      <c r="U16" s="775">
        <f>H16</f>
        <v>100</v>
      </c>
      <c r="V16" s="774" t="s">
        <v>17</v>
      </c>
      <c r="W16" s="775">
        <f>J16</f>
        <v>100</v>
      </c>
      <c r="X16" s="1816"/>
      <c r="Y16" s="3265"/>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65"/>
      <c r="Q17" s="1813"/>
      <c r="R17" s="774"/>
      <c r="S17" s="775"/>
      <c r="T17" s="774"/>
      <c r="U17" s="775"/>
      <c r="V17" s="774"/>
      <c r="W17" s="775"/>
      <c r="X17" s="1816"/>
      <c r="Y17" s="3265"/>
      <c r="Z17" s="1817"/>
      <c r="AA17" s="1814">
        <v>1</v>
      </c>
      <c r="AB17" s="1814">
        <v>1</v>
      </c>
      <c r="AC17" s="1814">
        <v>1</v>
      </c>
    </row>
    <row r="18" spans="1:29" ht="28.5">
      <c r="A18" s="404"/>
      <c r="B18" s="633" t="s">
        <v>2694</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5"/>
      <c r="Q18" s="1813" t="str">
        <f>B18</f>
        <v>基础设施水平</v>
      </c>
      <c r="R18" s="774" t="s">
        <v>17</v>
      </c>
      <c r="S18" s="775">
        <f>F18</f>
        <v>100</v>
      </c>
      <c r="T18" s="774" t="s">
        <v>17</v>
      </c>
      <c r="U18" s="775">
        <f>H18</f>
        <v>100</v>
      </c>
      <c r="V18" s="774" t="s">
        <v>17</v>
      </c>
      <c r="W18" s="775">
        <f>J18</f>
        <v>100</v>
      </c>
      <c r="X18" s="1816"/>
      <c r="Y18" s="3265"/>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65"/>
      <c r="Q19" s="1813"/>
      <c r="R19" s="774"/>
      <c r="S19" s="775"/>
      <c r="T19" s="774"/>
      <c r="U19" s="775"/>
      <c r="V19" s="774"/>
      <c r="W19" s="775"/>
      <c r="X19" s="1816"/>
      <c r="Y19" s="3265"/>
      <c r="Z19" s="1817"/>
      <c r="AA19" s="1814">
        <v>1</v>
      </c>
      <c r="AB19" s="1814">
        <v>1</v>
      </c>
      <c r="AC19" s="1814">
        <v>1</v>
      </c>
    </row>
    <row r="20" spans="1:29" ht="57">
      <c r="A20" s="404"/>
      <c r="B20" s="631" t="s">
        <v>2715</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5"/>
      <c r="Q20" s="1813" t="str">
        <f>B20</f>
        <v>自然及人文环境</v>
      </c>
      <c r="R20" s="774" t="s">
        <v>17</v>
      </c>
      <c r="S20" s="775">
        <f>F20</f>
        <v>100</v>
      </c>
      <c r="T20" s="774" t="s">
        <v>17</v>
      </c>
      <c r="U20" s="775">
        <f>H20</f>
        <v>100</v>
      </c>
      <c r="V20" s="774" t="s">
        <v>17</v>
      </c>
      <c r="W20" s="775">
        <f>J20</f>
        <v>100</v>
      </c>
      <c r="X20" s="1816"/>
      <c r="Y20" s="326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5"/>
      <c r="Q21" s="1813"/>
      <c r="R21" s="774"/>
      <c r="S21" s="775"/>
      <c r="T21" s="774"/>
      <c r="U21" s="775"/>
      <c r="V21" s="774"/>
      <c r="W21" s="775"/>
      <c r="X21" s="1816"/>
      <c r="Y21" s="3265"/>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5"/>
      <c r="Q22" s="1813" t="str">
        <f>B22</f>
        <v>楼层</v>
      </c>
      <c r="R22" s="774" t="s">
        <v>17</v>
      </c>
      <c r="S22" s="775">
        <f>F22</f>
        <v>100</v>
      </c>
      <c r="T22" s="774" t="s">
        <v>17</v>
      </c>
      <c r="U22" s="775">
        <f>H22</f>
        <v>100</v>
      </c>
      <c r="V22" s="774" t="s">
        <v>17</v>
      </c>
      <c r="W22" s="775">
        <f>J22</f>
        <v>100</v>
      </c>
      <c r="X22" s="1816"/>
      <c r="Y22" s="326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5"/>
      <c r="Q23" s="1813">
        <f>B23</f>
        <v>111</v>
      </c>
      <c r="R23" s="774" t="s">
        <v>17</v>
      </c>
      <c r="S23" s="775">
        <f>F23</f>
        <v>100</v>
      </c>
      <c r="T23" s="774" t="s">
        <v>17</v>
      </c>
      <c r="U23" s="775">
        <f>H23</f>
        <v>100</v>
      </c>
      <c r="V23" s="774" t="s">
        <v>17</v>
      </c>
      <c r="W23" s="775">
        <f>J23</f>
        <v>100</v>
      </c>
      <c r="X23" s="1816"/>
      <c r="Y23" s="326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5"/>
      <c r="Q24" s="1813">
        <f t="shared" ref="Q24:Q36" si="11">B24</f>
        <v>111</v>
      </c>
      <c r="R24" s="774" t="s">
        <v>17</v>
      </c>
      <c r="S24" s="775">
        <f>F24</f>
        <v>100</v>
      </c>
      <c r="T24" s="774" t="s">
        <v>17</v>
      </c>
      <c r="U24" s="775">
        <f>H24</f>
        <v>100</v>
      </c>
      <c r="V24" s="774" t="s">
        <v>17</v>
      </c>
      <c r="W24" s="775">
        <f>J24</f>
        <v>100</v>
      </c>
      <c r="X24" s="1816"/>
      <c r="Y24" s="326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5"/>
      <c r="Q25" s="1798">
        <f t="shared" si="11"/>
        <v>111</v>
      </c>
      <c r="R25" s="770" t="s">
        <v>17</v>
      </c>
      <c r="S25" s="771">
        <f>F25</f>
        <v>100</v>
      </c>
      <c r="T25" s="770" t="s">
        <v>17</v>
      </c>
      <c r="U25" s="771">
        <f>H25</f>
        <v>100</v>
      </c>
      <c r="V25" s="770" t="s">
        <v>17</v>
      </c>
      <c r="W25" s="771">
        <f>J25</f>
        <v>100</v>
      </c>
      <c r="X25" s="772"/>
      <c r="Y25" s="3265"/>
      <c r="Z25" s="55">
        <f>Q25</f>
        <v>111</v>
      </c>
      <c r="AA25" s="1814">
        <f>D25/F25</f>
        <v>1</v>
      </c>
      <c r="AB25" s="1814">
        <f>D25/H25</f>
        <v>1</v>
      </c>
      <c r="AC25" s="1814">
        <f>D25/J25</f>
        <v>1</v>
      </c>
    </row>
    <row r="26" spans="1:29" ht="15">
      <c r="A26" s="652" t="s">
        <v>2568</v>
      </c>
      <c r="B26" s="70" t="s">
        <v>2717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88"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9"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9"/>
      <c r="Q27" s="776" t="str">
        <f t="shared" si="11"/>
        <v>项目停车位配比</v>
      </c>
      <c r="R27" s="777" t="s">
        <v>17</v>
      </c>
      <c r="S27" s="778">
        <f t="shared" si="12"/>
        <v>100</v>
      </c>
      <c r="T27" s="777" t="s">
        <v>17</v>
      </c>
      <c r="U27" s="778">
        <f t="shared" si="13"/>
        <v>100</v>
      </c>
      <c r="V27" s="777" t="s">
        <v>17</v>
      </c>
      <c r="W27" s="778">
        <f t="shared" si="14"/>
        <v>100</v>
      </c>
      <c r="X27" s="779"/>
      <c r="Y27" s="3269"/>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9"/>
      <c r="Q28" s="1813" t="str">
        <f t="shared" si="11"/>
        <v>公共部分装修</v>
      </c>
      <c r="R28" s="774" t="s">
        <v>17</v>
      </c>
      <c r="S28" s="775">
        <f t="shared" si="12"/>
        <v>100</v>
      </c>
      <c r="T28" s="774" t="s">
        <v>17</v>
      </c>
      <c r="U28" s="775">
        <f t="shared" si="13"/>
        <v>100</v>
      </c>
      <c r="V28" s="774" t="s">
        <v>17</v>
      </c>
      <c r="W28" s="775">
        <f t="shared" si="14"/>
        <v>100</v>
      </c>
      <c r="X28" s="1816"/>
      <c r="Y28" s="3269"/>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9"/>
      <c r="Q29" s="1813" t="str">
        <f t="shared" si="11"/>
        <v>成新率</v>
      </c>
      <c r="R29" s="774" t="s">
        <v>17</v>
      </c>
      <c r="S29" s="775" t="e">
        <f t="shared" si="12"/>
        <v>#N/A</v>
      </c>
      <c r="T29" s="774" t="s">
        <v>17</v>
      </c>
      <c r="U29" s="775" t="e">
        <f t="shared" si="13"/>
        <v>#N/A</v>
      </c>
      <c r="V29" s="774" t="s">
        <v>17</v>
      </c>
      <c r="W29" s="775" t="e">
        <f t="shared" si="14"/>
        <v>#N/A</v>
      </c>
      <c r="X29" s="1816"/>
      <c r="Y29" s="3269"/>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9"/>
      <c r="Q30" s="1813" t="str">
        <f t="shared" si="11"/>
        <v>物业等级</v>
      </c>
      <c r="R30" s="774" t="s">
        <v>17</v>
      </c>
      <c r="S30" s="775">
        <f t="shared" si="12"/>
        <v>100</v>
      </c>
      <c r="T30" s="774" t="s">
        <v>17</v>
      </c>
      <c r="U30" s="775">
        <f t="shared" si="13"/>
        <v>100</v>
      </c>
      <c r="V30" s="774" t="s">
        <v>17</v>
      </c>
      <c r="W30" s="775">
        <f t="shared" si="14"/>
        <v>100</v>
      </c>
      <c r="X30" s="1816"/>
      <c r="Y30" s="3269"/>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9"/>
      <c r="Q31" s="1798" t="str">
        <f t="shared" si="11"/>
        <v>停车位面积</v>
      </c>
      <c r="R31" s="770" t="s">
        <v>17</v>
      </c>
      <c r="S31" s="771" t="e">
        <f t="shared" si="12"/>
        <v>#N/A</v>
      </c>
      <c r="T31" s="770" t="s">
        <v>17</v>
      </c>
      <c r="U31" s="771" t="e">
        <f t="shared" si="13"/>
        <v>#N/A</v>
      </c>
      <c r="V31" s="770" t="s">
        <v>17</v>
      </c>
      <c r="W31" s="771" t="e">
        <f t="shared" si="14"/>
        <v>#N/A</v>
      </c>
      <c r="X31" s="772"/>
      <c r="Y31" s="3269"/>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9" t="s">
        <v>2570</v>
      </c>
      <c r="Q32" s="1813" t="str">
        <f t="shared" si="11"/>
        <v>车位类型</v>
      </c>
      <c r="R32" s="774" t="s">
        <v>17</v>
      </c>
      <c r="S32" s="775">
        <f t="shared" si="12"/>
        <v>100</v>
      </c>
      <c r="T32" s="774" t="s">
        <v>17</v>
      </c>
      <c r="U32" s="775">
        <f t="shared" si="13"/>
        <v>100</v>
      </c>
      <c r="V32" s="774" t="s">
        <v>17</v>
      </c>
      <c r="W32" s="775">
        <f t="shared" si="14"/>
        <v>100</v>
      </c>
      <c r="X32" s="1816"/>
      <c r="Y32" s="3269"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9"/>
      <c r="Q33" s="1813" t="str">
        <f t="shared" si="11"/>
        <v>是否直接入户</v>
      </c>
      <c r="R33" s="774" t="s">
        <v>17</v>
      </c>
      <c r="S33" s="775">
        <f t="shared" si="12"/>
        <v>100</v>
      </c>
      <c r="T33" s="774" t="s">
        <v>17</v>
      </c>
      <c r="U33" s="775">
        <f t="shared" si="13"/>
        <v>100</v>
      </c>
      <c r="V33" s="774" t="s">
        <v>17</v>
      </c>
      <c r="W33" s="775">
        <f t="shared" si="14"/>
        <v>100</v>
      </c>
      <c r="X33" s="1816"/>
      <c r="Y33" s="326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9"/>
      <c r="Q34" s="1813">
        <f t="shared" si="11"/>
        <v>111</v>
      </c>
      <c r="R34" s="774" t="s">
        <v>17</v>
      </c>
      <c r="S34" s="775">
        <f t="shared" si="12"/>
        <v>100</v>
      </c>
      <c r="T34" s="774" t="s">
        <v>17</v>
      </c>
      <c r="U34" s="775">
        <f t="shared" si="13"/>
        <v>100</v>
      </c>
      <c r="V34" s="774" t="s">
        <v>17</v>
      </c>
      <c r="W34" s="775">
        <f t="shared" si="14"/>
        <v>100</v>
      </c>
      <c r="X34" s="1816"/>
      <c r="Y34" s="326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9"/>
      <c r="Q35" s="776">
        <f t="shared" si="11"/>
        <v>111</v>
      </c>
      <c r="R35" s="777" t="s">
        <v>17</v>
      </c>
      <c r="S35" s="778">
        <f t="shared" si="12"/>
        <v>100</v>
      </c>
      <c r="T35" s="777" t="s">
        <v>17</v>
      </c>
      <c r="U35" s="778">
        <f t="shared" si="13"/>
        <v>100</v>
      </c>
      <c r="V35" s="777" t="s">
        <v>17</v>
      </c>
      <c r="W35" s="778">
        <f t="shared" si="14"/>
        <v>100</v>
      </c>
      <c r="X35" s="779"/>
      <c r="Y35" s="326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9"/>
      <c r="Q36" s="1813">
        <f t="shared" si="11"/>
        <v>111</v>
      </c>
      <c r="R36" s="774" t="s">
        <v>17</v>
      </c>
      <c r="S36" s="775">
        <f t="shared" si="12"/>
        <v>100</v>
      </c>
      <c r="T36" s="774" t="s">
        <v>17</v>
      </c>
      <c r="U36" s="775">
        <f t="shared" si="13"/>
        <v>100</v>
      </c>
      <c r="V36" s="774" t="s">
        <v>17</v>
      </c>
      <c r="W36" s="775">
        <f t="shared" si="14"/>
        <v>100</v>
      </c>
      <c r="X36" s="1816"/>
      <c r="Y36" s="3269"/>
      <c r="Z36" s="1817">
        <f t="shared" si="15"/>
        <v>111</v>
      </c>
      <c r="AA36" s="1814">
        <f t="shared" si="3"/>
        <v>1</v>
      </c>
      <c r="AB36" s="1814">
        <f t="shared" si="4"/>
        <v>1</v>
      </c>
      <c r="AC36" s="1814">
        <f t="shared" si="5"/>
        <v>1</v>
      </c>
    </row>
    <row r="37" spans="1:29" ht="15">
      <c r="A37" s="479" t="s">
        <v>2725</v>
      </c>
      <c r="B37" s="2699" t="s">
        <v>2726</v>
      </c>
      <c r="C37" s="1410" t="s">
        <v>1</v>
      </c>
      <c r="D37" s="1411"/>
      <c r="E37" s="1412"/>
      <c r="F37" s="1413"/>
      <c r="G37" s="1414"/>
      <c r="H37" s="1415"/>
      <c r="I37" s="1412"/>
      <c r="J37" s="1415"/>
      <c r="K37" s="619"/>
      <c r="L37" s="1146"/>
      <c r="M37" s="1147"/>
      <c r="N37" s="1134"/>
      <c r="O37" s="1147"/>
      <c r="P37" s="3262" t="str">
        <f>A37</f>
        <v>成交单价</v>
      </c>
      <c r="Q37" s="3262"/>
      <c r="R37" s="3263">
        <f>E37</f>
        <v>0</v>
      </c>
      <c r="S37" s="3263"/>
      <c r="T37" s="3263">
        <f>G37</f>
        <v>0</v>
      </c>
      <c r="U37" s="3263"/>
      <c r="V37" s="3263">
        <f>I37</f>
        <v>0</v>
      </c>
      <c r="W37" s="3263"/>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59" t="str">
        <f>A39</f>
        <v>估价对象XX用房的比较价值（楼面单价，元/平方米）</v>
      </c>
      <c r="Q39" s="3260"/>
      <c r="R39" s="3261" t="e">
        <f>IF(F1="售价",ROUND(AVERAGE(R38:V38),0),ROUND(AVERAGE(R38:V38),1))</f>
        <v>#DIV/0!</v>
      </c>
      <c r="S39" s="3261"/>
      <c r="T39" s="3261"/>
      <c r="U39" s="3261"/>
      <c r="V39" s="3261"/>
      <c r="W39" s="326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2" sqref="H4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0"/>
      <c r="D2" s="1127" t="e">
        <f ca="1">SUMIF(INDIRECT("'"&amp;F2&amp;"'"&amp;"!A:A"),"承租人权益价值",INDIRECT("'"&amp;F2&amp;"'"&amp;"!c:c"))</f>
        <v>#REF!</v>
      </c>
      <c r="E2" s="2591" t="s">
        <v>2333</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45" t="s">
        <v>2651</v>
      </c>
      <c r="D4" s="3246"/>
      <c r="E4" s="3247" t="s">
        <v>2652</v>
      </c>
      <c r="F4" s="3248"/>
      <c r="G4" s="3245" t="s">
        <v>2653</v>
      </c>
      <c r="H4" s="3246"/>
      <c r="I4" s="3245" t="s">
        <v>2654</v>
      </c>
      <c r="J4" s="3246"/>
      <c r="K4" s="610" t="s">
        <v>2655</v>
      </c>
      <c r="L4" s="1133"/>
      <c r="M4" s="1134"/>
      <c r="N4" s="1134"/>
      <c r="O4" s="1134"/>
      <c r="P4" s="3249" t="s">
        <v>2656</v>
      </c>
      <c r="Q4" s="3250"/>
      <c r="R4" s="3232" t="s">
        <v>2652</v>
      </c>
      <c r="S4" s="3233"/>
      <c r="T4" s="3232" t="s">
        <v>2653</v>
      </c>
      <c r="U4" s="3233"/>
      <c r="V4" s="3257" t="s">
        <v>2654</v>
      </c>
      <c r="W4" s="3257"/>
      <c r="X4" s="1816"/>
      <c r="Y4" s="3232" t="s">
        <v>2656</v>
      </c>
      <c r="Z4" s="3233"/>
      <c r="AA4" s="3227" t="s">
        <v>2652</v>
      </c>
      <c r="AB4" s="3228" t="s">
        <v>2653</v>
      </c>
      <c r="AC4" s="3227" t="s">
        <v>2654</v>
      </c>
    </row>
    <row r="5" spans="1:29" ht="15">
      <c r="A5" s="404"/>
      <c r="B5" s="405"/>
      <c r="C5" s="3238" t="s">
        <v>2547</v>
      </c>
      <c r="D5" s="3239"/>
      <c r="E5" s="3236" t="s">
        <v>2548</v>
      </c>
      <c r="F5" s="3237"/>
      <c r="G5" s="3238" t="s">
        <v>2549</v>
      </c>
      <c r="H5" s="3239"/>
      <c r="I5" s="3238" t="s">
        <v>2550</v>
      </c>
      <c r="J5" s="3239"/>
      <c r="K5" s="610"/>
      <c r="L5" s="1133"/>
      <c r="M5" s="1134"/>
      <c r="N5" s="1134"/>
      <c r="O5" s="1134"/>
      <c r="P5" s="3251"/>
      <c r="Q5" s="3252"/>
      <c r="R5" s="3234"/>
      <c r="S5" s="3235"/>
      <c r="T5" s="3234"/>
      <c r="U5" s="3235"/>
      <c r="V5" s="3257"/>
      <c r="W5" s="3257"/>
      <c r="X5" s="1816"/>
      <c r="Y5" s="3234"/>
      <c r="Z5" s="3235"/>
      <c r="AA5" s="3228"/>
      <c r="AB5" s="3228"/>
      <c r="AC5" s="3228"/>
    </row>
    <row r="6" spans="1:29" ht="15.75" thickBot="1">
      <c r="A6" s="406"/>
      <c r="B6" s="407"/>
      <c r="C6" s="3240" t="s">
        <v>2551</v>
      </c>
      <c r="D6" s="3241"/>
      <c r="E6" s="3242" t="s">
        <v>2551</v>
      </c>
      <c r="F6" s="3243"/>
      <c r="G6" s="3240" t="s">
        <v>2551</v>
      </c>
      <c r="H6" s="3241"/>
      <c r="I6" s="3240" t="s">
        <v>2551</v>
      </c>
      <c r="J6" s="3241"/>
      <c r="K6" s="610" t="s">
        <v>2552</v>
      </c>
      <c r="L6" s="1133"/>
      <c r="M6" s="1134"/>
      <c r="N6" s="1134"/>
      <c r="O6" s="1134"/>
      <c r="P6" s="3253"/>
      <c r="Q6" s="3254"/>
      <c r="R6" s="3234"/>
      <c r="S6" s="3235"/>
      <c r="T6" s="3255"/>
      <c r="U6" s="3256"/>
      <c r="V6" s="3257"/>
      <c r="W6" s="3257"/>
      <c r="X6" s="1816"/>
      <c r="Y6" s="3255"/>
      <c r="Z6" s="3256"/>
      <c r="AA6" s="3229"/>
      <c r="AB6" s="3229"/>
      <c r="AC6" s="3229"/>
    </row>
    <row r="7" spans="1:29" s="117" customFormat="1" ht="15.75" thickBot="1">
      <c r="A7" s="408" t="s">
        <v>2553</v>
      </c>
      <c r="B7" s="409"/>
      <c r="C7" s="410">
        <f>'数据-取费表'!B2</f>
        <v>43236</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30" t="s">
        <v>2554</v>
      </c>
      <c r="Q7" s="3258"/>
      <c r="R7" s="770" t="s">
        <v>17</v>
      </c>
      <c r="S7" s="771">
        <f t="shared" ref="S7:S14" si="0">F7</f>
        <v>0</v>
      </c>
      <c r="T7" s="770" t="s">
        <v>17</v>
      </c>
      <c r="U7" s="771">
        <f t="shared" ref="U7:U14" si="1">H7</f>
        <v>0</v>
      </c>
      <c r="V7" s="770" t="s">
        <v>17</v>
      </c>
      <c r="W7" s="771">
        <f t="shared" ref="W7:W14" si="2">J7</f>
        <v>0</v>
      </c>
      <c r="X7" s="772"/>
      <c r="Y7" s="3230" t="s">
        <v>2554</v>
      </c>
      <c r="Z7" s="3231"/>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2" t="s">
        <v>2560</v>
      </c>
      <c r="Q9" s="1798" t="str">
        <f t="shared" ref="Q9:Q14" si="6">B9</f>
        <v>用途</v>
      </c>
      <c r="R9" s="770" t="s">
        <v>17</v>
      </c>
      <c r="S9" s="771">
        <f t="shared" si="0"/>
        <v>100</v>
      </c>
      <c r="T9" s="770" t="s">
        <v>17</v>
      </c>
      <c r="U9" s="771">
        <f t="shared" si="1"/>
        <v>100</v>
      </c>
      <c r="V9" s="770" t="s">
        <v>17</v>
      </c>
      <c r="W9" s="771">
        <f t="shared" si="2"/>
        <v>100</v>
      </c>
      <c r="X9" s="772"/>
      <c r="Y9" s="3053"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2"/>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2"/>
      <c r="Q11" s="1798">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2"/>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40" t="s">
        <v>2564</v>
      </c>
      <c r="B14" s="69" t="s">
        <v>2714</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4" t="s">
        <v>2565</v>
      </c>
      <c r="Q14" s="1813" t="str">
        <f t="shared" si="6"/>
        <v>交通便捷度</v>
      </c>
      <c r="R14" s="774" t="s">
        <v>17</v>
      </c>
      <c r="S14" s="775">
        <f t="shared" si="0"/>
        <v>100</v>
      </c>
      <c r="T14" s="774" t="s">
        <v>17</v>
      </c>
      <c r="U14" s="775">
        <f t="shared" si="1"/>
        <v>100</v>
      </c>
      <c r="V14" s="774" t="s">
        <v>17</v>
      </c>
      <c r="W14" s="775">
        <f t="shared" si="2"/>
        <v>100</v>
      </c>
      <c r="X14" s="1816"/>
      <c r="Y14" s="3264"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5"/>
      <c r="Q15" s="1813"/>
      <c r="R15" s="774"/>
      <c r="S15" s="775"/>
      <c r="T15" s="774"/>
      <c r="U15" s="775"/>
      <c r="V15" s="774"/>
      <c r="W15" s="775"/>
      <c r="X15" s="1816"/>
      <c r="Y15" s="3265"/>
      <c r="Z15" s="1817"/>
      <c r="AA15" s="1814">
        <v>1</v>
      </c>
      <c r="AB15" s="1814">
        <v>1</v>
      </c>
      <c r="AC15" s="1814">
        <v>1</v>
      </c>
    </row>
    <row r="16" spans="1:29" ht="42.75">
      <c r="A16" s="428"/>
      <c r="B16" s="451" t="s">
        <v>2693</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5"/>
      <c r="Q16" s="1813" t="str">
        <f>B16</f>
        <v>公共配套设施</v>
      </c>
      <c r="R16" s="774" t="s">
        <v>17</v>
      </c>
      <c r="S16" s="775">
        <f>F16</f>
        <v>100</v>
      </c>
      <c r="T16" s="774" t="s">
        <v>17</v>
      </c>
      <c r="U16" s="775">
        <f>H16</f>
        <v>100</v>
      </c>
      <c r="V16" s="774" t="s">
        <v>17</v>
      </c>
      <c r="W16" s="775">
        <f>J16</f>
        <v>100</v>
      </c>
      <c r="X16" s="1816"/>
      <c r="Y16" s="3265"/>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65"/>
      <c r="Q17" s="1813"/>
      <c r="R17" s="774"/>
      <c r="S17" s="775"/>
      <c r="T17" s="774"/>
      <c r="U17" s="775"/>
      <c r="V17" s="774"/>
      <c r="W17" s="775"/>
      <c r="X17" s="1816"/>
      <c r="Y17" s="3265"/>
      <c r="Z17" s="1817"/>
      <c r="AA17" s="1814">
        <v>1</v>
      </c>
      <c r="AB17" s="1814">
        <v>1</v>
      </c>
      <c r="AC17" s="1814">
        <v>1</v>
      </c>
    </row>
    <row r="18" spans="1:29" ht="28.5">
      <c r="A18" s="428"/>
      <c r="B18" s="1387" t="s">
        <v>2694</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5"/>
      <c r="Q18" s="1813" t="str">
        <f>B18</f>
        <v>基础设施水平</v>
      </c>
      <c r="R18" s="774" t="s">
        <v>17</v>
      </c>
      <c r="S18" s="775">
        <f>F18</f>
        <v>100</v>
      </c>
      <c r="T18" s="774" t="s">
        <v>17</v>
      </c>
      <c r="U18" s="775">
        <f>H18</f>
        <v>100</v>
      </c>
      <c r="V18" s="774" t="s">
        <v>17</v>
      </c>
      <c r="W18" s="775">
        <f>J18</f>
        <v>100</v>
      </c>
      <c r="X18" s="1816"/>
      <c r="Y18" s="3265"/>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65"/>
      <c r="Q19" s="1813"/>
      <c r="R19" s="774"/>
      <c r="S19" s="775"/>
      <c r="T19" s="774"/>
      <c r="U19" s="775"/>
      <c r="V19" s="774"/>
      <c r="W19" s="775"/>
      <c r="X19" s="1816"/>
      <c r="Y19" s="3265"/>
      <c r="Z19" s="1817"/>
      <c r="AA19" s="1814">
        <v>1</v>
      </c>
      <c r="AB19" s="1814">
        <v>1</v>
      </c>
      <c r="AC19" s="1814">
        <v>1</v>
      </c>
    </row>
    <row r="20" spans="1:29" ht="57">
      <c r="A20" s="428"/>
      <c r="B20" s="451" t="s">
        <v>2715</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5"/>
      <c r="Q20" s="1813" t="str">
        <f>B20</f>
        <v>自然及人文环境</v>
      </c>
      <c r="R20" s="774" t="s">
        <v>17</v>
      </c>
      <c r="S20" s="775">
        <f>F20</f>
        <v>100</v>
      </c>
      <c r="T20" s="774" t="s">
        <v>17</v>
      </c>
      <c r="U20" s="775">
        <f>H20</f>
        <v>100</v>
      </c>
      <c r="V20" s="774" t="s">
        <v>17</v>
      </c>
      <c r="W20" s="775">
        <f>J20</f>
        <v>100</v>
      </c>
      <c r="X20" s="1816"/>
      <c r="Y20" s="326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5"/>
      <c r="Q21" s="1813"/>
      <c r="R21" s="774"/>
      <c r="S21" s="775"/>
      <c r="T21" s="774"/>
      <c r="U21" s="775"/>
      <c r="V21" s="774"/>
      <c r="W21" s="775"/>
      <c r="X21" s="1816"/>
      <c r="Y21" s="3265"/>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5"/>
      <c r="Q22" s="1813" t="str">
        <f>B22</f>
        <v>楼层</v>
      </c>
      <c r="R22" s="774" t="s">
        <v>17</v>
      </c>
      <c r="S22" s="775">
        <f>F22</f>
        <v>100</v>
      </c>
      <c r="T22" s="774" t="s">
        <v>17</v>
      </c>
      <c r="U22" s="775">
        <f>H22</f>
        <v>100</v>
      </c>
      <c r="V22" s="774" t="s">
        <v>17</v>
      </c>
      <c r="W22" s="775">
        <f>J22</f>
        <v>100</v>
      </c>
      <c r="X22" s="1816"/>
      <c r="Y22" s="3265"/>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5"/>
      <c r="Q23" s="1813">
        <f>B23</f>
        <v>111</v>
      </c>
      <c r="R23" s="774" t="s">
        <v>17</v>
      </c>
      <c r="S23" s="775">
        <f>F23</f>
        <v>100</v>
      </c>
      <c r="T23" s="774" t="s">
        <v>17</v>
      </c>
      <c r="U23" s="775">
        <f>H23</f>
        <v>100</v>
      </c>
      <c r="V23" s="774" t="s">
        <v>17</v>
      </c>
      <c r="W23" s="775">
        <f>J23</f>
        <v>100</v>
      </c>
      <c r="X23" s="1816"/>
      <c r="Y23" s="3265"/>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5"/>
      <c r="Q24" s="1813">
        <f t="shared" ref="Q24:Q34" si="11">B24</f>
        <v>111</v>
      </c>
      <c r="R24" s="774" t="s">
        <v>17</v>
      </c>
      <c r="S24" s="775">
        <f>F24</f>
        <v>100</v>
      </c>
      <c r="T24" s="774" t="s">
        <v>17</v>
      </c>
      <c r="U24" s="775">
        <f>H24</f>
        <v>100</v>
      </c>
      <c r="V24" s="774" t="s">
        <v>17</v>
      </c>
      <c r="W24" s="775">
        <f>J24</f>
        <v>100</v>
      </c>
      <c r="X24" s="1816"/>
      <c r="Y24" s="3265"/>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65"/>
      <c r="Q25" s="1798">
        <f t="shared" si="11"/>
        <v>111</v>
      </c>
      <c r="R25" s="770" t="s">
        <v>17</v>
      </c>
      <c r="S25" s="771">
        <f>F25</f>
        <v>100</v>
      </c>
      <c r="T25" s="770" t="s">
        <v>17</v>
      </c>
      <c r="U25" s="771">
        <f>H25</f>
        <v>100</v>
      </c>
      <c r="V25" s="770" t="s">
        <v>17</v>
      </c>
      <c r="W25" s="771">
        <f>J25</f>
        <v>100</v>
      </c>
      <c r="X25" s="772"/>
      <c r="Y25" s="3265"/>
      <c r="Z25" s="55">
        <f>Q25</f>
        <v>111</v>
      </c>
      <c r="AA25" s="1814">
        <f>D25/F25</f>
        <v>1</v>
      </c>
      <c r="AB25" s="1814">
        <f>D25/H25</f>
        <v>1</v>
      </c>
      <c r="AC25" s="1814">
        <f>D25/J25</f>
        <v>1</v>
      </c>
    </row>
    <row r="26" spans="1:29" ht="15">
      <c r="A26" s="466" t="s">
        <v>2568</v>
      </c>
      <c r="B26" s="71" t="s">
        <v>2719</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88"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9"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9"/>
      <c r="Q27" s="776" t="str">
        <f t="shared" si="11"/>
        <v>成新率</v>
      </c>
      <c r="R27" s="777" t="s">
        <v>17</v>
      </c>
      <c r="S27" s="778" t="e">
        <f t="shared" si="12"/>
        <v>#N/A</v>
      </c>
      <c r="T27" s="777" t="s">
        <v>17</v>
      </c>
      <c r="U27" s="778" t="e">
        <f t="shared" si="13"/>
        <v>#N/A</v>
      </c>
      <c r="V27" s="777" t="s">
        <v>17</v>
      </c>
      <c r="W27" s="778" t="e">
        <f t="shared" si="14"/>
        <v>#N/A</v>
      </c>
      <c r="X27" s="779"/>
      <c r="Y27" s="3269"/>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9"/>
      <c r="Q28" s="1813" t="str">
        <f t="shared" si="11"/>
        <v>物业等级</v>
      </c>
      <c r="R28" s="774" t="s">
        <v>17</v>
      </c>
      <c r="S28" s="775">
        <f t="shared" si="12"/>
        <v>100</v>
      </c>
      <c r="T28" s="774" t="s">
        <v>17</v>
      </c>
      <c r="U28" s="775">
        <f t="shared" si="13"/>
        <v>100</v>
      </c>
      <c r="V28" s="774" t="s">
        <v>17</v>
      </c>
      <c r="W28" s="775">
        <f t="shared" si="14"/>
        <v>100</v>
      </c>
      <c r="X28" s="1816"/>
      <c r="Y28" s="3269"/>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9"/>
      <c r="Q29" s="1813" t="str">
        <f t="shared" si="11"/>
        <v>有无电梯</v>
      </c>
      <c r="R29" s="774" t="s">
        <v>17</v>
      </c>
      <c r="S29" s="775">
        <f t="shared" si="12"/>
        <v>100</v>
      </c>
      <c r="T29" s="774" t="s">
        <v>17</v>
      </c>
      <c r="U29" s="775">
        <f t="shared" si="13"/>
        <v>100</v>
      </c>
      <c r="V29" s="774" t="s">
        <v>17</v>
      </c>
      <c r="W29" s="775">
        <f t="shared" si="14"/>
        <v>100</v>
      </c>
      <c r="X29" s="1816"/>
      <c r="Y29" s="3269"/>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9"/>
      <c r="Q30" s="1813" t="str">
        <f t="shared" si="11"/>
        <v>建筑面积</v>
      </c>
      <c r="R30" s="774" t="s">
        <v>17</v>
      </c>
      <c r="S30" s="775" t="e">
        <f t="shared" si="12"/>
        <v>#N/A</v>
      </c>
      <c r="T30" s="774" t="s">
        <v>17</v>
      </c>
      <c r="U30" s="775" t="e">
        <f t="shared" si="13"/>
        <v>#N/A</v>
      </c>
      <c r="V30" s="774" t="s">
        <v>17</v>
      </c>
      <c r="W30" s="775" t="e">
        <f t="shared" si="14"/>
        <v>#N/A</v>
      </c>
      <c r="X30" s="1816"/>
      <c r="Y30" s="3269"/>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9"/>
      <c r="Q31" s="1798" t="str">
        <f t="shared" si="11"/>
        <v>是否封闭</v>
      </c>
      <c r="R31" s="770" t="s">
        <v>17</v>
      </c>
      <c r="S31" s="771">
        <f t="shared" si="12"/>
        <v>100</v>
      </c>
      <c r="T31" s="770" t="s">
        <v>17</v>
      </c>
      <c r="U31" s="771">
        <f t="shared" si="13"/>
        <v>100</v>
      </c>
      <c r="V31" s="770" t="s">
        <v>17</v>
      </c>
      <c r="W31" s="771">
        <f t="shared" si="14"/>
        <v>100</v>
      </c>
      <c r="X31" s="772"/>
      <c r="Y31" s="326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9" t="s">
        <v>2570</v>
      </c>
      <c r="Q32" s="1813">
        <f t="shared" si="11"/>
        <v>111</v>
      </c>
      <c r="R32" s="774" t="s">
        <v>17</v>
      </c>
      <c r="S32" s="775">
        <f t="shared" si="12"/>
        <v>100</v>
      </c>
      <c r="T32" s="774" t="s">
        <v>17</v>
      </c>
      <c r="U32" s="775">
        <f t="shared" si="13"/>
        <v>100</v>
      </c>
      <c r="V32" s="774" t="s">
        <v>17</v>
      </c>
      <c r="W32" s="775">
        <f t="shared" si="14"/>
        <v>100</v>
      </c>
      <c r="X32" s="1816"/>
      <c r="Y32" s="3269" t="s">
        <v>2570</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9"/>
      <c r="Q33" s="1813">
        <f t="shared" si="11"/>
        <v>111</v>
      </c>
      <c r="R33" s="774" t="s">
        <v>17</v>
      </c>
      <c r="S33" s="775">
        <f t="shared" si="12"/>
        <v>100</v>
      </c>
      <c r="T33" s="774" t="s">
        <v>17</v>
      </c>
      <c r="U33" s="775">
        <f t="shared" si="13"/>
        <v>100</v>
      </c>
      <c r="V33" s="774" t="s">
        <v>17</v>
      </c>
      <c r="W33" s="775">
        <f t="shared" si="14"/>
        <v>100</v>
      </c>
      <c r="X33" s="1816"/>
      <c r="Y33" s="3269"/>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69"/>
      <c r="Q34" s="1813">
        <f t="shared" si="11"/>
        <v>111</v>
      </c>
      <c r="R34" s="774" t="s">
        <v>17</v>
      </c>
      <c r="S34" s="775">
        <f t="shared" si="12"/>
        <v>100</v>
      </c>
      <c r="T34" s="774" t="s">
        <v>17</v>
      </c>
      <c r="U34" s="775">
        <f t="shared" si="13"/>
        <v>100</v>
      </c>
      <c r="V34" s="774" t="s">
        <v>17</v>
      </c>
      <c r="W34" s="775">
        <f t="shared" si="14"/>
        <v>100</v>
      </c>
      <c r="X34" s="1816"/>
      <c r="Y34" s="3269"/>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62" t="str">
        <f>A35</f>
        <v>成交单价（元/平方米）</v>
      </c>
      <c r="Q35" s="3262"/>
      <c r="R35" s="3263">
        <f>E35</f>
        <v>0</v>
      </c>
      <c r="S35" s="3263"/>
      <c r="T35" s="3263">
        <f>G35</f>
        <v>0</v>
      </c>
      <c r="U35" s="3263"/>
      <c r="V35" s="3263">
        <f>I35</f>
        <v>0</v>
      </c>
      <c r="W35" s="3263"/>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62" t="str">
        <f>A36</f>
        <v>比较价值（元/平方米）</v>
      </c>
      <c r="Q36" s="326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42" sqref="H4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45" t="s">
        <v>2651</v>
      </c>
      <c r="D4" s="3246"/>
      <c r="E4" s="3247" t="s">
        <v>2652</v>
      </c>
      <c r="F4" s="3248"/>
      <c r="G4" s="3245" t="s">
        <v>2653</v>
      </c>
      <c r="H4" s="3246"/>
      <c r="I4" s="3245" t="s">
        <v>2654</v>
      </c>
      <c r="J4" s="3246"/>
      <c r="K4" s="610" t="s">
        <v>2655</v>
      </c>
      <c r="L4" s="1133"/>
      <c r="M4" s="1134"/>
      <c r="N4" s="1134"/>
      <c r="O4" s="1134"/>
      <c r="P4" s="3249" t="s">
        <v>2656</v>
      </c>
      <c r="Q4" s="3250"/>
      <c r="R4" s="3232" t="s">
        <v>2652</v>
      </c>
      <c r="S4" s="3233"/>
      <c r="T4" s="3232" t="s">
        <v>2653</v>
      </c>
      <c r="U4" s="3233"/>
      <c r="V4" s="3257" t="s">
        <v>2654</v>
      </c>
      <c r="W4" s="3257"/>
      <c r="X4" s="1816"/>
      <c r="Y4" s="3232" t="s">
        <v>2656</v>
      </c>
      <c r="Z4" s="3233"/>
      <c r="AA4" s="3227" t="s">
        <v>2652</v>
      </c>
      <c r="AB4" s="3228" t="s">
        <v>2653</v>
      </c>
      <c r="AC4" s="3227" t="s">
        <v>2654</v>
      </c>
    </row>
    <row r="5" spans="1:30" ht="15">
      <c r="A5" s="404"/>
      <c r="B5" s="405"/>
      <c r="C5" s="3238" t="s">
        <v>2547</v>
      </c>
      <c r="D5" s="3239"/>
      <c r="E5" s="3236" t="s">
        <v>2548</v>
      </c>
      <c r="F5" s="3237"/>
      <c r="G5" s="3238" t="s">
        <v>2549</v>
      </c>
      <c r="H5" s="3239"/>
      <c r="I5" s="3238" t="s">
        <v>2550</v>
      </c>
      <c r="J5" s="3239"/>
      <c r="K5" s="610"/>
      <c r="L5" s="1133"/>
      <c r="M5" s="1134"/>
      <c r="N5" s="1134"/>
      <c r="O5" s="1134"/>
      <c r="P5" s="3251"/>
      <c r="Q5" s="3252"/>
      <c r="R5" s="3234"/>
      <c r="S5" s="3235"/>
      <c r="T5" s="3234"/>
      <c r="U5" s="3235"/>
      <c r="V5" s="3257"/>
      <c r="W5" s="3257"/>
      <c r="X5" s="1816"/>
      <c r="Y5" s="3234"/>
      <c r="Z5" s="3235"/>
      <c r="AA5" s="3228"/>
      <c r="AB5" s="3228"/>
      <c r="AC5" s="3228"/>
    </row>
    <row r="6" spans="1:30" ht="15.75" thickBot="1">
      <c r="A6" s="406"/>
      <c r="B6" s="407"/>
      <c r="C6" s="3240" t="s">
        <v>2551</v>
      </c>
      <c r="D6" s="3241"/>
      <c r="E6" s="3242" t="s">
        <v>2551</v>
      </c>
      <c r="F6" s="3243"/>
      <c r="G6" s="3240" t="s">
        <v>2551</v>
      </c>
      <c r="H6" s="3241"/>
      <c r="I6" s="3240" t="s">
        <v>2551</v>
      </c>
      <c r="J6" s="3241"/>
      <c r="K6" s="610" t="s">
        <v>2552</v>
      </c>
      <c r="L6" s="1133"/>
      <c r="M6" s="1134"/>
      <c r="N6" s="1134"/>
      <c r="O6" s="1134"/>
      <c r="P6" s="3253"/>
      <c r="Q6" s="3254"/>
      <c r="R6" s="3234"/>
      <c r="S6" s="3235"/>
      <c r="T6" s="3255"/>
      <c r="U6" s="3256"/>
      <c r="V6" s="3257"/>
      <c r="W6" s="3257"/>
      <c r="X6" s="1816"/>
      <c r="Y6" s="3255"/>
      <c r="Z6" s="3256"/>
      <c r="AA6" s="3229"/>
      <c r="AB6" s="3229"/>
      <c r="AC6" s="3229"/>
    </row>
    <row r="7" spans="1:30" s="117" customFormat="1" ht="15.75" thickBot="1">
      <c r="A7" s="408" t="s">
        <v>2553</v>
      </c>
      <c r="B7" s="409"/>
      <c r="C7" s="410">
        <f>'数据-取费表'!B2</f>
        <v>43236</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30" t="s">
        <v>2554</v>
      </c>
      <c r="Q7" s="3258"/>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45" si="3">D8/F8</f>
        <v>#DIV/0!</v>
      </c>
      <c r="AB8" s="773" t="e">
        <f t="shared" ref="AB8:AB45" si="4">D8/H8</f>
        <v>#DIV/0!</v>
      </c>
      <c r="AC8" s="773" t="e">
        <f t="shared" ref="AC8:AC45" si="5">D8/J8</f>
        <v>#DIV/0!</v>
      </c>
    </row>
    <row r="9" spans="1:30" s="117" customFormat="1">
      <c r="A9" s="415" t="s">
        <v>2558</v>
      </c>
      <c r="B9" s="71" t="s">
        <v>2559</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62" t="s">
        <v>2560</v>
      </c>
      <c r="Q9" s="1798" t="str">
        <f t="shared" ref="Q9:Q15" si="6">B9</f>
        <v>用途</v>
      </c>
      <c r="R9" s="770" t="s">
        <v>17</v>
      </c>
      <c r="S9" s="771">
        <f t="shared" si="0"/>
        <v>100</v>
      </c>
      <c r="T9" s="770" t="s">
        <v>17</v>
      </c>
      <c r="U9" s="771">
        <f t="shared" si="1"/>
        <v>100</v>
      </c>
      <c r="V9" s="770" t="s">
        <v>17</v>
      </c>
      <c r="W9" s="771">
        <f t="shared" si="2"/>
        <v>100</v>
      </c>
      <c r="X9" s="772"/>
      <c r="Y9" s="3053"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172</v>
      </c>
      <c r="G10" s="463"/>
      <c r="H10" s="136">
        <f>ROUND(100/'数据-取费表'!G16,0)</f>
        <v>172</v>
      </c>
      <c r="I10" s="463"/>
      <c r="J10" s="136">
        <f>ROUND(100/'数据-取费表'!G16,0)</f>
        <v>172</v>
      </c>
      <c r="K10" s="672"/>
      <c r="L10" s="1138"/>
      <c r="M10" s="1139"/>
      <c r="N10" s="1139"/>
      <c r="O10" s="1140"/>
      <c r="P10" s="3262"/>
      <c r="Q10" s="1798" t="str">
        <f t="shared" si="6"/>
        <v>土地使用年限（年）</v>
      </c>
      <c r="R10" s="770" t="s">
        <v>17</v>
      </c>
      <c r="S10" s="771">
        <f t="shared" si="0"/>
        <v>172</v>
      </c>
      <c r="T10" s="770" t="s">
        <v>17</v>
      </c>
      <c r="U10" s="771">
        <f t="shared" si="1"/>
        <v>172</v>
      </c>
      <c r="V10" s="770" t="s">
        <v>17</v>
      </c>
      <c r="W10" s="771">
        <f t="shared" si="2"/>
        <v>172</v>
      </c>
      <c r="X10" s="772"/>
      <c r="Y10" s="3053"/>
      <c r="Z10" s="55" t="str">
        <f t="shared" si="7"/>
        <v>土地使用年限（年）</v>
      </c>
      <c r="AA10" s="773">
        <f t="shared" si="3"/>
        <v>0.58139534883720934</v>
      </c>
      <c r="AB10" s="773">
        <f t="shared" si="4"/>
        <v>0.58139534883720934</v>
      </c>
      <c r="AC10" s="773">
        <f t="shared" si="5"/>
        <v>0.58139534883720934</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62"/>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30" s="117" customFormat="1" ht="15">
      <c r="A12" s="431"/>
      <c r="B12" s="2604"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2"/>
      <c r="Q12" s="1798"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2"/>
      <c r="Q14" s="1798">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99.75">
      <c r="A15" s="440" t="s">
        <v>2564</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4" t="s">
        <v>2565</v>
      </c>
      <c r="Q15" s="1813" t="str">
        <f t="shared" si="6"/>
        <v>居住社区成熟度</v>
      </c>
      <c r="R15" s="774" t="s">
        <v>17</v>
      </c>
      <c r="S15" s="775">
        <f t="shared" si="0"/>
        <v>100</v>
      </c>
      <c r="T15" s="774" t="s">
        <v>17</v>
      </c>
      <c r="U15" s="775">
        <f t="shared" si="1"/>
        <v>100</v>
      </c>
      <c r="V15" s="774" t="s">
        <v>17</v>
      </c>
      <c r="W15" s="775">
        <f t="shared" si="2"/>
        <v>100</v>
      </c>
      <c r="X15" s="1816"/>
      <c r="Y15" s="3264" t="s">
        <v>2565</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65"/>
      <c r="Q16" s="1813"/>
      <c r="R16" s="774"/>
      <c r="S16" s="775"/>
      <c r="T16" s="774"/>
      <c r="U16" s="775"/>
      <c r="V16" s="774"/>
      <c r="W16" s="775"/>
      <c r="X16" s="1816"/>
      <c r="Y16" s="3265"/>
      <c r="Z16" s="1817"/>
      <c r="AA16" s="1814">
        <v>1</v>
      </c>
      <c r="AB16" s="1814">
        <v>1</v>
      </c>
      <c r="AC16" s="1814">
        <v>1</v>
      </c>
    </row>
    <row r="17" spans="1:29" ht="71.25">
      <c r="A17" s="428"/>
      <c r="B17" s="451" t="s">
        <v>2658</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5"/>
      <c r="Q17" s="1813" t="str">
        <f>B17</f>
        <v>商业繁华度</v>
      </c>
      <c r="R17" s="774" t="s">
        <v>17</v>
      </c>
      <c r="S17" s="775">
        <f>F17</f>
        <v>100</v>
      </c>
      <c r="T17" s="774" t="s">
        <v>17</v>
      </c>
      <c r="U17" s="775">
        <f>H17</f>
        <v>100</v>
      </c>
      <c r="V17" s="774" t="s">
        <v>17</v>
      </c>
      <c r="W17" s="775">
        <f>J17</f>
        <v>100</v>
      </c>
      <c r="X17" s="1816"/>
      <c r="Y17" s="3265"/>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65"/>
      <c r="Q18" s="1813"/>
      <c r="R18" s="774"/>
      <c r="S18" s="775"/>
      <c r="T18" s="774"/>
      <c r="U18" s="775"/>
      <c r="V18" s="774"/>
      <c r="W18" s="775"/>
      <c r="X18" s="1816"/>
      <c r="Y18" s="3265"/>
      <c r="Z18" s="1817"/>
      <c r="AA18" s="1814">
        <v>1</v>
      </c>
      <c r="AB18" s="1814">
        <v>1</v>
      </c>
      <c r="AC18" s="1814">
        <v>1</v>
      </c>
    </row>
    <row r="19" spans="1:29" ht="71.25">
      <c r="A19" s="428"/>
      <c r="B19" s="451" t="s">
        <v>2692</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5"/>
      <c r="Q19" s="1813" t="str">
        <f>B19</f>
        <v>办公集聚程度</v>
      </c>
      <c r="R19" s="774" t="s">
        <v>17</v>
      </c>
      <c r="S19" s="775">
        <f>F19</f>
        <v>100</v>
      </c>
      <c r="T19" s="774" t="s">
        <v>17</v>
      </c>
      <c r="U19" s="775">
        <f>H19</f>
        <v>100</v>
      </c>
      <c r="V19" s="774" t="s">
        <v>17</v>
      </c>
      <c r="W19" s="775">
        <f>J19</f>
        <v>100</v>
      </c>
      <c r="X19" s="1816"/>
      <c r="Y19" s="3265"/>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65"/>
      <c r="Q20" s="1813"/>
      <c r="R20" s="774"/>
      <c r="S20" s="775"/>
      <c r="T20" s="774"/>
      <c r="U20" s="775"/>
      <c r="V20" s="774"/>
      <c r="W20" s="775"/>
      <c r="X20" s="1816"/>
      <c r="Y20" s="3265"/>
      <c r="Z20" s="1817"/>
      <c r="AA20" s="1814">
        <v>1</v>
      </c>
      <c r="AB20" s="1814">
        <v>1</v>
      </c>
      <c r="AC20" s="1814">
        <v>1</v>
      </c>
    </row>
    <row r="21" spans="1:29" ht="85.5">
      <c r="A21" s="428"/>
      <c r="B21" s="451" t="s">
        <v>2714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5"/>
      <c r="Q21" s="1813" t="str">
        <f>B21</f>
        <v>交通便捷度</v>
      </c>
      <c r="R21" s="774" t="s">
        <v>17</v>
      </c>
      <c r="S21" s="775">
        <f>F21</f>
        <v>100</v>
      </c>
      <c r="T21" s="774" t="s">
        <v>17</v>
      </c>
      <c r="U21" s="775">
        <f>H21</f>
        <v>100</v>
      </c>
      <c r="V21" s="774" t="s">
        <v>17</v>
      </c>
      <c r="W21" s="775">
        <f>J21</f>
        <v>100</v>
      </c>
      <c r="X21" s="1816"/>
      <c r="Y21" s="3265"/>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65"/>
      <c r="Q22" s="1813"/>
      <c r="R22" s="774"/>
      <c r="S22" s="775"/>
      <c r="T22" s="774"/>
      <c r="U22" s="775"/>
      <c r="V22" s="774"/>
      <c r="W22" s="775"/>
      <c r="X22" s="1816"/>
      <c r="Y22" s="3265"/>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5"/>
      <c r="Q23" s="1813" t="str">
        <f t="shared" ref="Q23:Q37" si="8">B23</f>
        <v>区域土地利用方向</v>
      </c>
      <c r="R23" s="774" t="s">
        <v>17</v>
      </c>
      <c r="S23" s="775">
        <f>F23</f>
        <v>100</v>
      </c>
      <c r="T23" s="774" t="s">
        <v>17</v>
      </c>
      <c r="U23" s="775">
        <f>H23</f>
        <v>100</v>
      </c>
      <c r="V23" s="774" t="s">
        <v>17</v>
      </c>
      <c r="W23" s="775">
        <f>J23</f>
        <v>100</v>
      </c>
      <c r="X23" s="1816"/>
      <c r="Y23" s="3265"/>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65"/>
      <c r="Q24" s="1813"/>
      <c r="R24" s="774"/>
      <c r="S24" s="775"/>
      <c r="T24" s="774"/>
      <c r="U24" s="775"/>
      <c r="V24" s="774"/>
      <c r="W24" s="775"/>
      <c r="X24" s="1816"/>
      <c r="Y24" s="3265"/>
      <c r="Z24" s="1817"/>
      <c r="AA24" s="1814"/>
      <c r="AB24" s="1814"/>
      <c r="AC24" s="1814"/>
    </row>
    <row r="25" spans="1:29" ht="57">
      <c r="A25" s="404"/>
      <c r="B25" s="1387" t="s">
        <v>2754</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5"/>
      <c r="Q25" s="1813" t="str">
        <f t="shared" si="8"/>
        <v>自然及人文环境状况</v>
      </c>
      <c r="R25" s="774" t="s">
        <v>17</v>
      </c>
      <c r="S25" s="775">
        <f>F25</f>
        <v>100</v>
      </c>
      <c r="T25" s="774" t="s">
        <v>17</v>
      </c>
      <c r="U25" s="775">
        <f>H25</f>
        <v>100</v>
      </c>
      <c r="V25" s="774" t="s">
        <v>17</v>
      </c>
      <c r="W25" s="775">
        <f>J25</f>
        <v>100</v>
      </c>
      <c r="X25" s="1816"/>
      <c r="Y25" s="3265"/>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65"/>
      <c r="Q26" s="1813"/>
      <c r="R26" s="774"/>
      <c r="S26" s="775"/>
      <c r="T26" s="774"/>
      <c r="U26" s="775"/>
      <c r="V26" s="774"/>
      <c r="W26" s="775"/>
      <c r="X26" s="1816"/>
      <c r="Y26" s="3265"/>
      <c r="Z26" s="1817"/>
      <c r="AA26" s="1814">
        <v>1</v>
      </c>
      <c r="AB26" s="1814">
        <v>1</v>
      </c>
      <c r="AC26" s="1814">
        <v>1</v>
      </c>
    </row>
    <row r="27" spans="1:29" s="117" customFormat="1" ht="42.75">
      <c r="A27" s="649"/>
      <c r="B27" s="1387" t="s">
        <v>2659</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5"/>
      <c r="Q27" s="1798" t="str">
        <f t="shared" si="8"/>
        <v>公共配套设施</v>
      </c>
      <c r="R27" s="770" t="s">
        <v>17</v>
      </c>
      <c r="S27" s="771">
        <f>F27</f>
        <v>100</v>
      </c>
      <c r="T27" s="770" t="s">
        <v>17</v>
      </c>
      <c r="U27" s="771">
        <f>H27</f>
        <v>100</v>
      </c>
      <c r="V27" s="770" t="s">
        <v>17</v>
      </c>
      <c r="W27" s="771">
        <f>J27</f>
        <v>100</v>
      </c>
      <c r="X27" s="772"/>
      <c r="Y27" s="3265"/>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65"/>
      <c r="Q28" s="1798"/>
      <c r="R28" s="770"/>
      <c r="S28" s="771"/>
      <c r="T28" s="770"/>
      <c r="U28" s="771"/>
      <c r="V28" s="770"/>
      <c r="W28" s="771"/>
      <c r="X28" s="772"/>
      <c r="Y28" s="3265"/>
      <c r="Z28" s="55"/>
      <c r="AA28" s="1814">
        <v>1</v>
      </c>
      <c r="AB28" s="1814">
        <v>1</v>
      </c>
      <c r="AC28" s="1814">
        <v>1</v>
      </c>
    </row>
    <row r="29" spans="1:29" s="117" customFormat="1" ht="28.5">
      <c r="A29" s="649"/>
      <c r="B29" s="1387" t="s">
        <v>2660</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5"/>
      <c r="Q29" s="1798" t="str">
        <f t="shared" ref="Q29" si="9">B29</f>
        <v>基础设施水平</v>
      </c>
      <c r="R29" s="770" t="s">
        <v>17</v>
      </c>
      <c r="S29" s="771">
        <f>F29</f>
        <v>100</v>
      </c>
      <c r="T29" s="770" t="s">
        <v>17</v>
      </c>
      <c r="U29" s="771">
        <f>H29</f>
        <v>100</v>
      </c>
      <c r="V29" s="770" t="s">
        <v>17</v>
      </c>
      <c r="W29" s="771">
        <f>J29</f>
        <v>100</v>
      </c>
      <c r="X29" s="772"/>
      <c r="Y29" s="3265"/>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65"/>
      <c r="Q30" s="1798"/>
      <c r="R30" s="770"/>
      <c r="S30" s="771"/>
      <c r="T30" s="770"/>
      <c r="U30" s="771"/>
      <c r="V30" s="770"/>
      <c r="W30" s="771"/>
      <c r="X30" s="772"/>
      <c r="Y30" s="3265"/>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5"/>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5"/>
      <c r="Q32" s="1813" t="str">
        <f t="shared" si="8"/>
        <v>毗邻道路的类型与等级</v>
      </c>
      <c r="R32" s="774" t="s">
        <v>17</v>
      </c>
      <c r="S32" s="775">
        <f t="shared" si="10"/>
        <v>100</v>
      </c>
      <c r="T32" s="774" t="s">
        <v>17</v>
      </c>
      <c r="U32" s="775">
        <f t="shared" si="11"/>
        <v>100</v>
      </c>
      <c r="V32" s="774" t="s">
        <v>17</v>
      </c>
      <c r="W32" s="775">
        <f t="shared" si="12"/>
        <v>100</v>
      </c>
      <c r="X32" s="1816"/>
      <c r="Y32" s="3265"/>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65"/>
      <c r="Q33" s="1813"/>
      <c r="R33" s="774"/>
      <c r="S33" s="775"/>
      <c r="T33" s="774"/>
      <c r="U33" s="775"/>
      <c r="V33" s="774"/>
      <c r="W33" s="775"/>
      <c r="X33" s="1816"/>
      <c r="Y33" s="3265"/>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5"/>
      <c r="Q34" s="1813" t="str">
        <f t="shared" si="8"/>
        <v>土地级别</v>
      </c>
      <c r="R34" s="774" t="s">
        <v>17</v>
      </c>
      <c r="S34" s="775">
        <f t="shared" si="10"/>
        <v>100</v>
      </c>
      <c r="T34" s="774" t="s">
        <v>17</v>
      </c>
      <c r="U34" s="775">
        <f t="shared" si="11"/>
        <v>100</v>
      </c>
      <c r="V34" s="774" t="s">
        <v>17</v>
      </c>
      <c r="W34" s="775">
        <f t="shared" si="12"/>
        <v>100</v>
      </c>
      <c r="X34" s="1816"/>
      <c r="Y34" s="326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5"/>
      <c r="Q35" s="1813">
        <f t="shared" si="8"/>
        <v>111</v>
      </c>
      <c r="R35" s="774" t="s">
        <v>17</v>
      </c>
      <c r="S35" s="775">
        <f t="shared" si="10"/>
        <v>100</v>
      </c>
      <c r="T35" s="774" t="s">
        <v>17</v>
      </c>
      <c r="U35" s="775">
        <f t="shared" si="11"/>
        <v>100</v>
      </c>
      <c r="V35" s="774" t="s">
        <v>17</v>
      </c>
      <c r="W35" s="775">
        <f t="shared" si="12"/>
        <v>100</v>
      </c>
      <c r="X35" s="1816"/>
      <c r="Y35" s="326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8" t="s">
        <v>2570</v>
      </c>
      <c r="Q36" s="1813">
        <f t="shared" si="8"/>
        <v>111</v>
      </c>
      <c r="R36" s="774" t="s">
        <v>17</v>
      </c>
      <c r="S36" s="775">
        <f t="shared" si="10"/>
        <v>100</v>
      </c>
      <c r="T36" s="774" t="s">
        <v>17</v>
      </c>
      <c r="U36" s="775">
        <f t="shared" si="11"/>
        <v>100</v>
      </c>
      <c r="V36" s="774" t="s">
        <v>17</v>
      </c>
      <c r="W36" s="775">
        <f t="shared" si="12"/>
        <v>100</v>
      </c>
      <c r="X36" s="1816"/>
      <c r="Y36" s="3269"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9"/>
      <c r="Q37" s="1813">
        <f t="shared" si="8"/>
        <v>111</v>
      </c>
      <c r="R37" s="777" t="s">
        <v>17</v>
      </c>
      <c r="S37" s="778">
        <f t="shared" si="10"/>
        <v>100</v>
      </c>
      <c r="T37" s="777" t="s">
        <v>17</v>
      </c>
      <c r="U37" s="778">
        <f t="shared" si="11"/>
        <v>100</v>
      </c>
      <c r="V37" s="777" t="s">
        <v>17</v>
      </c>
      <c r="W37" s="778">
        <f t="shared" si="12"/>
        <v>100</v>
      </c>
      <c r="X37" s="779"/>
      <c r="Y37" s="3269"/>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69"/>
      <c r="Q38" s="1813" t="str">
        <f>B38</f>
        <v>宗地面积</v>
      </c>
      <c r="R38" s="774" t="s">
        <v>17</v>
      </c>
      <c r="S38" s="775" t="e">
        <f t="shared" si="10"/>
        <v>#N/A</v>
      </c>
      <c r="T38" s="774" t="s">
        <v>17</v>
      </c>
      <c r="U38" s="775" t="e">
        <f t="shared" si="11"/>
        <v>#N/A</v>
      </c>
      <c r="V38" s="774" t="s">
        <v>17</v>
      </c>
      <c r="W38" s="775" t="e">
        <f t="shared" si="12"/>
        <v>#N/A</v>
      </c>
      <c r="X38" s="1816"/>
      <c r="Y38" s="3269"/>
      <c r="Z38" s="1817" t="str">
        <f t="shared" si="13"/>
        <v>宗地面积</v>
      </c>
      <c r="AA38" s="1814" t="e">
        <f t="shared" si="3"/>
        <v>#N/A</v>
      </c>
      <c r="AB38" s="1814" t="e">
        <f t="shared" si="4"/>
        <v>#N/A</v>
      </c>
      <c r="AC38" s="1814" t="e">
        <f t="shared" si="5"/>
        <v>#N/A</v>
      </c>
    </row>
    <row r="39" spans="1:29" ht="15">
      <c r="A39" s="472"/>
      <c r="B39" s="422" t="s">
        <v>2757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69"/>
      <c r="Q39" s="1813" t="str">
        <f t="shared" ref="Q39:Q45" si="14">B39</f>
        <v>宗地形状</v>
      </c>
      <c r="R39" s="774" t="s">
        <v>17</v>
      </c>
      <c r="S39" s="775">
        <f t="shared" si="10"/>
        <v>100</v>
      </c>
      <c r="T39" s="774" t="s">
        <v>17</v>
      </c>
      <c r="U39" s="775">
        <f t="shared" si="11"/>
        <v>100</v>
      </c>
      <c r="V39" s="774" t="s">
        <v>17</v>
      </c>
      <c r="W39" s="775">
        <f t="shared" si="12"/>
        <v>100</v>
      </c>
      <c r="X39" s="1816"/>
      <c r="Y39" s="3269"/>
      <c r="Z39" s="1817" t="str">
        <f t="shared" si="13"/>
        <v>宗地形状</v>
      </c>
      <c r="AA39" s="1814">
        <f t="shared" si="3"/>
        <v>1</v>
      </c>
      <c r="AB39" s="1814">
        <f t="shared" si="4"/>
        <v>1</v>
      </c>
      <c r="AC39" s="1814">
        <f t="shared" si="5"/>
        <v>1</v>
      </c>
    </row>
    <row r="40" spans="1:29" ht="15">
      <c r="A40" s="472"/>
      <c r="B40" s="422" t="s">
        <v>2758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69"/>
      <c r="Q40" s="1813" t="str">
        <f t="shared" si="14"/>
        <v>临街宽度及深度</v>
      </c>
      <c r="R40" s="774" t="s">
        <v>17</v>
      </c>
      <c r="S40" s="775">
        <f t="shared" si="10"/>
        <v>100</v>
      </c>
      <c r="T40" s="774" t="s">
        <v>17</v>
      </c>
      <c r="U40" s="775">
        <f t="shared" si="11"/>
        <v>100</v>
      </c>
      <c r="V40" s="774" t="s">
        <v>17</v>
      </c>
      <c r="W40" s="775">
        <f t="shared" si="12"/>
        <v>100</v>
      </c>
      <c r="X40" s="1816"/>
      <c r="Y40" s="3269"/>
      <c r="Z40" s="1817" t="str">
        <f t="shared" si="13"/>
        <v>临街宽度及深度</v>
      </c>
      <c r="AA40" s="1814">
        <f t="shared" si="3"/>
        <v>1</v>
      </c>
      <c r="AB40" s="1814">
        <f t="shared" si="4"/>
        <v>1</v>
      </c>
      <c r="AC40" s="1814">
        <f t="shared" si="5"/>
        <v>1</v>
      </c>
    </row>
    <row r="41" spans="1:29" s="117" customFormat="1" ht="15">
      <c r="A41" s="473"/>
      <c r="B41" s="422" t="s">
        <v>2759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69"/>
      <c r="Q41" s="1813" t="str">
        <f t="shared" si="14"/>
        <v>宗地开发程度</v>
      </c>
      <c r="R41" s="770" t="s">
        <v>17</v>
      </c>
      <c r="S41" s="771">
        <f t="shared" si="10"/>
        <v>100</v>
      </c>
      <c r="T41" s="770" t="s">
        <v>17</v>
      </c>
      <c r="U41" s="771">
        <f t="shared" si="11"/>
        <v>100</v>
      </c>
      <c r="V41" s="770" t="s">
        <v>17</v>
      </c>
      <c r="W41" s="771">
        <f t="shared" si="12"/>
        <v>100</v>
      </c>
      <c r="X41" s="772"/>
      <c r="Y41" s="3269"/>
      <c r="Z41" s="55" t="str">
        <f t="shared" si="13"/>
        <v>宗地开发程度</v>
      </c>
      <c r="AA41" s="773">
        <f t="shared" si="3"/>
        <v>1</v>
      </c>
      <c r="AB41" s="773">
        <f t="shared" si="4"/>
        <v>1</v>
      </c>
      <c r="AC41" s="773">
        <f t="shared" si="5"/>
        <v>1</v>
      </c>
    </row>
    <row r="42" spans="1:29" ht="15">
      <c r="A42" s="472"/>
      <c r="B42" s="422" t="s">
        <v>2760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69" t="s">
        <v>2570</v>
      </c>
      <c r="Q42" s="1813" t="str">
        <f t="shared" si="14"/>
        <v>工程地质条件</v>
      </c>
      <c r="R42" s="774" t="s">
        <v>17</v>
      </c>
      <c r="S42" s="775">
        <f t="shared" si="10"/>
        <v>100</v>
      </c>
      <c r="T42" s="774" t="s">
        <v>17</v>
      </c>
      <c r="U42" s="775">
        <f t="shared" si="11"/>
        <v>100</v>
      </c>
      <c r="V42" s="774" t="s">
        <v>17</v>
      </c>
      <c r="W42" s="775">
        <f t="shared" si="12"/>
        <v>100</v>
      </c>
      <c r="X42" s="1816"/>
      <c r="Y42" s="3269"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9"/>
      <c r="Q43" s="1813">
        <f t="shared" si="14"/>
        <v>111</v>
      </c>
      <c r="R43" s="774" t="s">
        <v>17</v>
      </c>
      <c r="S43" s="775">
        <f t="shared" si="10"/>
        <v>100</v>
      </c>
      <c r="T43" s="774" t="s">
        <v>17</v>
      </c>
      <c r="U43" s="775">
        <f t="shared" si="11"/>
        <v>100</v>
      </c>
      <c r="V43" s="774" t="s">
        <v>17</v>
      </c>
      <c r="W43" s="775">
        <f t="shared" si="12"/>
        <v>100</v>
      </c>
      <c r="X43" s="1816"/>
      <c r="Y43" s="326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9"/>
      <c r="Q44" s="1813">
        <f t="shared" si="14"/>
        <v>111</v>
      </c>
      <c r="R44" s="774" t="s">
        <v>17</v>
      </c>
      <c r="S44" s="775">
        <f t="shared" si="10"/>
        <v>100</v>
      </c>
      <c r="T44" s="774" t="s">
        <v>17</v>
      </c>
      <c r="U44" s="775">
        <f t="shared" si="11"/>
        <v>100</v>
      </c>
      <c r="V44" s="774" t="s">
        <v>17</v>
      </c>
      <c r="W44" s="775">
        <f t="shared" si="12"/>
        <v>100</v>
      </c>
      <c r="X44" s="1816"/>
      <c r="Y44" s="3269"/>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9"/>
      <c r="Q45" s="1813">
        <f t="shared" si="14"/>
        <v>111</v>
      </c>
      <c r="R45" s="777" t="s">
        <v>17</v>
      </c>
      <c r="S45" s="778">
        <f t="shared" si="10"/>
        <v>100</v>
      </c>
      <c r="T45" s="777" t="s">
        <v>17</v>
      </c>
      <c r="U45" s="778">
        <f t="shared" si="11"/>
        <v>100</v>
      </c>
      <c r="V45" s="777" t="s">
        <v>17</v>
      </c>
      <c r="W45" s="778">
        <f t="shared" si="12"/>
        <v>100</v>
      </c>
      <c r="X45" s="779"/>
      <c r="Y45" s="3269"/>
      <c r="Z45" s="780">
        <f t="shared" si="13"/>
        <v>111</v>
      </c>
      <c r="AA45" s="1814">
        <f t="shared" si="3"/>
        <v>1</v>
      </c>
      <c r="AB45" s="1814">
        <f t="shared" si="4"/>
        <v>1</v>
      </c>
      <c r="AC45" s="1814">
        <f t="shared" si="5"/>
        <v>1</v>
      </c>
    </row>
    <row r="46" spans="1:29" ht="15">
      <c r="A46" s="479" t="s">
        <v>2725</v>
      </c>
      <c r="B46" s="2708" t="s">
        <v>2761</v>
      </c>
      <c r="C46" s="682" t="s">
        <v>1</v>
      </c>
      <c r="D46" s="481"/>
      <c r="E46" s="482"/>
      <c r="F46" s="483"/>
      <c r="G46" s="484"/>
      <c r="H46" s="485"/>
      <c r="I46" s="482"/>
      <c r="J46" s="485"/>
      <c r="K46" s="783"/>
      <c r="L46" s="1146"/>
      <c r="M46" s="1147"/>
      <c r="N46" s="1134"/>
      <c r="O46" s="1147"/>
      <c r="P46" s="3262" t="str">
        <f>A46</f>
        <v>成交单价</v>
      </c>
      <c r="Q46" s="3262"/>
      <c r="R46" s="3257">
        <f>E46</f>
        <v>0</v>
      </c>
      <c r="S46" s="3257"/>
      <c r="T46" s="3257">
        <f>G46</f>
        <v>0</v>
      </c>
      <c r="U46" s="3257"/>
      <c r="V46" s="3257">
        <f>I46</f>
        <v>0</v>
      </c>
      <c r="W46" s="3257"/>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262" t="str">
        <f>A47</f>
        <v>比较价值（元/平方米）</v>
      </c>
      <c r="Q47" s="3262"/>
      <c r="R47" s="3289" t="e">
        <f>ROUND(PRODUCT(R46,AA7:AA45),0)</f>
        <v>#DIV/0!</v>
      </c>
      <c r="S47" s="3289"/>
      <c r="T47" s="3289" t="e">
        <f>ROUND(PRODUCT(T46,AB7:AB45),0)</f>
        <v>#DIV/0!</v>
      </c>
      <c r="U47" s="3289"/>
      <c r="V47" s="3289" t="e">
        <f>ROUND(PRODUCT(V46,AC7:AC45),0)</f>
        <v>#DIV/0!</v>
      </c>
      <c r="W47" s="3289"/>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259" t="str">
        <f>A48</f>
        <v>估价对象XX用房的比较价值（楼面单价，元/平方米）</v>
      </c>
      <c r="Q48" s="3260"/>
      <c r="R48" s="3290" t="e">
        <f>ROUND(AVERAGE(R47:V47),0)</f>
        <v>#DIV/0!</v>
      </c>
      <c r="S48" s="3290"/>
      <c r="T48" s="3290"/>
      <c r="U48" s="3290"/>
      <c r="V48" s="3290"/>
      <c r="W48" s="329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09" t="s">
        <v>2765</v>
      </c>
      <c r="D55" s="2710" t="s">
        <v>2766</v>
      </c>
      <c r="E55" s="686" t="s">
        <v>2767</v>
      </c>
      <c r="F55" s="1110" t="s">
        <v>2768</v>
      </c>
      <c r="G55" s="3245" t="s">
        <v>2769</v>
      </c>
      <c r="H55" s="3291"/>
      <c r="I55" s="144" t="s">
        <v>2770</v>
      </c>
      <c r="J55" s="2711">
        <f>项目基本情况!F35</f>
        <v>0</v>
      </c>
      <c r="K55" s="2712" t="s">
        <v>2771</v>
      </c>
      <c r="L55" s="1109"/>
      <c r="M55" s="1147"/>
      <c r="N55" s="1147"/>
      <c r="O55" s="1147"/>
    </row>
    <row r="56" spans="1:15" s="692" customFormat="1">
      <c r="A56" s="688" t="s">
        <v>2772</v>
      </c>
      <c r="B56" s="689" t="e">
        <f>C48</f>
        <v>#DIV/0!</v>
      </c>
      <c r="C56" s="690">
        <v>1</v>
      </c>
      <c r="D56" s="1166">
        <v>1</v>
      </c>
      <c r="E56" s="690">
        <f>'数据-汇总表'!E8+'数据-汇总表'!E9</f>
        <v>39021.709999999977</v>
      </c>
      <c r="F56" s="1106" t="e">
        <f t="shared" ref="F56:F65" si="15">ROUND(B56*E56/10000,0)</f>
        <v>#DIV/0!</v>
      </c>
      <c r="G56" s="3244"/>
      <c r="H56" s="3262"/>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92"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92"/>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92"/>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92"/>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3"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3"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4"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39021.709999999977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5" t="s">
        <v>2787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6" t="s">
        <v>2788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42" sqref="H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45" t="s">
        <v>2651</v>
      </c>
      <c r="D4" s="3246"/>
      <c r="E4" s="3247" t="s">
        <v>2652</v>
      </c>
      <c r="F4" s="3248"/>
      <c r="G4" s="3245" t="s">
        <v>2653</v>
      </c>
      <c r="H4" s="3246"/>
      <c r="I4" s="3245" t="s">
        <v>2654</v>
      </c>
      <c r="J4" s="3246"/>
      <c r="K4" s="610" t="s">
        <v>2655</v>
      </c>
      <c r="L4" s="1133"/>
      <c r="M4" s="1134"/>
      <c r="N4" s="1134"/>
      <c r="O4" s="1134"/>
      <c r="P4" s="3249" t="s">
        <v>2656</v>
      </c>
      <c r="Q4" s="3250"/>
      <c r="R4" s="3232" t="s">
        <v>2652</v>
      </c>
      <c r="S4" s="3233"/>
      <c r="T4" s="3232" t="s">
        <v>2653</v>
      </c>
      <c r="U4" s="3233"/>
      <c r="V4" s="3257" t="s">
        <v>2654</v>
      </c>
      <c r="W4" s="3257"/>
      <c r="X4" s="1816"/>
      <c r="Y4" s="3232" t="s">
        <v>2656</v>
      </c>
      <c r="Z4" s="3233"/>
      <c r="AA4" s="3227" t="s">
        <v>2652</v>
      </c>
      <c r="AB4" s="3228" t="s">
        <v>2653</v>
      </c>
      <c r="AC4" s="3227" t="s">
        <v>2654</v>
      </c>
    </row>
    <row r="5" spans="1:29" ht="15">
      <c r="A5" s="404"/>
      <c r="B5" s="405"/>
      <c r="C5" s="3238" t="s">
        <v>2547</v>
      </c>
      <c r="D5" s="3239"/>
      <c r="E5" s="3236" t="s">
        <v>2548</v>
      </c>
      <c r="F5" s="3237"/>
      <c r="G5" s="3238" t="s">
        <v>2549</v>
      </c>
      <c r="H5" s="3239"/>
      <c r="I5" s="3238" t="s">
        <v>2550</v>
      </c>
      <c r="J5" s="3239"/>
      <c r="K5" s="610"/>
      <c r="L5" s="1133"/>
      <c r="M5" s="1134"/>
      <c r="N5" s="1134"/>
      <c r="O5" s="1134"/>
      <c r="P5" s="3251"/>
      <c r="Q5" s="3252"/>
      <c r="R5" s="3234"/>
      <c r="S5" s="3235"/>
      <c r="T5" s="3234"/>
      <c r="U5" s="3235"/>
      <c r="V5" s="3257"/>
      <c r="W5" s="3257"/>
      <c r="X5" s="1816"/>
      <c r="Y5" s="3234"/>
      <c r="Z5" s="3235"/>
      <c r="AA5" s="3228"/>
      <c r="AB5" s="3228"/>
      <c r="AC5" s="3228"/>
    </row>
    <row r="6" spans="1:29" ht="15.75" thickBot="1">
      <c r="A6" s="406"/>
      <c r="B6" s="407"/>
      <c r="C6" s="3293" t="s">
        <v>2802</v>
      </c>
      <c r="D6" s="3294"/>
      <c r="E6" s="3295" t="s">
        <v>2802</v>
      </c>
      <c r="F6" s="3296"/>
      <c r="G6" s="3293" t="s">
        <v>2802</v>
      </c>
      <c r="H6" s="3294"/>
      <c r="I6" s="3293" t="s">
        <v>2802</v>
      </c>
      <c r="J6" s="3294"/>
      <c r="K6" s="610" t="s">
        <v>2552</v>
      </c>
      <c r="L6" s="1133"/>
      <c r="M6" s="1134"/>
      <c r="N6" s="1134"/>
      <c r="O6" s="1134"/>
      <c r="P6" s="3253"/>
      <c r="Q6" s="3254"/>
      <c r="R6" s="3234"/>
      <c r="S6" s="3235"/>
      <c r="T6" s="3255"/>
      <c r="U6" s="3256"/>
      <c r="V6" s="3257"/>
      <c r="W6" s="3257"/>
      <c r="X6" s="1816"/>
      <c r="Y6" s="3255"/>
      <c r="Z6" s="3256"/>
      <c r="AA6" s="3229"/>
      <c r="AB6" s="3229"/>
      <c r="AC6" s="3229"/>
    </row>
    <row r="7" spans="1:29" s="117" customFormat="1" ht="15.75" thickBot="1">
      <c r="A7" s="408" t="s">
        <v>2553</v>
      </c>
      <c r="B7" s="409"/>
      <c r="C7" s="410">
        <f>'数据-取费表'!B2</f>
        <v>43236</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30" t="s">
        <v>2554</v>
      </c>
      <c r="Q7" s="3258"/>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40" si="3">D8/F8</f>
        <v>#DIV/0!</v>
      </c>
      <c r="AB8" s="773" t="e">
        <f t="shared" ref="AB8:AB40" si="4">D8/H8</f>
        <v>#DIV/0!</v>
      </c>
      <c r="AC8" s="773" t="e">
        <f t="shared" ref="AC8:AC40" si="5">D8/J8</f>
        <v>#DIV/0!</v>
      </c>
    </row>
    <row r="9" spans="1:29" s="117" customFormat="1">
      <c r="A9" s="415" t="s">
        <v>2558</v>
      </c>
      <c r="B9" s="71" t="s">
        <v>2559</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62" t="s">
        <v>2560</v>
      </c>
      <c r="Q9" s="1798" t="str">
        <f t="shared" ref="Q9:Q15" si="6">B9</f>
        <v>用途</v>
      </c>
      <c r="R9" s="770" t="s">
        <v>17</v>
      </c>
      <c r="S9" s="771">
        <f t="shared" si="0"/>
        <v>100</v>
      </c>
      <c r="T9" s="770" t="s">
        <v>17</v>
      </c>
      <c r="U9" s="771">
        <f t="shared" si="1"/>
        <v>100</v>
      </c>
      <c r="V9" s="770" t="s">
        <v>17</v>
      </c>
      <c r="W9" s="771">
        <f t="shared" si="2"/>
        <v>100</v>
      </c>
      <c r="X9" s="772"/>
      <c r="Y9" s="3053"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172</v>
      </c>
      <c r="G10" s="432"/>
      <c r="H10" s="136">
        <f>ROUND(100/'数据-取费表'!G16,0)</f>
        <v>172</v>
      </c>
      <c r="I10" s="432"/>
      <c r="J10" s="136">
        <f>ROUND(100/'数据-取费表'!G16,0)</f>
        <v>172</v>
      </c>
      <c r="K10" s="672"/>
      <c r="L10" s="1138"/>
      <c r="M10" s="1139"/>
      <c r="N10" s="1139"/>
      <c r="O10" s="1140"/>
      <c r="P10" s="3262"/>
      <c r="Q10" s="1798" t="str">
        <f t="shared" si="6"/>
        <v>土地使用年限（年）</v>
      </c>
      <c r="R10" s="770" t="s">
        <v>17</v>
      </c>
      <c r="S10" s="771">
        <f t="shared" si="0"/>
        <v>172</v>
      </c>
      <c r="T10" s="770" t="s">
        <v>17</v>
      </c>
      <c r="U10" s="771">
        <f t="shared" si="1"/>
        <v>172</v>
      </c>
      <c r="V10" s="770" t="s">
        <v>17</v>
      </c>
      <c r="W10" s="771">
        <f t="shared" si="2"/>
        <v>172</v>
      </c>
      <c r="X10" s="772"/>
      <c r="Y10" s="3053"/>
      <c r="Z10" s="55" t="str">
        <f t="shared" si="7"/>
        <v>土地使用年限（年）</v>
      </c>
      <c r="AA10" s="773">
        <f t="shared" si="3"/>
        <v>0.58139534883720934</v>
      </c>
      <c r="AB10" s="773">
        <f t="shared" si="4"/>
        <v>0.58139534883720934</v>
      </c>
      <c r="AC10" s="773">
        <f t="shared" si="5"/>
        <v>0.58139534883720934</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2"/>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2"/>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2"/>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57">
      <c r="A15" s="440" t="s">
        <v>2564</v>
      </c>
      <c r="B15" s="629" t="s">
        <v>2803</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4" t="s">
        <v>2565</v>
      </c>
      <c r="Q15" s="1813" t="str">
        <f t="shared" si="6"/>
        <v>产业集聚程度</v>
      </c>
      <c r="R15" s="774" t="s">
        <v>17</v>
      </c>
      <c r="S15" s="775">
        <f t="shared" si="0"/>
        <v>100</v>
      </c>
      <c r="T15" s="774" t="s">
        <v>17</v>
      </c>
      <c r="U15" s="775">
        <f t="shared" si="1"/>
        <v>100</v>
      </c>
      <c r="V15" s="774" t="s">
        <v>17</v>
      </c>
      <c r="W15" s="775">
        <f t="shared" si="2"/>
        <v>100</v>
      </c>
      <c r="X15" s="1816"/>
      <c r="Y15" s="3264" t="s">
        <v>2565</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65"/>
      <c r="Q16" s="1813"/>
      <c r="R16" s="774"/>
      <c r="S16" s="775"/>
      <c r="T16" s="774"/>
      <c r="U16" s="775"/>
      <c r="V16" s="774"/>
      <c r="W16" s="775"/>
      <c r="X16" s="1816"/>
      <c r="Y16" s="3265"/>
      <c r="Z16" s="1817"/>
      <c r="AA16" s="1814">
        <v>1</v>
      </c>
      <c r="AB16" s="1814">
        <v>1</v>
      </c>
      <c r="AC16" s="1814">
        <v>1</v>
      </c>
    </row>
    <row r="17" spans="1:29" ht="85.5">
      <c r="A17" s="428"/>
      <c r="B17" s="631" t="s">
        <v>2714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5"/>
      <c r="Q17" s="1813" t="str">
        <f>B17</f>
        <v>交通便捷度</v>
      </c>
      <c r="R17" s="774" t="s">
        <v>17</v>
      </c>
      <c r="S17" s="775">
        <f>F17</f>
        <v>100</v>
      </c>
      <c r="T17" s="774" t="s">
        <v>17</v>
      </c>
      <c r="U17" s="775">
        <f>H17</f>
        <v>100</v>
      </c>
      <c r="V17" s="774" t="s">
        <v>17</v>
      </c>
      <c r="W17" s="775">
        <f>J17</f>
        <v>100</v>
      </c>
      <c r="X17" s="1816"/>
      <c r="Y17" s="3265"/>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65"/>
      <c r="Q18" s="1813"/>
      <c r="R18" s="774"/>
      <c r="S18" s="775"/>
      <c r="T18" s="774"/>
      <c r="U18" s="775"/>
      <c r="V18" s="774"/>
      <c r="W18" s="775"/>
      <c r="X18" s="1816"/>
      <c r="Y18" s="3265"/>
      <c r="Z18" s="1817"/>
      <c r="AA18" s="1814">
        <v>1</v>
      </c>
      <c r="AB18" s="1814">
        <v>1</v>
      </c>
      <c r="AC18" s="1814">
        <v>1</v>
      </c>
    </row>
    <row r="19" spans="1:29" ht="15">
      <c r="A19" s="428"/>
      <c r="B19" s="631" t="s">
        <v>2753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5"/>
      <c r="Q19" s="1813" t="str">
        <f t="shared" ref="Q19:Q33" si="8">B19</f>
        <v>区域土地利用方向</v>
      </c>
      <c r="R19" s="774" t="s">
        <v>17</v>
      </c>
      <c r="S19" s="775">
        <f>F19</f>
        <v>100</v>
      </c>
      <c r="T19" s="774" t="s">
        <v>17</v>
      </c>
      <c r="U19" s="775">
        <f>H19</f>
        <v>100</v>
      </c>
      <c r="V19" s="774" t="s">
        <v>17</v>
      </c>
      <c r="W19" s="775">
        <f>J19</f>
        <v>100</v>
      </c>
      <c r="X19" s="1816"/>
      <c r="Y19" s="3265"/>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65"/>
      <c r="Q20" s="1813"/>
      <c r="R20" s="774"/>
      <c r="S20" s="775"/>
      <c r="T20" s="774"/>
      <c r="U20" s="775"/>
      <c r="V20" s="774"/>
      <c r="W20" s="775"/>
      <c r="X20" s="1816"/>
      <c r="Y20" s="3265"/>
      <c r="Z20" s="1817"/>
      <c r="AA20" s="1814"/>
      <c r="AB20" s="1814"/>
      <c r="AC20" s="1814"/>
    </row>
    <row r="21" spans="1:29" ht="71.25">
      <c r="A21" s="404"/>
      <c r="B21" s="631" t="s">
        <v>2804</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5"/>
      <c r="Q21" s="1813" t="str">
        <f t="shared" si="8"/>
        <v>环境状况</v>
      </c>
      <c r="R21" s="774" t="s">
        <v>17</v>
      </c>
      <c r="S21" s="775">
        <f>F21</f>
        <v>100</v>
      </c>
      <c r="T21" s="774" t="s">
        <v>17</v>
      </c>
      <c r="U21" s="775">
        <f>H21</f>
        <v>100</v>
      </c>
      <c r="V21" s="774" t="s">
        <v>17</v>
      </c>
      <c r="W21" s="775">
        <f>J21</f>
        <v>100</v>
      </c>
      <c r="X21" s="1816"/>
      <c r="Y21" s="3265"/>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65"/>
      <c r="Q22" s="1813"/>
      <c r="R22" s="774"/>
      <c r="S22" s="775"/>
      <c r="T22" s="774"/>
      <c r="U22" s="775"/>
      <c r="V22" s="774"/>
      <c r="W22" s="775"/>
      <c r="X22" s="1816"/>
      <c r="Y22" s="3265"/>
      <c r="Z22" s="1817"/>
      <c r="AA22" s="1814">
        <v>1</v>
      </c>
      <c r="AB22" s="1814">
        <v>1</v>
      </c>
      <c r="AC22" s="1814">
        <v>1</v>
      </c>
    </row>
    <row r="23" spans="1:29" s="117" customFormat="1" ht="42.75">
      <c r="A23" s="649"/>
      <c r="B23" s="633" t="s">
        <v>2659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5"/>
      <c r="Q23" s="1798" t="str">
        <f t="shared" si="8"/>
        <v>公共配套设施</v>
      </c>
      <c r="R23" s="770" t="s">
        <v>17</v>
      </c>
      <c r="S23" s="771">
        <f>F23</f>
        <v>100</v>
      </c>
      <c r="T23" s="770" t="s">
        <v>17</v>
      </c>
      <c r="U23" s="771">
        <f>H23</f>
        <v>100</v>
      </c>
      <c r="V23" s="770" t="s">
        <v>17</v>
      </c>
      <c r="W23" s="771">
        <f>J23</f>
        <v>100</v>
      </c>
      <c r="X23" s="772"/>
      <c r="Y23" s="3265"/>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65"/>
      <c r="Q24" s="1798"/>
      <c r="R24" s="770"/>
      <c r="S24" s="771"/>
      <c r="T24" s="770"/>
      <c r="U24" s="771"/>
      <c r="V24" s="770"/>
      <c r="W24" s="771"/>
      <c r="X24" s="772"/>
      <c r="Y24" s="3265"/>
      <c r="Z24" s="55"/>
      <c r="AA24" s="773">
        <v>1</v>
      </c>
      <c r="AB24" s="773">
        <v>1</v>
      </c>
      <c r="AC24" s="773">
        <v>1</v>
      </c>
    </row>
    <row r="25" spans="1:29" s="117" customFormat="1" ht="28.5">
      <c r="A25" s="649"/>
      <c r="B25" s="633" t="s">
        <v>2660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5"/>
      <c r="Q25" s="1798" t="str">
        <f t="shared" ref="Q25" si="9">B25</f>
        <v>基础设施水平</v>
      </c>
      <c r="R25" s="770" t="s">
        <v>17</v>
      </c>
      <c r="S25" s="771">
        <f>F25</f>
        <v>100</v>
      </c>
      <c r="T25" s="770" t="s">
        <v>17</v>
      </c>
      <c r="U25" s="771">
        <f>H25</f>
        <v>100</v>
      </c>
      <c r="V25" s="770" t="s">
        <v>17</v>
      </c>
      <c r="W25" s="771">
        <f>J25</f>
        <v>100</v>
      </c>
      <c r="X25" s="772"/>
      <c r="Y25" s="3265"/>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65"/>
      <c r="Q26" s="1798"/>
      <c r="R26" s="770"/>
      <c r="S26" s="771"/>
      <c r="T26" s="770"/>
      <c r="U26" s="771"/>
      <c r="V26" s="770"/>
      <c r="W26" s="771"/>
      <c r="X26" s="772"/>
      <c r="Y26" s="3265"/>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5"/>
      <c r="Z27" s="1817" t="str">
        <f t="shared" ref="Z27:Z40" si="13">Q27</f>
        <v>临街状况</v>
      </c>
      <c r="AA27" s="1814">
        <f t="shared" si="3"/>
        <v>1</v>
      </c>
      <c r="AB27" s="1814">
        <f t="shared" si="4"/>
        <v>1</v>
      </c>
      <c r="AC27" s="1814">
        <f t="shared" si="5"/>
        <v>1</v>
      </c>
    </row>
    <row r="28" spans="1:29" ht="27">
      <c r="A28" s="428"/>
      <c r="B28" s="633" t="s">
        <v>2696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5"/>
      <c r="Q28" s="1813" t="str">
        <f t="shared" si="8"/>
        <v>毗邻道路的类型与等级</v>
      </c>
      <c r="R28" s="774" t="s">
        <v>17</v>
      </c>
      <c r="S28" s="775">
        <f t="shared" si="10"/>
        <v>100</v>
      </c>
      <c r="T28" s="774" t="s">
        <v>17</v>
      </c>
      <c r="U28" s="775">
        <f t="shared" si="11"/>
        <v>100</v>
      </c>
      <c r="V28" s="774" t="s">
        <v>17</v>
      </c>
      <c r="W28" s="775">
        <f t="shared" si="12"/>
        <v>100</v>
      </c>
      <c r="X28" s="1816"/>
      <c r="Y28" s="3265"/>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65"/>
      <c r="Q29" s="1813"/>
      <c r="R29" s="774"/>
      <c r="S29" s="775"/>
      <c r="T29" s="774"/>
      <c r="U29" s="775"/>
      <c r="V29" s="774"/>
      <c r="W29" s="775"/>
      <c r="X29" s="1816"/>
      <c r="Y29" s="3265"/>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5"/>
      <c r="Q30" s="1813" t="str">
        <f t="shared" si="8"/>
        <v>土地级别</v>
      </c>
      <c r="R30" s="774" t="s">
        <v>17</v>
      </c>
      <c r="S30" s="775">
        <f t="shared" si="10"/>
        <v>100</v>
      </c>
      <c r="T30" s="774" t="s">
        <v>17</v>
      </c>
      <c r="U30" s="775">
        <f t="shared" si="11"/>
        <v>100</v>
      </c>
      <c r="V30" s="774" t="s">
        <v>17</v>
      </c>
      <c r="W30" s="775">
        <f t="shared" si="12"/>
        <v>100</v>
      </c>
      <c r="X30" s="1816"/>
      <c r="Y30" s="3265"/>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5"/>
      <c r="Q31" s="1813">
        <f t="shared" si="8"/>
        <v>111</v>
      </c>
      <c r="R31" s="774" t="s">
        <v>17</v>
      </c>
      <c r="S31" s="775">
        <f t="shared" si="10"/>
        <v>100</v>
      </c>
      <c r="T31" s="774" t="s">
        <v>17</v>
      </c>
      <c r="U31" s="775">
        <f t="shared" si="11"/>
        <v>100</v>
      </c>
      <c r="V31" s="774" t="s">
        <v>17</v>
      </c>
      <c r="W31" s="775">
        <f t="shared" si="12"/>
        <v>100</v>
      </c>
      <c r="X31" s="1816"/>
      <c r="Y31" s="3265"/>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8" t="s">
        <v>2570</v>
      </c>
      <c r="Q32" s="1813">
        <f t="shared" si="8"/>
        <v>111</v>
      </c>
      <c r="R32" s="774" t="s">
        <v>17</v>
      </c>
      <c r="S32" s="775">
        <f t="shared" si="10"/>
        <v>100</v>
      </c>
      <c r="T32" s="774" t="s">
        <v>17</v>
      </c>
      <c r="U32" s="775">
        <f t="shared" si="11"/>
        <v>100</v>
      </c>
      <c r="V32" s="774" t="s">
        <v>17</v>
      </c>
      <c r="W32" s="775">
        <f t="shared" si="12"/>
        <v>100</v>
      </c>
      <c r="X32" s="1816"/>
      <c r="Y32" s="3269" t="s">
        <v>2570</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9"/>
      <c r="Q33" s="1813">
        <f t="shared" si="8"/>
        <v>111</v>
      </c>
      <c r="R33" s="777" t="s">
        <v>17</v>
      </c>
      <c r="S33" s="778">
        <f t="shared" si="10"/>
        <v>100</v>
      </c>
      <c r="T33" s="777" t="s">
        <v>17</v>
      </c>
      <c r="U33" s="778">
        <f t="shared" si="11"/>
        <v>100</v>
      </c>
      <c r="V33" s="777" t="s">
        <v>17</v>
      </c>
      <c r="W33" s="778">
        <f t="shared" si="12"/>
        <v>100</v>
      </c>
      <c r="X33" s="779"/>
      <c r="Y33" s="3269"/>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9"/>
      <c r="Q34" s="1813" t="str">
        <f>B34</f>
        <v>宗地面积</v>
      </c>
      <c r="R34" s="774" t="s">
        <v>17</v>
      </c>
      <c r="S34" s="775" t="e">
        <f t="shared" si="10"/>
        <v>#N/A</v>
      </c>
      <c r="T34" s="774" t="s">
        <v>17</v>
      </c>
      <c r="U34" s="775" t="e">
        <f t="shared" si="11"/>
        <v>#N/A</v>
      </c>
      <c r="V34" s="774" t="s">
        <v>17</v>
      </c>
      <c r="W34" s="775" t="e">
        <f t="shared" si="12"/>
        <v>#N/A</v>
      </c>
      <c r="X34" s="1816"/>
      <c r="Y34" s="3269"/>
      <c r="Z34" s="1817" t="str">
        <f t="shared" si="13"/>
        <v>宗地面积</v>
      </c>
      <c r="AA34" s="1814" t="e">
        <f t="shared" si="3"/>
        <v>#N/A</v>
      </c>
      <c r="AB34" s="1814" t="e">
        <f t="shared" si="4"/>
        <v>#N/A</v>
      </c>
      <c r="AC34" s="1814" t="e">
        <f t="shared" si="5"/>
        <v>#N/A</v>
      </c>
    </row>
    <row r="35" spans="1:29" ht="15">
      <c r="A35" s="472"/>
      <c r="B35" s="422" t="s">
        <v>2757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69"/>
      <c r="Q35" s="1813" t="str">
        <f t="shared" ref="Q35:Q40" si="14">B35</f>
        <v>宗地形状</v>
      </c>
      <c r="R35" s="774" t="s">
        <v>17</v>
      </c>
      <c r="S35" s="775">
        <f t="shared" si="10"/>
        <v>100</v>
      </c>
      <c r="T35" s="774" t="s">
        <v>17</v>
      </c>
      <c r="U35" s="775">
        <f t="shared" si="11"/>
        <v>100</v>
      </c>
      <c r="V35" s="774" t="s">
        <v>17</v>
      </c>
      <c r="W35" s="775">
        <f t="shared" si="12"/>
        <v>100</v>
      </c>
      <c r="X35" s="1816"/>
      <c r="Y35" s="3269"/>
      <c r="Z35" s="1817" t="str">
        <f t="shared" si="13"/>
        <v>宗地形状</v>
      </c>
      <c r="AA35" s="1814">
        <f t="shared" si="3"/>
        <v>1</v>
      </c>
      <c r="AB35" s="1814">
        <f t="shared" si="4"/>
        <v>1</v>
      </c>
      <c r="AC35" s="1814">
        <f t="shared" si="5"/>
        <v>1</v>
      </c>
    </row>
    <row r="36" spans="1:29" s="117" customFormat="1" ht="15">
      <c r="A36" s="473"/>
      <c r="B36" s="422" t="s">
        <v>2759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69"/>
      <c r="Q36" s="1813" t="str">
        <f t="shared" si="14"/>
        <v>宗地开发程度</v>
      </c>
      <c r="R36" s="770" t="s">
        <v>17</v>
      </c>
      <c r="S36" s="771">
        <f t="shared" si="10"/>
        <v>100</v>
      </c>
      <c r="T36" s="770" t="s">
        <v>17</v>
      </c>
      <c r="U36" s="771">
        <f t="shared" si="11"/>
        <v>100</v>
      </c>
      <c r="V36" s="770" t="s">
        <v>17</v>
      </c>
      <c r="W36" s="771">
        <f t="shared" si="12"/>
        <v>100</v>
      </c>
      <c r="X36" s="772"/>
      <c r="Y36" s="3269"/>
      <c r="Z36" s="55" t="str">
        <f t="shared" si="13"/>
        <v>宗地开发程度</v>
      </c>
      <c r="AA36" s="773">
        <f t="shared" si="3"/>
        <v>1</v>
      </c>
      <c r="AB36" s="773">
        <f t="shared" si="4"/>
        <v>1</v>
      </c>
      <c r="AC36" s="773">
        <f t="shared" si="5"/>
        <v>1</v>
      </c>
    </row>
    <row r="37" spans="1:29" ht="15">
      <c r="A37" s="472"/>
      <c r="B37" s="422" t="s">
        <v>2760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69" t="s">
        <v>2570</v>
      </c>
      <c r="Q37" s="1813" t="str">
        <f t="shared" si="14"/>
        <v>工程地质条件</v>
      </c>
      <c r="R37" s="774" t="s">
        <v>17</v>
      </c>
      <c r="S37" s="775">
        <f t="shared" si="10"/>
        <v>100</v>
      </c>
      <c r="T37" s="774" t="s">
        <v>17</v>
      </c>
      <c r="U37" s="775">
        <f t="shared" si="11"/>
        <v>100</v>
      </c>
      <c r="V37" s="774" t="s">
        <v>17</v>
      </c>
      <c r="W37" s="775">
        <f t="shared" si="12"/>
        <v>100</v>
      </c>
      <c r="X37" s="1816"/>
      <c r="Y37" s="3269"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9"/>
      <c r="Q38" s="1813">
        <f t="shared" si="14"/>
        <v>111</v>
      </c>
      <c r="R38" s="774" t="s">
        <v>17</v>
      </c>
      <c r="S38" s="775">
        <f t="shared" si="10"/>
        <v>100</v>
      </c>
      <c r="T38" s="774" t="s">
        <v>17</v>
      </c>
      <c r="U38" s="775">
        <f t="shared" si="11"/>
        <v>100</v>
      </c>
      <c r="V38" s="774" t="s">
        <v>17</v>
      </c>
      <c r="W38" s="775">
        <f t="shared" si="12"/>
        <v>100</v>
      </c>
      <c r="X38" s="1816"/>
      <c r="Y38" s="326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9"/>
      <c r="Q39" s="1813">
        <f t="shared" si="14"/>
        <v>111</v>
      </c>
      <c r="R39" s="774" t="s">
        <v>17</v>
      </c>
      <c r="S39" s="775">
        <f t="shared" si="10"/>
        <v>100</v>
      </c>
      <c r="T39" s="774" t="s">
        <v>17</v>
      </c>
      <c r="U39" s="775">
        <f t="shared" si="11"/>
        <v>100</v>
      </c>
      <c r="V39" s="774" t="s">
        <v>17</v>
      </c>
      <c r="W39" s="775">
        <f t="shared" si="12"/>
        <v>100</v>
      </c>
      <c r="X39" s="1816"/>
      <c r="Y39" s="3269"/>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9"/>
      <c r="Q40" s="1813">
        <f t="shared" si="14"/>
        <v>111</v>
      </c>
      <c r="R40" s="777" t="s">
        <v>17</v>
      </c>
      <c r="S40" s="778">
        <f t="shared" si="10"/>
        <v>100</v>
      </c>
      <c r="T40" s="777" t="s">
        <v>17</v>
      </c>
      <c r="U40" s="778">
        <f t="shared" si="11"/>
        <v>100</v>
      </c>
      <c r="V40" s="777" t="s">
        <v>17</v>
      </c>
      <c r="W40" s="778">
        <f t="shared" si="12"/>
        <v>100</v>
      </c>
      <c r="X40" s="779"/>
      <c r="Y40" s="3269"/>
      <c r="Z40" s="780">
        <f t="shared" si="13"/>
        <v>111</v>
      </c>
      <c r="AA40" s="1814">
        <f t="shared" si="3"/>
        <v>1</v>
      </c>
      <c r="AB40" s="1814">
        <f t="shared" si="4"/>
        <v>1</v>
      </c>
      <c r="AC40" s="1814">
        <f t="shared" si="5"/>
        <v>1</v>
      </c>
    </row>
    <row r="41" spans="1:29" ht="15">
      <c r="A41" s="479" t="s">
        <v>2725</v>
      </c>
      <c r="B41" s="2708" t="s">
        <v>2805</v>
      </c>
      <c r="C41" s="682" t="s">
        <v>1</v>
      </c>
      <c r="D41" s="481"/>
      <c r="E41" s="482"/>
      <c r="F41" s="483"/>
      <c r="G41" s="484"/>
      <c r="H41" s="485"/>
      <c r="I41" s="482"/>
      <c r="J41" s="485"/>
      <c r="K41" s="783"/>
      <c r="L41" s="1146"/>
      <c r="M41" s="1134"/>
      <c r="N41" s="1134"/>
      <c r="O41" s="1147"/>
      <c r="P41" s="3262" t="str">
        <f>A41</f>
        <v>成交单价</v>
      </c>
      <c r="Q41" s="3262"/>
      <c r="R41" s="3257">
        <f>E41</f>
        <v>0</v>
      </c>
      <c r="S41" s="3257"/>
      <c r="T41" s="3257">
        <f>G41</f>
        <v>0</v>
      </c>
      <c r="U41" s="3257"/>
      <c r="V41" s="3257">
        <f>I41</f>
        <v>0</v>
      </c>
      <c r="W41" s="3257"/>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62" t="str">
        <f>A42</f>
        <v>比较价值（元/平方米）</v>
      </c>
      <c r="Q42" s="3262"/>
      <c r="R42" s="3289" t="e">
        <f>ROUND(PRODUCT(R41,AA7:AA40),0)</f>
        <v>#DIV/0!</v>
      </c>
      <c r="S42" s="3289"/>
      <c r="T42" s="3289" t="e">
        <f>ROUND(PRODUCT(T41,AB7:AB40),0)</f>
        <v>#DIV/0!</v>
      </c>
      <c r="U42" s="3289"/>
      <c r="V42" s="3289" t="e">
        <f>ROUND(PRODUCT(V41,AC7:AC40),0)</f>
        <v>#DIV/0!</v>
      </c>
      <c r="W42" s="3289"/>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59" t="str">
        <f>A43</f>
        <v>估价对象XX用房的比较价值（楼面单价，元/平方米）</v>
      </c>
      <c r="Q43" s="3260"/>
      <c r="R43" s="3290" t="e">
        <f>ROUND(AVERAGE(R42:V42),0)</f>
        <v>#DIV/0!</v>
      </c>
      <c r="S43" s="3290"/>
      <c r="T43" s="3290"/>
      <c r="U43" s="3290"/>
      <c r="V43" s="3290"/>
      <c r="W43" s="329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09" t="s">
        <v>2765</v>
      </c>
      <c r="D50" s="2710" t="s">
        <v>2766</v>
      </c>
      <c r="E50" s="686" t="s">
        <v>2767</v>
      </c>
      <c r="F50" s="687" t="s">
        <v>2768</v>
      </c>
      <c r="G50" s="3245" t="s">
        <v>2769</v>
      </c>
      <c r="H50" s="3291"/>
      <c r="I50" s="1817" t="s">
        <v>2806</v>
      </c>
      <c r="J50" s="1817">
        <f>项目基本情况!F35</f>
        <v>0</v>
      </c>
      <c r="K50" s="2712" t="s">
        <v>2771</v>
      </c>
      <c r="L50" s="1109"/>
      <c r="M50" s="1147"/>
      <c r="N50" s="1147"/>
      <c r="O50" s="1147"/>
    </row>
    <row r="51" spans="1:17" s="692" customFormat="1">
      <c r="A51" s="688" t="s">
        <v>2772</v>
      </c>
      <c r="B51" s="689" t="e">
        <f>C43</f>
        <v>#DIV/0!</v>
      </c>
      <c r="C51" s="690">
        <v>1</v>
      </c>
      <c r="D51" s="1166">
        <v>1</v>
      </c>
      <c r="E51" s="690">
        <f>'数据-汇总表'!E8+'数据-汇总表'!E9</f>
        <v>39021.709999999977</v>
      </c>
      <c r="F51" s="691" t="e">
        <f t="shared" ref="F51:F60" si="15">ROUND(B51*E51/10000,0)</f>
        <v>#DIV/0!</v>
      </c>
      <c r="G51" s="3244"/>
      <c r="H51" s="3262"/>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92"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92"/>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92"/>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92"/>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3"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3"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4"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2227.66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5" t="s">
        <v>2787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0" t="s">
        <v>2807</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42" sqref="H4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2809</v>
      </c>
      <c r="B1" s="241"/>
      <c r="C1" s="245" t="s">
        <v>2810</v>
      </c>
      <c r="D1" s="388">
        <f>SUM(D29:D30,D33:D39)</f>
        <v>0</v>
      </c>
      <c r="E1" s="2721"/>
      <c r="F1" s="2721"/>
      <c r="G1" s="2721"/>
      <c r="H1" s="2721"/>
      <c r="I1" s="2721"/>
      <c r="J1" s="2721"/>
      <c r="K1" s="1373"/>
      <c r="L1" s="2722" t="s">
        <v>2811</v>
      </c>
      <c r="M1" s="1083">
        <f>SUMPRODUCT((区片价!B5:B9=I2)*(区片价!C3:F3=E2)*(区片价!C5:F9))</f>
        <v>0</v>
      </c>
      <c r="N1" s="1086">
        <f>SUMPRODUCT((因素修正幅度!B5:B9=I2)*(因素修正幅度!C3:F3=E2)*(因素修正幅度!C5:F9))</f>
        <v>0</v>
      </c>
      <c r="O1" s="2723"/>
      <c r="P1" s="2723"/>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5" t="s">
        <v>2818</v>
      </c>
      <c r="D2" s="2726" t="s">
        <v>2819</v>
      </c>
      <c r="E2" s="2727"/>
      <c r="F2" s="2726" t="s">
        <v>2820</v>
      </c>
      <c r="G2" s="2728">
        <f>IF(E2="商业",项目基本情况!B37,IF(E2="办公",项目基本情况!C37,IF(E2="住宅",项目基本情况!D37,项目基本情况!E37)))</f>
        <v>0</v>
      </c>
      <c r="H2" s="2726" t="s">
        <v>2821</v>
      </c>
      <c r="I2" s="2728">
        <f>IF(E2="商业",项目基本情况!B38,IF(E2="办公",项目基本情况!C38,IF(E2="住宅",项目基本情况!D38,项目基本情况!E38)))</f>
        <v>0</v>
      </c>
      <c r="J2" s="2729"/>
      <c r="K2" s="1373"/>
      <c r="L2" s="2730"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5" t="s">
        <v>2824</v>
      </c>
      <c r="D3" s="2726" t="s">
        <v>2825</v>
      </c>
      <c r="E3" s="2731"/>
      <c r="F3" s="2732" t="s">
        <v>2826</v>
      </c>
      <c r="G3" s="916">
        <f>IF(F3="宗地容积率",'数据-汇总表'!I4,IF(F3="估价对象容积率",'数据-汇总表'!I6,'数据-汇总表'!I7))</f>
        <v>17.52</v>
      </c>
      <c r="H3" s="198" t="s">
        <v>2827</v>
      </c>
      <c r="I3" s="947"/>
      <c r="J3" s="2729" t="s">
        <v>2828</v>
      </c>
      <c r="K3" s="1373"/>
      <c r="L3" s="2730"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1"/>
      <c r="B4" s="3312"/>
      <c r="C4" s="3312"/>
      <c r="D4" s="3313"/>
      <c r="E4" s="3313"/>
      <c r="F4" s="3313"/>
      <c r="G4" s="3313"/>
      <c r="H4" s="3313"/>
      <c r="I4" s="3313"/>
      <c r="J4" s="3314"/>
      <c r="K4" s="1373"/>
      <c r="L4" s="2730"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2831</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2833</v>
      </c>
      <c r="B6" s="2744" t="s">
        <v>2834</v>
      </c>
      <c r="C6" s="918">
        <f>SUMIF(L1:L12,G2,M1:M12)</f>
        <v>0</v>
      </c>
      <c r="D6" s="2745" t="s">
        <v>2835</v>
      </c>
      <c r="E6" s="2746"/>
      <c r="F6" s="2746"/>
      <c r="G6" s="2747"/>
      <c r="H6" s="2747"/>
      <c r="I6" s="2747"/>
      <c r="J6" s="2748"/>
      <c r="K6" s="1845"/>
      <c r="L6" s="2730"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97" t="str">
        <f>IF(E2="商业",IF(C8="不临58条商业街","",2),"")</f>
        <v/>
      </c>
      <c r="B7" s="2749" t="s">
        <v>2837</v>
      </c>
      <c r="C7" s="919" t="e">
        <f>IF(C8="不临58条商业街",1,ROUND(1+(1.6*E8+1.2*E9+0.8*E10+0.4*E11)*C9,4))</f>
        <v>#DIV/0!</v>
      </c>
      <c r="D7" s="2750" t="s">
        <v>2838</v>
      </c>
      <c r="E7" s="948"/>
      <c r="F7" s="2751"/>
      <c r="G7" s="2752"/>
      <c r="H7" s="2752"/>
      <c r="I7" s="2752"/>
      <c r="J7" s="2753"/>
      <c r="K7" s="1845"/>
      <c r="L7" s="2730"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2840</v>
      </c>
      <c r="X7" s="1607">
        <f>G2</f>
        <v>0</v>
      </c>
      <c r="Y7" s="1607" t="s">
        <v>2841</v>
      </c>
      <c r="Z7" s="1608">
        <f>G3</f>
        <v>17.52</v>
      </c>
      <c r="AA7" s="1609"/>
      <c r="AB7" s="1609"/>
      <c r="AC7" s="1610"/>
      <c r="AD7" s="1611"/>
      <c r="AE7" s="1611"/>
      <c r="AF7" s="1611"/>
      <c r="AG7" s="1611"/>
      <c r="AH7" s="1611"/>
      <c r="AI7" s="1611"/>
      <c r="AJ7" s="1612"/>
    </row>
    <row r="8" spans="1:36" ht="15">
      <c r="A8" s="3298"/>
      <c r="B8" s="198" t="s">
        <v>2842</v>
      </c>
      <c r="C8" s="2754"/>
      <c r="D8" s="920" t="s">
        <v>139</v>
      </c>
      <c r="E8" s="921" t="e">
        <f>ROUND(C11/E7,4)</f>
        <v>#DIV/0!</v>
      </c>
      <c r="F8" s="2755" t="s">
        <v>2843</v>
      </c>
      <c r="G8" s="2756"/>
      <c r="H8" s="2756"/>
      <c r="I8" s="2756"/>
      <c r="J8" s="2757"/>
      <c r="K8" s="1373"/>
      <c r="L8" s="2730"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08" t="s">
        <v>2845</v>
      </c>
      <c r="X8" s="3309"/>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8"/>
      <c r="B9" s="198" t="s">
        <v>2858</v>
      </c>
      <c r="C9" s="922">
        <f>SUMIF(修正!C59:C119,C8,修正!E59:E119)</f>
        <v>0</v>
      </c>
      <c r="D9" s="200" t="s">
        <v>140</v>
      </c>
      <c r="E9" s="200" t="e">
        <f>ROUND(C11/E7,4)</f>
        <v>#DIV/0!</v>
      </c>
      <c r="F9" s="2755" t="s">
        <v>2859</v>
      </c>
      <c r="G9" s="2756"/>
      <c r="H9" s="2756"/>
      <c r="I9" s="2756"/>
      <c r="J9" s="2757"/>
      <c r="K9" s="1373"/>
      <c r="L9" s="2730"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0"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8"/>
      <c r="B10" s="198" t="s">
        <v>2863</v>
      </c>
      <c r="C10" s="200">
        <f>SUMIF(修正!C59:C119,C8,修正!F59:F119)</f>
        <v>0</v>
      </c>
      <c r="D10" s="200" t="s">
        <v>141</v>
      </c>
      <c r="E10" s="200" t="e">
        <f>ROUND(C11/E7,4)</f>
        <v>#DIV/0!</v>
      </c>
      <c r="F10" s="2755" t="s">
        <v>2864</v>
      </c>
      <c r="G10" s="2756"/>
      <c r="H10" s="2756"/>
      <c r="I10" s="2756"/>
      <c r="J10" s="2757"/>
      <c r="K10" s="1373"/>
      <c r="L10" s="2730"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8"/>
      <c r="B11" s="2758" t="s">
        <v>2866</v>
      </c>
      <c r="C11" s="923">
        <f>C10/4</f>
        <v>0</v>
      </c>
      <c r="D11" s="923" t="s">
        <v>142</v>
      </c>
      <c r="E11" s="923" t="e">
        <f>ROUND(C11/E7,4)</f>
        <v>#DIV/0!</v>
      </c>
      <c r="F11" s="2759" t="s">
        <v>2867</v>
      </c>
      <c r="G11" s="2760"/>
      <c r="H11" s="2760"/>
      <c r="I11" s="2760"/>
      <c r="J11" s="2761"/>
      <c r="K11" s="1373"/>
      <c r="L11" s="2730"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0" t="s">
        <v>2869</v>
      </c>
      <c r="X11" s="1617" t="s">
        <v>2870</v>
      </c>
      <c r="Y11" s="1618">
        <f>$G$3</f>
        <v>17.52</v>
      </c>
      <c r="Z11" s="1618">
        <f t="shared" ref="Z11:AJ11" si="3">$G$3</f>
        <v>17.52</v>
      </c>
      <c r="AA11" s="1618">
        <f t="shared" si="3"/>
        <v>17.52</v>
      </c>
      <c r="AB11" s="1618">
        <f t="shared" si="3"/>
        <v>17.52</v>
      </c>
      <c r="AC11" s="1618">
        <f t="shared" si="3"/>
        <v>17.52</v>
      </c>
      <c r="AD11" s="1618">
        <f t="shared" si="3"/>
        <v>17.52</v>
      </c>
      <c r="AE11" s="1618">
        <f t="shared" si="3"/>
        <v>17.52</v>
      </c>
      <c r="AF11" s="1618">
        <f t="shared" si="3"/>
        <v>17.52</v>
      </c>
      <c r="AG11" s="1618">
        <f t="shared" si="3"/>
        <v>17.52</v>
      </c>
      <c r="AH11" s="1618">
        <f t="shared" si="3"/>
        <v>17.52</v>
      </c>
      <c r="AI11" s="1618">
        <f t="shared" si="3"/>
        <v>17.52</v>
      </c>
      <c r="AJ11" s="1618">
        <f t="shared" si="3"/>
        <v>17.52</v>
      </c>
    </row>
    <row r="12" spans="1:36" ht="25.5" thickBot="1">
      <c r="A12" s="3297" t="s">
        <v>2871</v>
      </c>
      <c r="B12" s="2762" t="s">
        <v>2872</v>
      </c>
      <c r="C12" s="919">
        <f>ROUND(C15*D15*E15*F15*G15*H15*I15*J15,4)</f>
        <v>1</v>
      </c>
      <c r="D12" s="2763" t="s">
        <v>2873</v>
      </c>
      <c r="E12" s="2764"/>
      <c r="F12" s="2764"/>
      <c r="G12" s="2765"/>
      <c r="H12" s="2765"/>
      <c r="I12" s="2765"/>
      <c r="J12" s="2766"/>
      <c r="K12" s="1373"/>
      <c r="L12" s="2767"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0"/>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5"/>
      <c r="B13" s="2768" t="s">
        <v>2876</v>
      </c>
      <c r="C13" s="2769" t="s">
        <v>2877</v>
      </c>
      <c r="D13" s="1811" t="s">
        <v>2878</v>
      </c>
      <c r="E13" s="1811" t="s">
        <v>2879</v>
      </c>
      <c r="F13" s="30" t="s">
        <v>2880</v>
      </c>
      <c r="G13" s="2770" t="s">
        <v>2881</v>
      </c>
      <c r="H13" s="2770" t="s">
        <v>2881</v>
      </c>
      <c r="I13" s="2770" t="s">
        <v>2881</v>
      </c>
      <c r="J13" s="2771" t="s">
        <v>2881</v>
      </c>
      <c r="K13" s="1373"/>
      <c r="L13" s="1373"/>
      <c r="M13" s="1373"/>
      <c r="N13" s="1373"/>
      <c r="O13" s="1373"/>
      <c r="P13" s="1373"/>
      <c r="Q13" s="1373"/>
      <c r="R13" s="1605">
        <v>12</v>
      </c>
      <c r="S13" s="1606"/>
      <c r="T13" s="1605" t="e">
        <f t="shared" si="0"/>
        <v>#DIV/0!</v>
      </c>
      <c r="U13" s="1606"/>
      <c r="V13" s="1605" t="e">
        <f t="shared" si="1"/>
        <v>#DIV/0!</v>
      </c>
      <c r="W13" s="3310"/>
      <c r="X13" s="1619"/>
      <c r="Y13" s="1616">
        <f>(-0.163*(Y12^2)-0.59*Y12+7617)*(10^(-4))/Y11</f>
        <v>4.3476027397260281E-2</v>
      </c>
      <c r="Z13" s="1616">
        <f t="shared" ref="Z13:AJ13" si="5">(-0.163*(Z12^2)-0.59*Z12+7617)*(10^(-4))/Z11</f>
        <v>4.3476027397260281E-2</v>
      </c>
      <c r="AA13" s="1616">
        <f t="shared" si="5"/>
        <v>4.3476027397260281E-2</v>
      </c>
      <c r="AB13" s="1616">
        <f t="shared" si="5"/>
        <v>4.3476027397260281E-2</v>
      </c>
      <c r="AC13" s="1616">
        <f t="shared" si="5"/>
        <v>4.3476027397260281E-2</v>
      </c>
      <c r="AD13" s="1616">
        <f t="shared" si="5"/>
        <v>4.3476027397260281E-2</v>
      </c>
      <c r="AE13" s="1616">
        <f t="shared" si="5"/>
        <v>4.3476027397260281E-2</v>
      </c>
      <c r="AF13" s="1616">
        <f t="shared" si="5"/>
        <v>4.3476027397260281E-2</v>
      </c>
      <c r="AG13" s="1616">
        <f t="shared" si="5"/>
        <v>4.3476027397260281E-2</v>
      </c>
      <c r="AH13" s="1616">
        <f t="shared" si="5"/>
        <v>4.3476027397260281E-2</v>
      </c>
      <c r="AI13" s="1616">
        <f t="shared" si="5"/>
        <v>4.3476027397260281E-2</v>
      </c>
      <c r="AJ13" s="1616">
        <f t="shared" si="5"/>
        <v>4.3476027397260281E-2</v>
      </c>
    </row>
    <row r="14" spans="1:36" ht="15">
      <c r="A14" s="3315"/>
      <c r="B14" s="2772"/>
      <c r="C14" s="2773"/>
      <c r="D14" s="2774"/>
      <c r="E14" s="2774"/>
      <c r="F14" s="2775"/>
      <c r="G14" s="2776" t="s">
        <v>2882</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16"/>
      <c r="B15" s="2780" t="s">
        <v>2883</v>
      </c>
      <c r="C15" s="229">
        <f>IF(C14="有",1.1,1)</f>
        <v>1</v>
      </c>
      <c r="D15" s="229">
        <f>IF(D14="有",1.1,1)</f>
        <v>1</v>
      </c>
      <c r="E15" s="229">
        <f>IF(E14="有",1.1,1)</f>
        <v>1</v>
      </c>
      <c r="F15" s="229">
        <f>IF(F14="500米范围内",1.2,IF(F14="500-1000米",1.1,1))</f>
        <v>1</v>
      </c>
      <c r="G15" s="949">
        <v>1</v>
      </c>
      <c r="H15" s="949">
        <v>1</v>
      </c>
      <c r="I15" s="949">
        <v>1</v>
      </c>
      <c r="J15" s="950">
        <v>1</v>
      </c>
      <c r="K15" s="1373"/>
      <c r="L15" s="2781" t="s">
        <v>2819</v>
      </c>
      <c r="M15" s="920" t="s">
        <v>2884</v>
      </c>
      <c r="N15" s="920" t="s">
        <v>2885</v>
      </c>
      <c r="O15" s="920" t="s">
        <v>2886</v>
      </c>
      <c r="P15" s="2782" t="s">
        <v>2887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7" t="s">
        <v>2888</v>
      </c>
      <c r="B16" s="2749" t="s">
        <v>2889</v>
      </c>
      <c r="C16" s="1804" t="e">
        <f>ROUND(SUM(G17:J17)/C17,0)</f>
        <v>#DIV/0!</v>
      </c>
      <c r="D16" s="2783" t="s">
        <v>2890</v>
      </c>
      <c r="E16" s="2784"/>
      <c r="F16" s="2785"/>
      <c r="G16" s="2786"/>
      <c r="H16" s="2786"/>
      <c r="I16" s="2786"/>
      <c r="J16" s="2787"/>
      <c r="K16" s="1373"/>
      <c r="L16" s="2788" t="s">
        <v>2891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8"/>
      <c r="B17" s="2789" t="s">
        <v>2892</v>
      </c>
      <c r="C17" s="924">
        <f>SUMPRODUCT((修正!A2:A5=E2)*(修正!B1:M1=G2)*(修正!B2:M5))</f>
        <v>0</v>
      </c>
      <c r="D17" s="2790"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2896</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2897</v>
      </c>
      <c r="C19" s="927" t="e">
        <f>ROUND(IF(H19="按公示增长率计算",SUMPRODUCT((地价!A3:A22=YEAR(G19)&amp;"-"&amp;ROUNDUP(MONTH(G19)/3,0))*(地价!X2:AB2=E2)*(地价!X3:AB22)),IF(H19="地价指数",M20/M19,(1+I19)^O19)),4)</f>
        <v>#DIV/0!</v>
      </c>
      <c r="D19" s="2801" t="s">
        <v>2898</v>
      </c>
      <c r="E19" s="928">
        <v>41640</v>
      </c>
      <c r="F19" s="2801" t="s">
        <v>2899</v>
      </c>
      <c r="G19" s="929">
        <f>'数据-取费表'!B2</f>
        <v>43236</v>
      </c>
      <c r="H19" s="2802" t="s">
        <v>2900</v>
      </c>
      <c r="I19" s="930" t="str">
        <f>IF(H19="季度增幅（自定义）",SUMIF(N21:N24,E2,O21:O24),"")</f>
        <v/>
      </c>
      <c r="J19" s="2799"/>
      <c r="K19" s="1380"/>
      <c r="L19" s="2803" t="s">
        <v>2901</v>
      </c>
      <c r="M19" s="1737">
        <f>ROUND(SUMIF(地价!B2:F2,E2,地价!B22:F22),0)</f>
        <v>0</v>
      </c>
      <c r="N19" s="2804" t="s">
        <v>2902</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2903</v>
      </c>
      <c r="C20" s="932" t="e">
        <f>ROUND(POWER(1+G20,J20-I20)*(POWER(1+G20,I20)-1)/(POWER(1+G20,J20)-1),4)</f>
        <v>#DIV/0!</v>
      </c>
      <c r="D20" s="2810" t="s">
        <v>2904</v>
      </c>
      <c r="E20" s="1771">
        <f ca="1">存贷款利率!D4/100</f>
        <v>4.3499999999999997E-2</v>
      </c>
      <c r="F20" s="2810" t="s">
        <v>2895</v>
      </c>
      <c r="G20" s="937">
        <f>SUMIF(M15:P15,E2,M17:P17)</f>
        <v>0</v>
      </c>
      <c r="H20" s="2810" t="s">
        <v>2905</v>
      </c>
      <c r="I20" s="938" t="e">
        <f>SUMIF('数据-取费表'!C6:C15,E2,'数据-取费表'!F6:F15)/COUNTIF('数据-取费表'!C6:C15,E2)</f>
        <v>#DIV/0!</v>
      </c>
      <c r="J20" s="939">
        <f>IF(E2="住宅",70,IF(E2="商业",40,50))</f>
        <v>50</v>
      </c>
      <c r="K20" s="1380"/>
      <c r="L20" s="2811" t="s">
        <v>2906</v>
      </c>
      <c r="M20" s="1738">
        <f>ROUND(SUMPRODUCT((地价!A4:A22=YEAR(G19)&amp;"-"&amp;ROUNDUP(MONTH(G19)/3,0))*(地价!B2:F2=E2)*(地价!B4:F22)),0)</f>
        <v>0</v>
      </c>
      <c r="N20" s="2812" t="s">
        <v>2907</v>
      </c>
      <c r="O20" s="2813" t="s">
        <v>2908</v>
      </c>
      <c r="P20" s="2814" t="s">
        <v>2909</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2910</v>
      </c>
      <c r="C21" s="940">
        <f>IF(B21="容积率修正",IF(G3&lt;=10,D22,J22),C23)</f>
        <v>0</v>
      </c>
      <c r="D21" s="2817"/>
      <c r="E21" s="2817"/>
      <c r="F21" s="2817"/>
      <c r="G21" s="2817"/>
      <c r="H21" s="2817"/>
      <c r="I21" s="2817"/>
      <c r="J21" s="2818"/>
      <c r="K21" s="1380"/>
      <c r="N21" s="2819" t="s">
        <v>2911</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2912</v>
      </c>
      <c r="B22" s="2820" t="s">
        <v>2913</v>
      </c>
      <c r="C22" s="1813" t="s">
        <v>2914</v>
      </c>
      <c r="D22" s="1813" t="str">
        <f>IF(E22=G22,F22,IF(G3&lt;=10,ROUND(F22+(H22-F22)*(G3-E22)/(G22-E22),4),"——"))</f>
        <v>——</v>
      </c>
      <c r="E22" s="916">
        <f>ROUNDDOWN(G3,1)</f>
        <v>17.5</v>
      </c>
      <c r="F22" s="181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17.600000000000001</v>
      </c>
      <c r="H22" s="181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3" t="s">
        <v>155</v>
      </c>
      <c r="J22" s="941">
        <f>IF(G3&gt;10,D113,"——")</f>
        <v>0</v>
      </c>
      <c r="K22" s="1380"/>
      <c r="N22" s="2819" t="s">
        <v>2915</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8" t="s">
        <v>2916</v>
      </c>
      <c r="B23" s="2821" t="s">
        <v>2917</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2918</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2919</v>
      </c>
      <c r="C24" s="927">
        <f>SUMIF(A45:A88,E2,B45:B88)</f>
        <v>0</v>
      </c>
      <c r="D24" s="2797"/>
      <c r="E24" s="2827"/>
      <c r="F24" s="2827"/>
      <c r="G24" s="2827"/>
      <c r="H24" s="2827"/>
      <c r="I24" s="2827"/>
      <c r="J24" s="2828"/>
      <c r="K24" s="1380"/>
      <c r="N24" s="2829" t="s">
        <v>2920</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2921</v>
      </c>
      <c r="C25" s="933"/>
      <c r="D25" s="2752"/>
      <c r="E25" s="2752"/>
      <c r="F25" s="2831"/>
      <c r="G25" s="2752"/>
      <c r="H25" s="2752"/>
      <c r="I25" s="2752"/>
      <c r="J25" s="2753"/>
      <c r="K25" s="1373"/>
      <c r="N25" s="2832" t="s">
        <v>2922</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3"/>
      <c r="B26" s="2820" t="s">
        <v>2923</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2924</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2925</v>
      </c>
      <c r="C28" s="2844" t="s">
        <v>2926</v>
      </c>
      <c r="D28" s="2844" t="s">
        <v>2927</v>
      </c>
      <c r="E28" s="2845" t="s">
        <v>2928</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2929</v>
      </c>
      <c r="C29" s="206" t="e">
        <f>ROUND(C5*C18*C19*C20*C21*C24,0)</f>
        <v>#DIV/0!</v>
      </c>
      <c r="D29" s="2849"/>
      <c r="E29" s="945" t="e">
        <f>ROUND(C29*D29/10000,0)</f>
        <v>#DIV/0!</v>
      </c>
      <c r="F29" s="2850" t="s">
        <v>2930</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2931</v>
      </c>
      <c r="C30" s="229" t="e">
        <f>ROUND(IF(E2="工业",C29*M39,C29*M38),0)</f>
        <v>#DIV/0!</v>
      </c>
      <c r="D30" s="2855"/>
      <c r="E30" s="945" t="e">
        <f>ROUND(C30*D30/10000,0)</f>
        <v>#DIV/0!</v>
      </c>
      <c r="F30" s="2856" t="s">
        <v>2932</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2933</v>
      </c>
      <c r="C31" s="2861" t="s">
        <v>2934</v>
      </c>
      <c r="D31" s="2765"/>
      <c r="E31" s="2861"/>
      <c r="F31" s="2861"/>
      <c r="G31" s="2763" t="s">
        <v>2935</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2926</v>
      </c>
      <c r="D32" s="498" t="s">
        <v>2927</v>
      </c>
      <c r="E32" s="498" t="s">
        <v>2928</v>
      </c>
      <c r="F32" s="388" t="s">
        <v>2936</v>
      </c>
      <c r="G32" s="2864" t="s">
        <v>2926</v>
      </c>
      <c r="H32" s="2864" t="s">
        <v>2927</v>
      </c>
      <c r="I32" s="2864"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05" t="s">
        <v>2937</v>
      </c>
      <c r="B33" s="2865" t="s">
        <v>2938</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6"/>
      <c r="B34" s="2769" t="s">
        <v>2939</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6"/>
      <c r="B35" s="2769" t="s">
        <v>2940</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07"/>
      <c r="B36" s="2769" t="s">
        <v>2941</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2942</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3"/>
      <c r="L37" s="2868" t="s">
        <v>2943</v>
      </c>
      <c r="M37" s="2869"/>
      <c r="N37" s="1373"/>
      <c r="O37" s="1373"/>
      <c r="P37" s="1373"/>
      <c r="Q37" s="1373"/>
      <c r="R37" s="1373"/>
      <c r="S37" s="1373"/>
      <c r="T37" s="1373"/>
      <c r="U37" s="1373"/>
      <c r="V37" s="1373"/>
      <c r="W37" s="1373"/>
      <c r="X37" s="1373"/>
      <c r="Y37" s="1373"/>
      <c r="Z37" s="1374"/>
    </row>
    <row r="38" spans="1:37">
      <c r="A38" s="2867"/>
      <c r="B38" s="2769" t="s">
        <v>2944</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3"/>
      <c r="L38" s="1890" t="s">
        <v>2945</v>
      </c>
      <c r="M38" s="2870">
        <v>0.25</v>
      </c>
      <c r="N38" s="1373"/>
      <c r="O38" s="1373"/>
      <c r="P38" s="1373"/>
      <c r="Q38" s="1373"/>
      <c r="R38" s="1373"/>
      <c r="S38" s="1373"/>
      <c r="T38" s="1373"/>
      <c r="U38" s="1373"/>
      <c r="V38" s="1373"/>
      <c r="W38" s="1373"/>
      <c r="X38" s="1373"/>
      <c r="Y38" s="1373"/>
      <c r="Z38" s="1374"/>
    </row>
    <row r="39" spans="1:37" ht="13.5" thickBot="1">
      <c r="A39" s="2853"/>
      <c r="B39" s="2871" t="s">
        <v>2946</v>
      </c>
      <c r="C39" s="229" t="e">
        <f>ROUND(C5*C19*C20*C24*F39,0)</f>
        <v>#DIV/0!</v>
      </c>
      <c r="D39" s="2855"/>
      <c r="E39" s="229" t="e">
        <f t="shared" si="7"/>
        <v>#DIV/0!</v>
      </c>
      <c r="F39" s="935">
        <f>SUMIF(修正!A45:A56,G2,修正!H45:H56)</f>
        <v>0</v>
      </c>
      <c r="G39" s="229" t="e">
        <f t="shared" si="6"/>
        <v>#DIV/0!</v>
      </c>
      <c r="H39" s="229">
        <f t="shared" si="8"/>
        <v>0</v>
      </c>
      <c r="I39" s="229" t="e">
        <f t="shared" si="9"/>
        <v>#DIV/0!</v>
      </c>
      <c r="J39" s="2872"/>
      <c r="K39" s="1373"/>
      <c r="L39" s="2873" t="s">
        <v>2887</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2947</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2948</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2949</v>
      </c>
      <c r="B47" s="1812" t="s">
        <v>2950</v>
      </c>
      <c r="C47" s="1812" t="s">
        <v>2951</v>
      </c>
      <c r="D47" s="1812" t="s">
        <v>2952</v>
      </c>
      <c r="E47" s="819" t="s">
        <v>2953</v>
      </c>
      <c r="F47" s="2883" t="s">
        <v>2954</v>
      </c>
      <c r="G47" s="1812" t="s">
        <v>754</v>
      </c>
      <c r="H47" s="2884" t="s">
        <v>2955</v>
      </c>
      <c r="I47" s="1812" t="s">
        <v>2956</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2" t="s">
        <v>2957</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2958</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2959</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2960</v>
      </c>
      <c r="B51" s="2887" t="s">
        <v>2961</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2962</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2963</v>
      </c>
      <c r="B53" s="2888" t="s">
        <v>2964</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2965</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2966</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2967</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2968</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2949</v>
      </c>
      <c r="B58" s="1812"/>
      <c r="C58" s="1812" t="s">
        <v>2951</v>
      </c>
      <c r="D58" s="1812" t="s">
        <v>2952</v>
      </c>
      <c r="E58" s="819" t="s">
        <v>2953</v>
      </c>
      <c r="F58" s="2883" t="s">
        <v>2969</v>
      </c>
      <c r="G58" s="1812" t="s">
        <v>754</v>
      </c>
      <c r="H58" s="2884" t="s">
        <v>2955</v>
      </c>
      <c r="I58" s="1812" t="s">
        <v>2956</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2" t="s">
        <v>2970</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2958</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2959</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2960</v>
      </c>
      <c r="B62" s="2887" t="s">
        <v>2961</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2962</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2963</v>
      </c>
      <c r="B64" s="2888" t="s">
        <v>2964</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2965</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2966</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2967</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2971</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2949</v>
      </c>
      <c r="B69" s="1812"/>
      <c r="C69" s="1812" t="s">
        <v>2951</v>
      </c>
      <c r="D69" s="1812" t="s">
        <v>2952</v>
      </c>
      <c r="E69" s="819" t="s">
        <v>2953</v>
      </c>
      <c r="F69" s="2883" t="s">
        <v>2969</v>
      </c>
      <c r="G69" s="1812" t="s">
        <v>754</v>
      </c>
      <c r="H69" s="2884" t="s">
        <v>2955</v>
      </c>
      <c r="I69" s="1812" t="s">
        <v>2956</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2" t="s">
        <v>2972</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2958</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2959</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2973</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2965</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2966</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2963</v>
      </c>
      <c r="B76" s="2888" t="s">
        <v>2964</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2967</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2974</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2975</v>
      </c>
      <c r="B79" s="2879">
        <f>1+E81</f>
        <v>1</v>
      </c>
      <c r="C79" s="814"/>
      <c r="D79" s="814"/>
      <c r="E79" s="815"/>
      <c r="F79" s="2881"/>
      <c r="G79" s="6"/>
      <c r="H79" s="6"/>
      <c r="I79" s="6"/>
      <c r="J79" s="7"/>
      <c r="K79" s="7"/>
      <c r="L79" s="7"/>
      <c r="M79" s="7"/>
      <c r="N79" s="7"/>
      <c r="Z79" s="2724"/>
      <c r="AA79" s="2800"/>
      <c r="AG79" s="1375"/>
      <c r="AK79" s="2800"/>
    </row>
    <row r="80" spans="1:37" ht="24.75">
      <c r="A80" s="2882" t="s">
        <v>2949</v>
      </c>
      <c r="B80" s="1812"/>
      <c r="C80" s="1812" t="s">
        <v>2951</v>
      </c>
      <c r="D80" s="1812" t="s">
        <v>2952</v>
      </c>
      <c r="E80" s="819" t="s">
        <v>2953</v>
      </c>
      <c r="F80" s="2883" t="s">
        <v>2969</v>
      </c>
      <c r="G80" s="1812" t="s">
        <v>754</v>
      </c>
      <c r="H80" s="2884" t="s">
        <v>2955</v>
      </c>
      <c r="I80" s="1812" t="s">
        <v>2956</v>
      </c>
      <c r="J80" s="603" t="s">
        <v>2602</v>
      </c>
      <c r="K80" s="603" t="s">
        <v>2603</v>
      </c>
      <c r="L80" s="603" t="s">
        <v>2604</v>
      </c>
      <c r="M80" s="603" t="s">
        <v>2605</v>
      </c>
      <c r="N80" s="603" t="s">
        <v>2606</v>
      </c>
      <c r="Z80" s="2724"/>
      <c r="AA80" s="2800"/>
      <c r="AG80" s="1375"/>
      <c r="AK80" s="2800"/>
    </row>
    <row r="81" spans="1:37" ht="38.25">
      <c r="A81" s="2882" t="s">
        <v>2976</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2958</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2959</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2973</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2965</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2966</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2963</v>
      </c>
      <c r="B87" s="2888" t="s">
        <v>2977</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2978</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99" t="s">
        <v>2979</v>
      </c>
      <c r="B90" s="3299"/>
      <c r="C90" s="3299"/>
      <c r="D90" s="3299"/>
      <c r="E90" s="3299"/>
      <c r="F90" s="3299"/>
      <c r="G90" s="3299"/>
      <c r="H90" s="3299"/>
      <c r="I90" s="3299"/>
      <c r="J90" s="3299"/>
      <c r="K90" s="2896"/>
      <c r="L90" s="2896"/>
      <c r="M90" s="2896"/>
      <c r="N90" s="2896"/>
    </row>
    <row r="91" spans="1:37">
      <c r="A91" s="3301" t="s">
        <v>2980</v>
      </c>
      <c r="B91" s="3301" t="s">
        <v>2981</v>
      </c>
      <c r="C91" s="2850" t="s">
        <v>2982</v>
      </c>
      <c r="D91" s="2851"/>
      <c r="E91" s="2851"/>
      <c r="F91" s="2851"/>
      <c r="G91" s="2851"/>
      <c r="H91" s="2851"/>
      <c r="I91" s="2851"/>
      <c r="J91" s="2897"/>
      <c r="K91" s="2898"/>
      <c r="L91" s="2898"/>
      <c r="M91" s="2898"/>
      <c r="N91" s="2898"/>
    </row>
    <row r="92" spans="1:37">
      <c r="A92" s="3301"/>
      <c r="B92" s="3301"/>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302" t="s">
        <v>2983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3"/>
      <c r="B99" s="2899" t="s">
        <v>2862</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0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02" t="s">
        <v>2984</v>
      </c>
      <c r="B101" s="2903" t="s">
        <v>2985</v>
      </c>
      <c r="C101" s="2904">
        <f>$G$3</f>
        <v>17.52</v>
      </c>
      <c r="D101" s="2904">
        <f t="shared" ref="D101:N101" si="31">$G$3</f>
        <v>17.52</v>
      </c>
      <c r="E101" s="2904">
        <f t="shared" si="31"/>
        <v>17.52</v>
      </c>
      <c r="F101" s="2904">
        <f t="shared" si="31"/>
        <v>17.52</v>
      </c>
      <c r="G101" s="2904">
        <f t="shared" si="31"/>
        <v>17.52</v>
      </c>
      <c r="H101" s="2904">
        <f t="shared" si="31"/>
        <v>17.52</v>
      </c>
      <c r="I101" s="2904">
        <f t="shared" si="31"/>
        <v>17.52</v>
      </c>
      <c r="J101" s="2904">
        <f t="shared" si="31"/>
        <v>17.52</v>
      </c>
      <c r="K101" s="2904">
        <f t="shared" si="31"/>
        <v>17.52</v>
      </c>
      <c r="L101" s="2904">
        <f t="shared" si="31"/>
        <v>17.52</v>
      </c>
      <c r="M101" s="2904">
        <f t="shared" si="31"/>
        <v>17.52</v>
      </c>
      <c r="N101" s="2904">
        <f t="shared" si="31"/>
        <v>17.52</v>
      </c>
    </row>
    <row r="102" spans="1:14">
      <c r="A102" s="3303"/>
      <c r="B102" s="2899">
        <v>1</v>
      </c>
      <c r="C102" s="2900">
        <f>1.9362/C101</f>
        <v>0.11051369863013698</v>
      </c>
      <c r="D102" s="2900">
        <f>1.9362/D101</f>
        <v>0.11051369863013698</v>
      </c>
      <c r="E102" s="2900">
        <f>1.8629/E101</f>
        <v>0.10632990867579908</v>
      </c>
      <c r="F102" s="2900">
        <f>1.8629/F101</f>
        <v>0.10632990867579908</v>
      </c>
      <c r="G102" s="2900">
        <f>1.8629/G101</f>
        <v>0.10632990867579908</v>
      </c>
      <c r="H102" s="2900">
        <f>1.8629/H101</f>
        <v>0.10632990867579908</v>
      </c>
      <c r="I102" s="2900">
        <f>1.8629/I101</f>
        <v>0.10632990867579908</v>
      </c>
      <c r="J102" s="2900">
        <f>1.942/J101</f>
        <v>0.11084474885844749</v>
      </c>
      <c r="K102" s="2900">
        <f>1.942/K101</f>
        <v>0.11084474885844749</v>
      </c>
      <c r="L102" s="2900">
        <f>1.942/L101</f>
        <v>0.11084474885844749</v>
      </c>
      <c r="M102" s="2900">
        <f>1.942/M101</f>
        <v>0.11084474885844749</v>
      </c>
      <c r="N102" s="2900">
        <f>1.942/N101</f>
        <v>0.11084474885844749</v>
      </c>
    </row>
    <row r="103" spans="1:14">
      <c r="A103" s="3303"/>
      <c r="B103" s="2899">
        <v>2</v>
      </c>
      <c r="C103" s="2900">
        <f>1.4198/C101</f>
        <v>8.1038812785388131E-2</v>
      </c>
      <c r="D103" s="2900">
        <f>1.4198/D101</f>
        <v>8.1038812785388131E-2</v>
      </c>
      <c r="E103" s="2900">
        <f>1.3372/E101</f>
        <v>7.6324200913242005E-2</v>
      </c>
      <c r="F103" s="2900">
        <f>1.3372/F101</f>
        <v>7.6324200913242005E-2</v>
      </c>
      <c r="G103" s="2900">
        <f>1.3372/G101</f>
        <v>7.6324200913242005E-2</v>
      </c>
      <c r="H103" s="2900">
        <f>1.3372/H101</f>
        <v>7.6324200913242005E-2</v>
      </c>
      <c r="I103" s="2900">
        <f>1.3372/I101</f>
        <v>7.6324200913242005E-2</v>
      </c>
      <c r="J103" s="2900">
        <f>1.2799/J101</f>
        <v>7.3053652968036537E-2</v>
      </c>
      <c r="K103" s="2900">
        <f>1.2799/K101</f>
        <v>7.3053652968036537E-2</v>
      </c>
      <c r="L103" s="2900">
        <f>1.2799/L101</f>
        <v>7.3053652968036537E-2</v>
      </c>
      <c r="M103" s="2900">
        <f>1.2799/M101</f>
        <v>7.3053652968036537E-2</v>
      </c>
      <c r="N103" s="2900">
        <f>1.2799/N101</f>
        <v>7.3053652968036537E-2</v>
      </c>
    </row>
    <row r="104" spans="1:14">
      <c r="A104" s="3303"/>
      <c r="B104" s="2899">
        <v>3</v>
      </c>
      <c r="C104" s="2900">
        <f>1.1594/C101</f>
        <v>6.6175799086757997E-2</v>
      </c>
      <c r="D104" s="2900">
        <f>1.1594/D101</f>
        <v>6.6175799086757997E-2</v>
      </c>
      <c r="E104" s="2900">
        <f>1.0788/E101</f>
        <v>6.1575342465753427E-2</v>
      </c>
      <c r="F104" s="2900">
        <f>1.0788/F101</f>
        <v>6.1575342465753427E-2</v>
      </c>
      <c r="G104" s="2900">
        <f>1.0788/G101</f>
        <v>6.1575342465753427E-2</v>
      </c>
      <c r="H104" s="2900">
        <f>1.0788/H101</f>
        <v>6.1575342465753427E-2</v>
      </c>
      <c r="I104" s="2900">
        <f>1.0788/I101</f>
        <v>6.1575342465753427E-2</v>
      </c>
      <c r="J104" s="2900">
        <f>1.0072/J101</f>
        <v>5.7488584474885848E-2</v>
      </c>
      <c r="K104" s="2900">
        <f>1.0072/K101</f>
        <v>5.7488584474885848E-2</v>
      </c>
      <c r="L104" s="2900">
        <f>1.0072/L101</f>
        <v>5.7488584474885848E-2</v>
      </c>
      <c r="M104" s="2900">
        <f>1.0072/M101</f>
        <v>5.7488584474885848E-2</v>
      </c>
      <c r="N104" s="2900">
        <f>1.0072/N101</f>
        <v>5.7488584474885848E-2</v>
      </c>
    </row>
    <row r="105" spans="1:14">
      <c r="A105" s="3303"/>
      <c r="B105" s="2899">
        <v>4</v>
      </c>
      <c r="C105" s="2900">
        <f>0.9622/C101</f>
        <v>5.492009132420092E-2</v>
      </c>
      <c r="D105" s="2900">
        <f>0.9622/D101</f>
        <v>5.492009132420092E-2</v>
      </c>
      <c r="E105" s="2900">
        <f>0.8656/E101</f>
        <v>4.9406392694063932E-2</v>
      </c>
      <c r="F105" s="2900">
        <f>0.8656/F101</f>
        <v>4.9406392694063932E-2</v>
      </c>
      <c r="G105" s="2900">
        <f>0.8656/G101</f>
        <v>4.9406392694063932E-2</v>
      </c>
      <c r="H105" s="2900">
        <f>0.8656/H101</f>
        <v>4.9406392694063932E-2</v>
      </c>
      <c r="I105" s="2900">
        <f>0.8656/I101</f>
        <v>4.9406392694063932E-2</v>
      </c>
      <c r="J105" s="2900">
        <f>0.7525/J101</f>
        <v>4.2950913242009128E-2</v>
      </c>
      <c r="K105" s="2900">
        <f>0.7525/K101</f>
        <v>4.2950913242009128E-2</v>
      </c>
      <c r="L105" s="2900">
        <f>0.7525/L101</f>
        <v>4.2950913242009128E-2</v>
      </c>
      <c r="M105" s="2900">
        <f>0.7525/M101</f>
        <v>4.2950913242009128E-2</v>
      </c>
      <c r="N105" s="2900">
        <f>0.7525/N101</f>
        <v>4.2950913242009128E-2</v>
      </c>
    </row>
    <row r="106" spans="1:14">
      <c r="A106" s="3303"/>
      <c r="B106" s="2899">
        <v>5</v>
      </c>
      <c r="C106" s="2900">
        <f>0.8417/C101</f>
        <v>4.8042237442922374E-2</v>
      </c>
      <c r="D106" s="2900">
        <f>0.8417/D101</f>
        <v>4.8042237442922374E-2</v>
      </c>
      <c r="E106" s="2900">
        <f>0.7371/E101</f>
        <v>4.2071917808219179E-2</v>
      </c>
      <c r="F106" s="2900">
        <f>0.7371/F101</f>
        <v>4.2071917808219179E-2</v>
      </c>
      <c r="G106" s="2900">
        <f>0.7371/G101</f>
        <v>4.2071917808219179E-2</v>
      </c>
      <c r="H106" s="2900">
        <f>0.7371/H101</f>
        <v>4.2071917808219179E-2</v>
      </c>
      <c r="I106" s="2900">
        <f>0.7371/I101</f>
        <v>4.2071917808219179E-2</v>
      </c>
      <c r="J106" s="2900">
        <f>0.5659/J101</f>
        <v>3.2300228310502284E-2</v>
      </c>
      <c r="K106" s="2900">
        <f>0.5659/K101</f>
        <v>3.2300228310502284E-2</v>
      </c>
      <c r="L106" s="2900">
        <f>0.5659/L101</f>
        <v>3.2300228310502284E-2</v>
      </c>
      <c r="M106" s="2900">
        <f>0.5659/M101</f>
        <v>3.2300228310502284E-2</v>
      </c>
      <c r="N106" s="2900">
        <f>0.5659/N101</f>
        <v>3.2300228310502284E-2</v>
      </c>
    </row>
    <row r="107" spans="1:14">
      <c r="A107" s="3303"/>
      <c r="B107" s="2899">
        <v>6</v>
      </c>
      <c r="C107" s="2900">
        <f>0.7608/C101</f>
        <v>4.3424657534246576E-2</v>
      </c>
      <c r="D107" s="2900">
        <f>0.7608/D101</f>
        <v>4.3424657534246576E-2</v>
      </c>
      <c r="E107" s="2900">
        <f>0.6482/E101</f>
        <v>3.6997716894977169E-2</v>
      </c>
      <c r="F107" s="2900">
        <f>0.6482/F101</f>
        <v>3.6997716894977169E-2</v>
      </c>
      <c r="G107" s="2900">
        <f>0.6482/G101</f>
        <v>3.6997716894977169E-2</v>
      </c>
      <c r="H107" s="2900">
        <f>0.6482/H101</f>
        <v>3.6997716894977169E-2</v>
      </c>
      <c r="I107" s="2900">
        <f>0.6482/I101</f>
        <v>3.6997716894977169E-2</v>
      </c>
      <c r="J107" s="2900">
        <f>0.4525/J101</f>
        <v>2.5827625570776256E-2</v>
      </c>
      <c r="K107" s="2900">
        <f>0.4525/K101</f>
        <v>2.5827625570776256E-2</v>
      </c>
      <c r="L107" s="2900">
        <f>0.4525/L101</f>
        <v>2.5827625570776256E-2</v>
      </c>
      <c r="M107" s="2900">
        <f>0.4525/M101</f>
        <v>2.5827625570776256E-2</v>
      </c>
      <c r="N107" s="2900">
        <f>0.4525/N101</f>
        <v>2.5827625570776256E-2</v>
      </c>
    </row>
    <row r="108" spans="1:14">
      <c r="A108" s="3303"/>
      <c r="B108" s="3131" t="s">
        <v>2986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04"/>
      <c r="B109" s="3132"/>
      <c r="C109" s="2902">
        <f>(-0.163*(C108^2)-0.59*C108+7617)*(10^(-4))/C101</f>
        <v>4.3476027397260281E-2</v>
      </c>
      <c r="D109" s="2902">
        <f>(-0.163*(D108^2)-0.59*D108+7617)*(10^(-4))/D101</f>
        <v>4.3476027397260281E-2</v>
      </c>
      <c r="E109" s="2902">
        <f>(-0.161*(E108^2)-7.509*E108+6533)*(10^(-4))/E101</f>
        <v>3.7288812785388127E-2</v>
      </c>
      <c r="F109" s="2902">
        <f>(-0.161*(F108^2)-7.509*F108+6533)*(10^(-4))/F101</f>
        <v>3.7288812785388127E-2</v>
      </c>
      <c r="G109" s="2902">
        <f>(-0.161*(G108^2)-7.509*G108+6533)*(10^(-4))/G101</f>
        <v>3.7288812785388127E-2</v>
      </c>
      <c r="H109" s="2902">
        <f>(-0.161*(H108^2)-7.509*H108+6533)*(10^(-4))/H101</f>
        <v>3.7288812785388127E-2</v>
      </c>
      <c r="I109" s="2902">
        <f>(-0.161*(I108^2)-7.509*I108+6533)*(10^(-4))/I101</f>
        <v>3.7288812785388127E-2</v>
      </c>
      <c r="J109" s="2902">
        <f>(-0.214*(J108^2)-21.991*J108+4665)*(10^(-4))/J101</f>
        <v>2.6626712328767125E-2</v>
      </c>
      <c r="K109" s="2902">
        <f>(-0.214*(K108^2)-21.991*K108+4665)*(10^(-4))/K101</f>
        <v>2.6626712328767125E-2</v>
      </c>
      <c r="L109" s="2902">
        <f>(-0.214*(L108^2)-21.991*L108+4665)*(10^(-4))/L101</f>
        <v>2.6626712328767125E-2</v>
      </c>
      <c r="M109" s="2902">
        <f>(-0.214*(M108^2)-21.991*M108+4665)*(10^(-4))/M101</f>
        <v>2.6626712328767125E-2</v>
      </c>
      <c r="N109" s="2902">
        <f>(-0.214*(N108^2)-21.991*N108+4665)*(10^(-4))/N101</f>
        <v>2.6626712328767125E-2</v>
      </c>
    </row>
    <row r="110" spans="1:14">
      <c r="A110" s="3300" t="s">
        <v>2987</v>
      </c>
      <c r="B110" s="3300"/>
      <c r="C110" s="3300"/>
      <c r="D110" s="3300"/>
      <c r="E110" s="3300"/>
      <c r="F110" s="3300"/>
      <c r="G110" s="3300"/>
      <c r="H110" s="3300"/>
      <c r="I110" s="3300"/>
      <c r="J110" s="3300"/>
      <c r="K110" s="2905"/>
      <c r="L110" s="2905"/>
      <c r="M110" s="2905"/>
      <c r="N110" s="2905"/>
    </row>
    <row r="112" spans="1:14" ht="13.5" thickBot="1"/>
    <row r="113" spans="1:13" ht="25.5" thickBot="1">
      <c r="A113" s="903" t="s">
        <v>2988</v>
      </c>
      <c r="B113" s="1290">
        <f>G3</f>
        <v>17.52</v>
      </c>
      <c r="C113" s="904" t="s">
        <v>2989</v>
      </c>
      <c r="D113" s="905">
        <f>SUMPRODUCT((A115:A118=F113)*(B114:M114=H113)*B115:M118)</f>
        <v>0</v>
      </c>
      <c r="E113" s="2728" t="s">
        <v>2819</v>
      </c>
      <c r="F113" s="2907">
        <f>E2</f>
        <v>0</v>
      </c>
      <c r="G113" s="2728" t="s">
        <v>2820</v>
      </c>
      <c r="H113" s="2907">
        <f>G2</f>
        <v>0</v>
      </c>
      <c r="I113" s="2728"/>
      <c r="J113" s="2908"/>
      <c r="K113" s="2908"/>
      <c r="L113" s="2908"/>
      <c r="M113" s="2908"/>
    </row>
    <row r="114" spans="1:13">
      <c r="A114" s="908"/>
      <c r="B114" s="2909" t="s">
        <v>2990</v>
      </c>
      <c r="C114" s="2909" t="s">
        <v>2991</v>
      </c>
      <c r="D114" s="2909" t="s">
        <v>2992</v>
      </c>
      <c r="E114" s="2910" t="s">
        <v>2993</v>
      </c>
      <c r="F114" s="2910" t="s">
        <v>2994</v>
      </c>
      <c r="G114" s="2910" t="s">
        <v>2995</v>
      </c>
      <c r="H114" s="2911" t="s">
        <v>2996</v>
      </c>
      <c r="I114" s="2911" t="s">
        <v>2997</v>
      </c>
      <c r="J114" s="2912" t="s">
        <v>2998</v>
      </c>
      <c r="K114" s="2912" t="s">
        <v>2999</v>
      </c>
      <c r="L114" s="2912" t="s">
        <v>3000</v>
      </c>
      <c r="M114" s="2913" t="s">
        <v>3001</v>
      </c>
    </row>
    <row r="115" spans="1:13">
      <c r="A115" s="909" t="s">
        <v>2884</v>
      </c>
      <c r="B115" s="910">
        <f>ROUND(0.9335-0.0094*B113,4)</f>
        <v>0.76880000000000004</v>
      </c>
      <c r="C115" s="910">
        <f>B115</f>
        <v>0.76880000000000004</v>
      </c>
      <c r="D115" s="910">
        <f>ROUND(0.8331-0.0109*B113,4)</f>
        <v>0.6421</v>
      </c>
      <c r="E115" s="910">
        <f>D115</f>
        <v>0.6421</v>
      </c>
      <c r="F115" s="910">
        <f>E115</f>
        <v>0.6421</v>
      </c>
      <c r="G115" s="910">
        <f>F115</f>
        <v>0.6421</v>
      </c>
      <c r="H115" s="910">
        <f>G115</f>
        <v>0.6421</v>
      </c>
      <c r="I115" s="910">
        <f>ROUND(0.689-0.0155*B113,4)</f>
        <v>0.41739999999999999</v>
      </c>
      <c r="J115" s="910">
        <f t="shared" ref="J115:M118" si="33">I115</f>
        <v>0.41739999999999999</v>
      </c>
      <c r="K115" s="910">
        <f t="shared" si="33"/>
        <v>0.41739999999999999</v>
      </c>
      <c r="L115" s="910">
        <f t="shared" si="33"/>
        <v>0.41739999999999999</v>
      </c>
      <c r="M115" s="911">
        <f t="shared" si="33"/>
        <v>0.41739999999999999</v>
      </c>
    </row>
    <row r="116" spans="1:13">
      <c r="A116" s="909" t="s">
        <v>2885</v>
      </c>
      <c r="B116" s="910">
        <f>ROUND(0.949-0.012*B113,4)</f>
        <v>0.73880000000000001</v>
      </c>
      <c r="C116" s="910">
        <f>B116</f>
        <v>0.73880000000000001</v>
      </c>
      <c r="D116" s="910">
        <f>ROUND(0.8567-0.013*B113,4)</f>
        <v>0.62890000000000001</v>
      </c>
      <c r="E116" s="910">
        <f t="shared" ref="E116:H117" si="34">D116</f>
        <v>0.62890000000000001</v>
      </c>
      <c r="F116" s="910">
        <f t="shared" si="34"/>
        <v>0.62890000000000001</v>
      </c>
      <c r="G116" s="910">
        <f t="shared" si="34"/>
        <v>0.62890000000000001</v>
      </c>
      <c r="H116" s="910">
        <f t="shared" si="34"/>
        <v>0.62890000000000001</v>
      </c>
      <c r="I116" s="910">
        <f>ROUND(0.7694-0.014*B113,4)</f>
        <v>0.52410000000000001</v>
      </c>
      <c r="J116" s="910">
        <f t="shared" si="33"/>
        <v>0.52410000000000001</v>
      </c>
      <c r="K116" s="910">
        <f t="shared" si="33"/>
        <v>0.52410000000000001</v>
      </c>
      <c r="L116" s="910">
        <f t="shared" si="33"/>
        <v>0.52410000000000001</v>
      </c>
      <c r="M116" s="911">
        <f t="shared" si="33"/>
        <v>0.52410000000000001</v>
      </c>
    </row>
    <row r="117" spans="1:13">
      <c r="A117" s="909" t="s">
        <v>2886</v>
      </c>
      <c r="B117" s="910">
        <f>ROUND(0.8808-0.006*B113,4)</f>
        <v>0.77569999999999995</v>
      </c>
      <c r="C117" s="910">
        <f>B117</f>
        <v>0.77569999999999995</v>
      </c>
      <c r="D117" s="910">
        <f>ROUND(0.8748-0.008*B113,4)</f>
        <v>0.73460000000000003</v>
      </c>
      <c r="E117" s="910">
        <f t="shared" si="34"/>
        <v>0.73460000000000003</v>
      </c>
      <c r="F117" s="910">
        <f t="shared" si="34"/>
        <v>0.73460000000000003</v>
      </c>
      <c r="G117" s="910">
        <f t="shared" si="34"/>
        <v>0.73460000000000003</v>
      </c>
      <c r="H117" s="910">
        <f t="shared" si="34"/>
        <v>0.73460000000000003</v>
      </c>
      <c r="I117" s="910">
        <f>ROUND(0.7412-0.0095*B113,4)</f>
        <v>0.57479999999999998</v>
      </c>
      <c r="J117" s="910">
        <f t="shared" si="33"/>
        <v>0.57479999999999998</v>
      </c>
      <c r="K117" s="910">
        <f t="shared" si="33"/>
        <v>0.57479999999999998</v>
      </c>
      <c r="L117" s="910">
        <f t="shared" si="33"/>
        <v>0.57479999999999998</v>
      </c>
      <c r="M117" s="911">
        <f t="shared" si="33"/>
        <v>0.57479999999999998</v>
      </c>
    </row>
    <row r="118" spans="1:13" ht="13.5" thickBot="1">
      <c r="A118" s="714" t="s">
        <v>2887</v>
      </c>
      <c r="B118" s="912">
        <f>ROUND(0.7275-0.01*B113,4)</f>
        <v>0.55230000000000001</v>
      </c>
      <c r="C118" s="912">
        <f>B118</f>
        <v>0.55230000000000001</v>
      </c>
      <c r="D118" s="912">
        <f>ROUND(0.7043-0.012*B113,4)</f>
        <v>0.49409999999999998</v>
      </c>
      <c r="E118" s="912">
        <f>D118</f>
        <v>0.49409999999999998</v>
      </c>
      <c r="F118" s="912">
        <f>E118</f>
        <v>0.49409999999999998</v>
      </c>
      <c r="G118" s="912">
        <f>ROUND(0.6299-0.0122*B113,4)</f>
        <v>0.41620000000000001</v>
      </c>
      <c r="H118" s="912">
        <f>G118</f>
        <v>0.41620000000000001</v>
      </c>
      <c r="I118" s="912">
        <f>ROUND(0.5667-0.0136*B113,4)</f>
        <v>0.32840000000000003</v>
      </c>
      <c r="J118" s="912">
        <f t="shared" si="33"/>
        <v>0.32840000000000003</v>
      </c>
      <c r="K118" s="912">
        <f t="shared" si="33"/>
        <v>0.32840000000000003</v>
      </c>
      <c r="L118" s="912">
        <f t="shared" si="33"/>
        <v>0.32840000000000003</v>
      </c>
      <c r="M118" s="913">
        <f t="shared" si="33"/>
        <v>0.32840000000000003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7" t="s">
        <v>183</v>
      </c>
      <c r="B18" s="882" t="s">
        <v>560</v>
      </c>
      <c r="C18" s="883" t="s">
        <v>561</v>
      </c>
      <c r="D18" s="884"/>
      <c r="E18" s="882">
        <v>1</v>
      </c>
      <c r="F18" s="885" t="s">
        <v>562</v>
      </c>
      <c r="G18" s="886"/>
      <c r="H18" s="878"/>
      <c r="I18" s="878"/>
    </row>
    <row r="19" spans="1:9" s="887" customFormat="1" ht="19.5" customHeight="1">
      <c r="A19" s="3317"/>
      <c r="B19" s="3317" t="s">
        <v>563</v>
      </c>
      <c r="C19" s="883" t="s">
        <v>564</v>
      </c>
      <c r="D19" s="884"/>
      <c r="E19" s="882">
        <v>0.9</v>
      </c>
      <c r="F19" s="885" t="s">
        <v>565</v>
      </c>
      <c r="G19" s="886"/>
      <c r="H19" s="878"/>
      <c r="I19" s="878"/>
    </row>
    <row r="20" spans="1:9" s="887" customFormat="1" ht="19.5" customHeight="1">
      <c r="A20" s="3317"/>
      <c r="B20" s="3317"/>
      <c r="C20" s="883" t="s">
        <v>566</v>
      </c>
      <c r="D20" s="884"/>
      <c r="E20" s="882">
        <v>1.1000000000000001</v>
      </c>
      <c r="F20" s="885" t="s">
        <v>567</v>
      </c>
      <c r="G20" s="886"/>
      <c r="H20" s="878"/>
      <c r="I20" s="878"/>
    </row>
    <row r="21" spans="1:9" s="887" customFormat="1" ht="19.5" customHeight="1">
      <c r="A21" s="3317"/>
      <c r="B21" s="3317"/>
      <c r="C21" s="883" t="s">
        <v>568</v>
      </c>
      <c r="D21" s="884"/>
      <c r="E21" s="882">
        <v>0.8</v>
      </c>
      <c r="F21" s="885" t="s">
        <v>569</v>
      </c>
      <c r="G21" s="886"/>
      <c r="H21" s="878"/>
      <c r="I21" s="878"/>
    </row>
    <row r="22" spans="1:9" s="887" customFormat="1" ht="19.5" customHeight="1">
      <c r="A22" s="3317"/>
      <c r="B22" s="3317"/>
      <c r="C22" s="883" t="s">
        <v>570</v>
      </c>
      <c r="D22" s="884"/>
      <c r="E22" s="882">
        <v>0.5</v>
      </c>
      <c r="F22" s="885"/>
      <c r="G22" s="886"/>
      <c r="H22" s="878"/>
      <c r="I22" s="878"/>
    </row>
    <row r="23" spans="1:9" s="887" customFormat="1" ht="19.5" customHeight="1">
      <c r="A23" s="3317" t="s">
        <v>184</v>
      </c>
      <c r="B23" s="882" t="s">
        <v>560</v>
      </c>
      <c r="C23" s="883" t="s">
        <v>571</v>
      </c>
      <c r="D23" s="884"/>
      <c r="E23" s="882">
        <v>1</v>
      </c>
      <c r="F23" s="885" t="s">
        <v>572</v>
      </c>
      <c r="G23" s="886"/>
      <c r="H23" s="878"/>
      <c r="I23" s="878"/>
    </row>
    <row r="24" spans="1:9" s="887" customFormat="1" ht="19.5" customHeight="1">
      <c r="A24" s="3317"/>
      <c r="B24" s="3317" t="s">
        <v>563</v>
      </c>
      <c r="C24" s="883" t="s">
        <v>573</v>
      </c>
      <c r="D24" s="884"/>
      <c r="E24" s="882">
        <v>0.5</v>
      </c>
      <c r="F24" s="885"/>
      <c r="G24" s="886"/>
      <c r="H24" s="878"/>
      <c r="I24" s="878"/>
    </row>
    <row r="25" spans="1:9" s="887" customFormat="1" ht="19.5" customHeight="1">
      <c r="A25" s="3317"/>
      <c r="B25" s="3317"/>
      <c r="C25" s="883" t="s">
        <v>574</v>
      </c>
      <c r="D25" s="884"/>
      <c r="E25" s="882">
        <v>1.1000000000000001</v>
      </c>
      <c r="F25" s="885"/>
      <c r="G25" s="886"/>
      <c r="H25" s="878"/>
      <c r="I25" s="878"/>
    </row>
    <row r="26" spans="1:9" s="887" customFormat="1" ht="19.5" customHeight="1">
      <c r="A26" s="3317"/>
      <c r="B26" s="3317"/>
      <c r="C26" s="883" t="s">
        <v>575</v>
      </c>
      <c r="D26" s="884"/>
      <c r="E26" s="882">
        <v>1.1000000000000001</v>
      </c>
      <c r="F26" s="885"/>
      <c r="G26" s="886"/>
      <c r="H26" s="878"/>
      <c r="I26" s="878"/>
    </row>
    <row r="27" spans="1:9" s="887" customFormat="1" ht="19.5" customHeight="1">
      <c r="A27" s="3317"/>
      <c r="B27" s="3317"/>
      <c r="C27" s="883" t="s">
        <v>576</v>
      </c>
      <c r="D27" s="884"/>
      <c r="E27" s="882">
        <v>0.9</v>
      </c>
      <c r="F27" s="885" t="s">
        <v>577</v>
      </c>
      <c r="G27" s="886"/>
      <c r="H27" s="878"/>
      <c r="I27" s="878"/>
    </row>
    <row r="28" spans="1:9" s="887" customFormat="1" ht="19.5" customHeight="1">
      <c r="A28" s="3317"/>
      <c r="B28" s="3317"/>
      <c r="C28" s="883" t="s">
        <v>578</v>
      </c>
      <c r="D28" s="884"/>
      <c r="E28" s="882">
        <v>0.9</v>
      </c>
      <c r="F28" s="885" t="s">
        <v>579</v>
      </c>
      <c r="G28" s="886"/>
      <c r="H28" s="878"/>
      <c r="I28" s="878"/>
    </row>
    <row r="29" spans="1:9" s="887" customFormat="1" ht="19.5" customHeight="1">
      <c r="A29" s="3317"/>
      <c r="B29" s="3317"/>
      <c r="C29" s="883" t="s">
        <v>580</v>
      </c>
      <c r="D29" s="884"/>
      <c r="E29" s="882">
        <v>0.9</v>
      </c>
      <c r="F29" s="885" t="s">
        <v>581</v>
      </c>
      <c r="G29" s="886"/>
      <c r="H29" s="878"/>
      <c r="I29" s="878"/>
    </row>
    <row r="30" spans="1:9" s="887" customFormat="1" ht="19.5" customHeight="1">
      <c r="A30" s="3317"/>
      <c r="B30" s="3317"/>
      <c r="C30" s="883" t="s">
        <v>582</v>
      </c>
      <c r="D30" s="884"/>
      <c r="E30" s="882">
        <v>0.9</v>
      </c>
      <c r="F30" s="885" t="s">
        <v>583</v>
      </c>
      <c r="G30" s="886"/>
      <c r="H30" s="878"/>
      <c r="I30" s="878"/>
    </row>
    <row r="31" spans="1:9" s="887" customFormat="1" ht="19.5" customHeight="1">
      <c r="A31" s="3317"/>
      <c r="B31" s="3317"/>
      <c r="C31" s="883" t="s">
        <v>584</v>
      </c>
      <c r="D31" s="884"/>
      <c r="E31" s="882">
        <v>0.8</v>
      </c>
      <c r="F31" s="885" t="s">
        <v>585</v>
      </c>
      <c r="G31" s="886"/>
      <c r="H31" s="878"/>
      <c r="I31" s="878"/>
    </row>
    <row r="32" spans="1:9" s="887" customFormat="1" ht="19.5" customHeight="1">
      <c r="A32" s="3317"/>
      <c r="B32" s="3317"/>
      <c r="C32" s="883" t="s">
        <v>586</v>
      </c>
      <c r="D32" s="884"/>
      <c r="E32" s="882">
        <v>0.8</v>
      </c>
      <c r="F32" s="885" t="s">
        <v>587</v>
      </c>
      <c r="G32" s="886"/>
      <c r="H32" s="878"/>
      <c r="I32" s="878"/>
    </row>
    <row r="33" spans="1:9" s="887" customFormat="1" ht="19.5" customHeight="1">
      <c r="A33" s="3317" t="s">
        <v>185</v>
      </c>
      <c r="B33" s="882" t="s">
        <v>560</v>
      </c>
      <c r="C33" s="883" t="s">
        <v>588</v>
      </c>
      <c r="D33" s="884"/>
      <c r="E33" s="882">
        <v>1</v>
      </c>
      <c r="F33" s="885" t="s">
        <v>589</v>
      </c>
      <c r="G33" s="886"/>
      <c r="H33" s="878"/>
      <c r="I33" s="878"/>
    </row>
    <row r="34" spans="1:9" s="887" customFormat="1" ht="19.5" customHeight="1">
      <c r="A34" s="3317"/>
      <c r="B34" s="882" t="s">
        <v>563</v>
      </c>
      <c r="C34" s="883" t="s">
        <v>590</v>
      </c>
      <c r="D34" s="884"/>
      <c r="E34" s="882">
        <v>1.5</v>
      </c>
      <c r="F34" s="885" t="s">
        <v>591</v>
      </c>
      <c r="G34" s="886"/>
      <c r="H34" s="878"/>
      <c r="I34" s="878"/>
    </row>
    <row r="35" spans="1:9" s="887" customFormat="1" ht="19.5" customHeight="1">
      <c r="A35" s="3317" t="s">
        <v>186</v>
      </c>
      <c r="B35" s="882" t="s">
        <v>560</v>
      </c>
      <c r="C35" s="883" t="s">
        <v>592</v>
      </c>
      <c r="D35" s="884"/>
      <c r="E35" s="882">
        <v>1</v>
      </c>
      <c r="F35" s="885" t="s">
        <v>593</v>
      </c>
      <c r="G35" s="886"/>
      <c r="H35" s="878"/>
      <c r="I35" s="878"/>
    </row>
    <row r="36" spans="1:9" s="887" customFormat="1" ht="19.5" customHeight="1">
      <c r="A36" s="3317"/>
      <c r="B36" s="3317" t="s">
        <v>563</v>
      </c>
      <c r="C36" s="883" t="s">
        <v>594</v>
      </c>
      <c r="D36" s="884"/>
      <c r="E36" s="882">
        <v>1</v>
      </c>
      <c r="F36" s="885" t="s">
        <v>595</v>
      </c>
      <c r="G36" s="886"/>
      <c r="H36" s="878"/>
      <c r="I36" s="878"/>
    </row>
    <row r="37" spans="1:9" s="887" customFormat="1" ht="19.5" customHeight="1">
      <c r="A37" s="3317"/>
      <c r="B37" s="3317"/>
      <c r="C37" s="883" t="s">
        <v>596</v>
      </c>
      <c r="D37" s="884"/>
      <c r="E37" s="882">
        <v>1.5</v>
      </c>
      <c r="F37" s="885" t="s">
        <v>597</v>
      </c>
      <c r="G37" s="886"/>
      <c r="H37" s="878"/>
      <c r="I37" s="878"/>
    </row>
    <row r="38" spans="1:9" s="887" customFormat="1" ht="19.5" customHeight="1">
      <c r="A38" s="3317"/>
      <c r="B38" s="3317"/>
      <c r="C38" s="883" t="s">
        <v>598</v>
      </c>
      <c r="D38" s="884"/>
      <c r="E38" s="882">
        <v>1</v>
      </c>
      <c r="F38" s="885" t="s">
        <v>599</v>
      </c>
      <c r="G38" s="886"/>
      <c r="H38" s="878"/>
      <c r="I38" s="878"/>
    </row>
    <row r="39" spans="1:9" s="887" customFormat="1" ht="19.5" customHeight="1">
      <c r="A39" s="3317"/>
      <c r="B39" s="331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7" t="s">
        <v>614</v>
      </c>
      <c r="C61" s="818" t="s">
        <v>615</v>
      </c>
      <c r="D61" s="818" t="s">
        <v>616</v>
      </c>
      <c r="E61" s="895">
        <v>0.5</v>
      </c>
      <c r="F61" s="882">
        <v>80</v>
      </c>
    </row>
    <row r="62" spans="1:8" s="878" customFormat="1" ht="24">
      <c r="A62" s="882">
        <v>2</v>
      </c>
      <c r="B62" s="3317"/>
      <c r="C62" s="818" t="s">
        <v>617</v>
      </c>
      <c r="D62" s="818" t="s">
        <v>618</v>
      </c>
      <c r="E62" s="895">
        <v>0.5</v>
      </c>
      <c r="F62" s="882">
        <v>80</v>
      </c>
    </row>
    <row r="63" spans="1:8" s="878" customFormat="1" ht="36">
      <c r="A63" s="882">
        <v>3</v>
      </c>
      <c r="B63" s="3317"/>
      <c r="C63" s="818" t="s">
        <v>619</v>
      </c>
      <c r="D63" s="818" t="s">
        <v>620</v>
      </c>
      <c r="E63" s="895">
        <v>0.5</v>
      </c>
      <c r="F63" s="882">
        <v>80</v>
      </c>
    </row>
    <row r="64" spans="1:8" s="878" customFormat="1" ht="36">
      <c r="A64" s="882">
        <v>4</v>
      </c>
      <c r="B64" s="3317"/>
      <c r="C64" s="818" t="s">
        <v>621</v>
      </c>
      <c r="D64" s="818" t="s">
        <v>622</v>
      </c>
      <c r="E64" s="895">
        <v>0.4</v>
      </c>
      <c r="F64" s="882">
        <v>60</v>
      </c>
    </row>
    <row r="65" spans="1:6" s="878" customFormat="1" ht="36">
      <c r="A65" s="882">
        <v>5</v>
      </c>
      <c r="B65" s="3317"/>
      <c r="C65" s="818" t="s">
        <v>623</v>
      </c>
      <c r="D65" s="818" t="s">
        <v>624</v>
      </c>
      <c r="E65" s="895">
        <v>0.2</v>
      </c>
      <c r="F65" s="882">
        <v>30</v>
      </c>
    </row>
    <row r="66" spans="1:6" s="878" customFormat="1" ht="36">
      <c r="A66" s="882">
        <v>6</v>
      </c>
      <c r="B66" s="3317"/>
      <c r="C66" s="818" t="s">
        <v>625</v>
      </c>
      <c r="D66" s="818" t="s">
        <v>626</v>
      </c>
      <c r="E66" s="895">
        <v>0.3</v>
      </c>
      <c r="F66" s="882">
        <v>50</v>
      </c>
    </row>
    <row r="67" spans="1:6" s="878" customFormat="1" ht="36">
      <c r="A67" s="882">
        <v>7</v>
      </c>
      <c r="B67" s="3317"/>
      <c r="C67" s="818" t="s">
        <v>627</v>
      </c>
      <c r="D67" s="818" t="s">
        <v>628</v>
      </c>
      <c r="E67" s="895">
        <v>0.2</v>
      </c>
      <c r="F67" s="882">
        <v>30</v>
      </c>
    </row>
    <row r="68" spans="1:6" s="878" customFormat="1" ht="36">
      <c r="A68" s="882">
        <v>8</v>
      </c>
      <c r="B68" s="3317"/>
      <c r="C68" s="818" t="s">
        <v>629</v>
      </c>
      <c r="D68" s="818" t="s">
        <v>630</v>
      </c>
      <c r="E68" s="895">
        <v>0.2</v>
      </c>
      <c r="F68" s="882">
        <v>30</v>
      </c>
    </row>
    <row r="69" spans="1:6" s="878" customFormat="1" ht="36">
      <c r="A69" s="882">
        <v>9</v>
      </c>
      <c r="B69" s="3317"/>
      <c r="C69" s="818" t="s">
        <v>631</v>
      </c>
      <c r="D69" s="818" t="s">
        <v>632</v>
      </c>
      <c r="E69" s="895">
        <v>0.2</v>
      </c>
      <c r="F69" s="882">
        <v>30</v>
      </c>
    </row>
    <row r="70" spans="1:6" s="878" customFormat="1" ht="48">
      <c r="A70" s="882">
        <v>10</v>
      </c>
      <c r="B70" s="3317"/>
      <c r="C70" s="818" t="s">
        <v>633</v>
      </c>
      <c r="D70" s="818" t="s">
        <v>634</v>
      </c>
      <c r="E70" s="895">
        <v>0.2</v>
      </c>
      <c r="F70" s="882">
        <v>30</v>
      </c>
    </row>
    <row r="71" spans="1:6" s="878" customFormat="1" ht="48">
      <c r="A71" s="882">
        <v>11</v>
      </c>
      <c r="B71" s="3317"/>
      <c r="C71" s="818" t="s">
        <v>635</v>
      </c>
      <c r="D71" s="818" t="s">
        <v>636</v>
      </c>
      <c r="E71" s="895">
        <v>0.2</v>
      </c>
      <c r="F71" s="882">
        <v>30</v>
      </c>
    </row>
    <row r="72" spans="1:6" s="878" customFormat="1" ht="36">
      <c r="A72" s="882">
        <v>12</v>
      </c>
      <c r="B72" s="3317"/>
      <c r="C72" s="818" t="s">
        <v>637</v>
      </c>
      <c r="D72" s="818" t="s">
        <v>638</v>
      </c>
      <c r="E72" s="895">
        <v>0.5</v>
      </c>
      <c r="F72" s="882">
        <v>80</v>
      </c>
    </row>
    <row r="73" spans="1:6" s="878" customFormat="1" ht="24">
      <c r="A73" s="882">
        <v>13</v>
      </c>
      <c r="B73" s="3317"/>
      <c r="C73" s="818" t="s">
        <v>639</v>
      </c>
      <c r="D73" s="818" t="s">
        <v>640</v>
      </c>
      <c r="E73" s="895">
        <v>0.4</v>
      </c>
      <c r="F73" s="882">
        <v>60</v>
      </c>
    </row>
    <row r="74" spans="1:6" s="878" customFormat="1" ht="24">
      <c r="A74" s="882">
        <v>14</v>
      </c>
      <c r="B74" s="3317"/>
      <c r="C74" s="818" t="s">
        <v>641</v>
      </c>
      <c r="D74" s="818" t="s">
        <v>642</v>
      </c>
      <c r="E74" s="895">
        <v>0.2</v>
      </c>
      <c r="F74" s="882">
        <v>30</v>
      </c>
    </row>
    <row r="75" spans="1:6" s="878" customFormat="1" ht="24">
      <c r="A75" s="882">
        <v>15</v>
      </c>
      <c r="B75" s="3317"/>
      <c r="C75" s="818" t="s">
        <v>643</v>
      </c>
      <c r="D75" s="818" t="s">
        <v>644</v>
      </c>
      <c r="E75" s="895">
        <v>0.2</v>
      </c>
      <c r="F75" s="882">
        <v>30</v>
      </c>
    </row>
    <row r="76" spans="1:6" s="878" customFormat="1" ht="24">
      <c r="A76" s="882">
        <v>16</v>
      </c>
      <c r="B76" s="3317" t="s">
        <v>645</v>
      </c>
      <c r="C76" s="818" t="s">
        <v>646</v>
      </c>
      <c r="D76" s="818" t="s">
        <v>647</v>
      </c>
      <c r="E76" s="895">
        <v>0.5</v>
      </c>
      <c r="F76" s="882">
        <v>80</v>
      </c>
    </row>
    <row r="77" spans="1:6" s="878" customFormat="1" ht="24">
      <c r="A77" s="882">
        <v>17</v>
      </c>
      <c r="B77" s="3317"/>
      <c r="C77" s="818" t="s">
        <v>648</v>
      </c>
      <c r="D77" s="818" t="s">
        <v>649</v>
      </c>
      <c r="E77" s="895">
        <v>0.5</v>
      </c>
      <c r="F77" s="882">
        <v>80</v>
      </c>
    </row>
    <row r="78" spans="1:6" s="878" customFormat="1" ht="24">
      <c r="A78" s="882">
        <v>18</v>
      </c>
      <c r="B78" s="3317"/>
      <c r="C78" s="818" t="s">
        <v>650</v>
      </c>
      <c r="D78" s="818" t="s">
        <v>651</v>
      </c>
      <c r="E78" s="895">
        <v>0.2</v>
      </c>
      <c r="F78" s="882">
        <v>30</v>
      </c>
    </row>
    <row r="79" spans="1:6" s="878" customFormat="1" ht="24">
      <c r="A79" s="882">
        <v>19</v>
      </c>
      <c r="B79" s="3317"/>
      <c r="C79" s="818" t="s">
        <v>652</v>
      </c>
      <c r="D79" s="818" t="s">
        <v>653</v>
      </c>
      <c r="E79" s="895">
        <v>0.5</v>
      </c>
      <c r="F79" s="882">
        <v>80</v>
      </c>
    </row>
    <row r="80" spans="1:6" s="878" customFormat="1" ht="36">
      <c r="A80" s="882">
        <v>20</v>
      </c>
      <c r="B80" s="3317"/>
      <c r="C80" s="818" t="s">
        <v>654</v>
      </c>
      <c r="D80" s="818" t="s">
        <v>655</v>
      </c>
      <c r="E80" s="895">
        <v>0.2</v>
      </c>
      <c r="F80" s="882">
        <v>30</v>
      </c>
    </row>
    <row r="81" spans="1:6" s="878" customFormat="1" ht="36">
      <c r="A81" s="882">
        <v>21</v>
      </c>
      <c r="B81" s="3317"/>
      <c r="C81" s="818" t="s">
        <v>656</v>
      </c>
      <c r="D81" s="818" t="s">
        <v>657</v>
      </c>
      <c r="E81" s="895">
        <v>0.2</v>
      </c>
      <c r="F81" s="882">
        <v>30</v>
      </c>
    </row>
    <row r="82" spans="1:6" s="878" customFormat="1" ht="48">
      <c r="A82" s="882">
        <v>22</v>
      </c>
      <c r="B82" s="3317"/>
      <c r="C82" s="818" t="s">
        <v>658</v>
      </c>
      <c r="D82" s="818" t="s">
        <v>659</v>
      </c>
      <c r="E82" s="895">
        <v>0.2</v>
      </c>
      <c r="F82" s="882">
        <v>30</v>
      </c>
    </row>
    <row r="83" spans="1:6" s="878" customFormat="1" ht="48">
      <c r="A83" s="882">
        <v>23</v>
      </c>
      <c r="B83" s="3317"/>
      <c r="C83" s="818" t="s">
        <v>660</v>
      </c>
      <c r="D83" s="818" t="s">
        <v>661</v>
      </c>
      <c r="E83" s="895">
        <v>0.2</v>
      </c>
      <c r="F83" s="882">
        <v>30</v>
      </c>
    </row>
    <row r="84" spans="1:6" s="878" customFormat="1" ht="36">
      <c r="A84" s="882">
        <v>24</v>
      </c>
      <c r="B84" s="3317"/>
      <c r="C84" s="818" t="s">
        <v>662</v>
      </c>
      <c r="D84" s="818" t="s">
        <v>663</v>
      </c>
      <c r="E84" s="895">
        <v>0.2</v>
      </c>
      <c r="F84" s="882">
        <v>30</v>
      </c>
    </row>
    <row r="85" spans="1:6" s="878" customFormat="1" ht="36">
      <c r="A85" s="882">
        <v>25</v>
      </c>
      <c r="B85" s="3317"/>
      <c r="C85" s="818" t="s">
        <v>664</v>
      </c>
      <c r="D85" s="818" t="s">
        <v>665</v>
      </c>
      <c r="E85" s="895">
        <v>0.5</v>
      </c>
      <c r="F85" s="882">
        <v>80</v>
      </c>
    </row>
    <row r="86" spans="1:6" s="878" customFormat="1" ht="36">
      <c r="A86" s="882">
        <v>26</v>
      </c>
      <c r="B86" s="3317"/>
      <c r="C86" s="818" t="s">
        <v>666</v>
      </c>
      <c r="D86" s="818" t="s">
        <v>667</v>
      </c>
      <c r="E86" s="895">
        <v>0.2</v>
      </c>
      <c r="F86" s="882">
        <v>30</v>
      </c>
    </row>
    <row r="87" spans="1:6" s="878" customFormat="1" ht="36">
      <c r="A87" s="882">
        <v>27</v>
      </c>
      <c r="B87" s="3317"/>
      <c r="C87" s="818" t="s">
        <v>668</v>
      </c>
      <c r="D87" s="818" t="s">
        <v>669</v>
      </c>
      <c r="E87" s="895">
        <v>0.2</v>
      </c>
      <c r="F87" s="882">
        <v>30</v>
      </c>
    </row>
    <row r="88" spans="1:6" s="878" customFormat="1" ht="36">
      <c r="A88" s="882">
        <v>28</v>
      </c>
      <c r="B88" s="3317"/>
      <c r="C88" s="818" t="s">
        <v>670</v>
      </c>
      <c r="D88" s="818" t="s">
        <v>671</v>
      </c>
      <c r="E88" s="895">
        <v>0.2</v>
      </c>
      <c r="F88" s="882">
        <v>30</v>
      </c>
    </row>
    <row r="89" spans="1:6" s="878" customFormat="1" ht="24">
      <c r="A89" s="882">
        <v>29</v>
      </c>
      <c r="B89" s="3317"/>
      <c r="C89" s="818" t="s">
        <v>672</v>
      </c>
      <c r="D89" s="818" t="s">
        <v>673</v>
      </c>
      <c r="E89" s="895">
        <v>0.2</v>
      </c>
      <c r="F89" s="882">
        <v>30</v>
      </c>
    </row>
    <row r="90" spans="1:6" s="878" customFormat="1" ht="24">
      <c r="A90" s="882">
        <v>30</v>
      </c>
      <c r="B90" s="3317"/>
      <c r="C90" s="818" t="s">
        <v>674</v>
      </c>
      <c r="D90" s="818" t="s">
        <v>675</v>
      </c>
      <c r="E90" s="895">
        <v>0.2</v>
      </c>
      <c r="F90" s="882">
        <v>30</v>
      </c>
    </row>
    <row r="91" spans="1:6" s="878" customFormat="1" ht="36">
      <c r="A91" s="882">
        <v>31</v>
      </c>
      <c r="B91" s="3317"/>
      <c r="C91" s="818" t="s">
        <v>676</v>
      </c>
      <c r="D91" s="818" t="s">
        <v>677</v>
      </c>
      <c r="E91" s="895">
        <v>0.2</v>
      </c>
      <c r="F91" s="882">
        <v>30</v>
      </c>
    </row>
    <row r="92" spans="1:6" s="878" customFormat="1" ht="24">
      <c r="A92" s="882">
        <v>32</v>
      </c>
      <c r="B92" s="3317" t="s">
        <v>678</v>
      </c>
      <c r="C92" s="882" t="s">
        <v>679</v>
      </c>
      <c r="D92" s="818" t="s">
        <v>680</v>
      </c>
      <c r="E92" s="895">
        <v>0.2</v>
      </c>
      <c r="F92" s="882">
        <v>30</v>
      </c>
    </row>
    <row r="93" spans="1:6" s="878" customFormat="1" ht="36">
      <c r="A93" s="882">
        <v>33</v>
      </c>
      <c r="B93" s="3317"/>
      <c r="C93" s="882" t="s">
        <v>681</v>
      </c>
      <c r="D93" s="818" t="s">
        <v>682</v>
      </c>
      <c r="E93" s="895">
        <v>0.2</v>
      </c>
      <c r="F93" s="882">
        <v>30</v>
      </c>
    </row>
    <row r="94" spans="1:6" s="878" customFormat="1" ht="48">
      <c r="A94" s="882">
        <v>34</v>
      </c>
      <c r="B94" s="3317"/>
      <c r="C94" s="882" t="s">
        <v>683</v>
      </c>
      <c r="D94" s="818" t="s">
        <v>684</v>
      </c>
      <c r="E94" s="895">
        <v>0.2</v>
      </c>
      <c r="F94" s="882">
        <v>30</v>
      </c>
    </row>
    <row r="95" spans="1:6" s="878" customFormat="1" ht="36">
      <c r="A95" s="882">
        <v>35</v>
      </c>
      <c r="B95" s="3317"/>
      <c r="C95" s="882" t="s">
        <v>685</v>
      </c>
      <c r="D95" s="818" t="s">
        <v>686</v>
      </c>
      <c r="E95" s="895">
        <v>0.2</v>
      </c>
      <c r="F95" s="882">
        <v>30</v>
      </c>
    </row>
    <row r="96" spans="1:6" s="878" customFormat="1" ht="48">
      <c r="A96" s="882">
        <v>36</v>
      </c>
      <c r="B96" s="3317"/>
      <c r="C96" s="818" t="s">
        <v>687</v>
      </c>
      <c r="D96" s="818" t="s">
        <v>688</v>
      </c>
      <c r="E96" s="895">
        <v>0.2</v>
      </c>
      <c r="F96" s="882">
        <v>30</v>
      </c>
    </row>
    <row r="97" spans="1:6" s="878" customFormat="1" ht="36">
      <c r="A97" s="882">
        <v>37</v>
      </c>
      <c r="B97" s="3317"/>
      <c r="C97" s="882" t="s">
        <v>689</v>
      </c>
      <c r="D97" s="818" t="s">
        <v>690</v>
      </c>
      <c r="E97" s="895">
        <v>0.2</v>
      </c>
      <c r="F97" s="882">
        <v>30</v>
      </c>
    </row>
    <row r="98" spans="1:6" s="878" customFormat="1" ht="36">
      <c r="A98" s="882">
        <v>38</v>
      </c>
      <c r="B98" s="3317"/>
      <c r="C98" s="882" t="s">
        <v>691</v>
      </c>
      <c r="D98" s="818" t="s">
        <v>692</v>
      </c>
      <c r="E98" s="895">
        <v>0.2</v>
      </c>
      <c r="F98" s="882">
        <v>30</v>
      </c>
    </row>
    <row r="99" spans="1:6" s="878" customFormat="1" ht="36">
      <c r="A99" s="882">
        <v>39</v>
      </c>
      <c r="B99" s="3317" t="s">
        <v>693</v>
      </c>
      <c r="C99" s="882" t="s">
        <v>694</v>
      </c>
      <c r="D99" s="818" t="s">
        <v>695</v>
      </c>
      <c r="E99" s="895">
        <v>0.3</v>
      </c>
      <c r="F99" s="882">
        <v>50</v>
      </c>
    </row>
    <row r="100" spans="1:6" s="878" customFormat="1" ht="24">
      <c r="A100" s="882">
        <v>40</v>
      </c>
      <c r="B100" s="3317"/>
      <c r="C100" s="882" t="s">
        <v>696</v>
      </c>
      <c r="D100" s="818" t="s">
        <v>697</v>
      </c>
      <c r="E100" s="895">
        <v>0.2</v>
      </c>
      <c r="F100" s="882">
        <v>30</v>
      </c>
    </row>
    <row r="101" spans="1:6" s="878" customFormat="1" ht="36">
      <c r="A101" s="882">
        <v>41</v>
      </c>
      <c r="B101" s="331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7" t="s">
        <v>708</v>
      </c>
      <c r="C105" s="882" t="s">
        <v>709</v>
      </c>
      <c r="D105" s="818" t="s">
        <v>710</v>
      </c>
      <c r="E105" s="895">
        <v>0.2</v>
      </c>
      <c r="F105" s="882">
        <v>30</v>
      </c>
    </row>
    <row r="106" spans="1:6" s="878" customFormat="1" ht="36">
      <c r="A106" s="882">
        <v>46</v>
      </c>
      <c r="B106" s="3317"/>
      <c r="C106" s="882" t="s">
        <v>711</v>
      </c>
      <c r="D106" s="818" t="s">
        <v>712</v>
      </c>
      <c r="E106" s="895">
        <v>0.2</v>
      </c>
      <c r="F106" s="882">
        <v>30</v>
      </c>
    </row>
    <row r="107" spans="1:6" s="878" customFormat="1" ht="36">
      <c r="A107" s="882">
        <v>47</v>
      </c>
      <c r="B107" s="3317" t="s">
        <v>713</v>
      </c>
      <c r="C107" s="882" t="s">
        <v>714</v>
      </c>
      <c r="D107" s="818" t="s">
        <v>715</v>
      </c>
      <c r="E107" s="895">
        <v>0.3</v>
      </c>
      <c r="F107" s="882">
        <v>50</v>
      </c>
    </row>
    <row r="108" spans="1:6" s="878" customFormat="1" ht="36">
      <c r="A108" s="882">
        <v>48</v>
      </c>
      <c r="B108" s="331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7" t="s">
        <v>724</v>
      </c>
      <c r="C111" s="882" t="s">
        <v>725</v>
      </c>
      <c r="D111" s="818" t="s">
        <v>726</v>
      </c>
      <c r="E111" s="895">
        <v>0.2</v>
      </c>
      <c r="F111" s="882">
        <v>30</v>
      </c>
    </row>
    <row r="112" spans="1:6" s="878" customFormat="1" ht="24">
      <c r="A112" s="882">
        <v>52</v>
      </c>
      <c r="B112" s="3317"/>
      <c r="C112" s="882" t="s">
        <v>727</v>
      </c>
      <c r="D112" s="818" t="s">
        <v>728</v>
      </c>
      <c r="E112" s="895">
        <v>0.2</v>
      </c>
      <c r="F112" s="882">
        <v>30</v>
      </c>
    </row>
    <row r="113" spans="1:6" s="878" customFormat="1" ht="24">
      <c r="A113" s="882">
        <v>53</v>
      </c>
      <c r="B113" s="331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7" t="s">
        <v>737</v>
      </c>
      <c r="C116" s="882" t="s">
        <v>738</v>
      </c>
      <c r="D116" s="818" t="s">
        <v>739</v>
      </c>
      <c r="E116" s="895">
        <v>0.2</v>
      </c>
      <c r="F116" s="882">
        <v>30</v>
      </c>
    </row>
    <row r="117" spans="1:6" ht="36">
      <c r="A117" s="882">
        <v>57</v>
      </c>
      <c r="B117" s="331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2" sqref="H42"/>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3010</v>
      </c>
    </row>
    <row r="2" spans="1:5" ht="15.75">
      <c r="A2" s="2914" t="s">
        <v>3002</v>
      </c>
      <c r="B2" s="2915" t="e">
        <f ca="1">SUMIF(B6:B13,"&lt;&gt;#ref!",B6:B13)</f>
        <v>#DIV/0!</v>
      </c>
      <c r="C2" s="2914" t="s">
        <v>3003</v>
      </c>
      <c r="D2" s="2914" t="s">
        <v>3004</v>
      </c>
      <c r="E2" s="2915">
        <f ca="1">SUMIF(E6:E13,"&lt;&gt;#ref!",E6:E13)</f>
        <v>0</v>
      </c>
    </row>
    <row r="3" spans="1:5" ht="15.75">
      <c r="A3" s="2914" t="s">
        <v>3005</v>
      </c>
      <c r="B3" s="2915" t="e">
        <f ca="1">ROUND(B2*10000/E2,0)</f>
        <v>#DIV/0!</v>
      </c>
      <c r="C3" s="2914" t="s">
        <v>3011</v>
      </c>
      <c r="D3" s="2916"/>
      <c r="E3" s="2916"/>
    </row>
    <row r="4" spans="1:5" ht="15.75">
      <c r="A4" s="2917"/>
      <c r="B4" s="2916"/>
      <c r="C4" s="2916"/>
      <c r="D4" s="2916"/>
      <c r="E4" s="2916"/>
    </row>
    <row r="5" spans="1:5" ht="28.5">
      <c r="A5" s="2918" t="s">
        <v>3006</v>
      </c>
      <c r="B5" s="2914" t="s">
        <v>3007</v>
      </c>
      <c r="C5" s="2915"/>
      <c r="D5" s="2916"/>
      <c r="E5" s="2914" t="s">
        <v>3008</v>
      </c>
    </row>
    <row r="6" spans="1:5" ht="15.75">
      <c r="A6" s="2919" t="s">
        <v>3009</v>
      </c>
      <c r="B6" s="2915" t="e">
        <f ca="1">SUMIF(INDIRECT("'"&amp;A6&amp;"'"&amp;"!A:A"),"总价",INDIRECT("'"&amp;A6&amp;"'"&amp;"!B:B"))</f>
        <v>#DIV/0!</v>
      </c>
      <c r="C6" s="2914" t="s">
        <v>3003</v>
      </c>
      <c r="D6" s="2916"/>
      <c r="E6" s="2579">
        <f ca="1">SUMIF(INDIRECT("'"&amp;A6&amp;"'"&amp;"!C:C"),"建筑面积",INDIRECT("'"&amp;A6&amp;"'"&amp;"!D:D"))</f>
        <v>0</v>
      </c>
    </row>
    <row r="7" spans="1:5" ht="15.75">
      <c r="A7" s="2919"/>
      <c r="B7" s="2915" t="e">
        <f ca="1">SUMIF(INDIRECT("'"&amp;A7&amp;"'"&amp;"!A:A"),"总价",INDIRECT("'"&amp;A7&amp;"'"&amp;"!B:B"))</f>
        <v>#REF!</v>
      </c>
      <c r="C7" s="2914" t="s">
        <v>3003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3003</v>
      </c>
      <c r="D8" s="2916"/>
      <c r="E8" s="2579" t="e">
        <f t="shared" ca="1" si="0"/>
        <v>#REF!</v>
      </c>
    </row>
    <row r="9" spans="1:5" ht="15.75">
      <c r="A9" s="2919"/>
      <c r="B9" s="2915" t="e">
        <f t="shared" ca="1" si="1"/>
        <v>#REF!</v>
      </c>
      <c r="C9" s="2914" t="s">
        <v>3003</v>
      </c>
      <c r="D9" s="2916"/>
      <c r="E9" s="2579" t="e">
        <f t="shared" ca="1" si="0"/>
        <v>#REF!</v>
      </c>
    </row>
    <row r="10" spans="1:5" ht="15.75">
      <c r="A10" s="2919"/>
      <c r="B10" s="2915" t="e">
        <f t="shared" ca="1" si="1"/>
        <v>#REF!</v>
      </c>
      <c r="C10" s="2914" t="s">
        <v>3003</v>
      </c>
      <c r="D10" s="2916"/>
      <c r="E10" s="2579" t="e">
        <f t="shared" ca="1" si="0"/>
        <v>#REF!</v>
      </c>
    </row>
    <row r="11" spans="1:5" ht="15.75">
      <c r="A11" s="2919"/>
      <c r="B11" s="2915" t="e">
        <f t="shared" ca="1" si="1"/>
        <v>#REF!</v>
      </c>
      <c r="C11" s="2914" t="s">
        <v>3003</v>
      </c>
      <c r="D11" s="2916"/>
      <c r="E11" s="2579" t="e">
        <f t="shared" ca="1" si="0"/>
        <v>#REF!</v>
      </c>
    </row>
    <row r="12" spans="1:5" ht="15.75">
      <c r="A12" s="2919"/>
      <c r="B12" s="2915" t="e">
        <f t="shared" ca="1" si="1"/>
        <v>#REF!</v>
      </c>
      <c r="C12" s="2914" t="s">
        <v>3003</v>
      </c>
      <c r="D12" s="2916"/>
      <c r="E12" s="2579" t="e">
        <f t="shared" ca="1" si="0"/>
        <v>#REF!</v>
      </c>
    </row>
    <row r="13" spans="1:5" ht="15.75">
      <c r="A13" s="2919"/>
      <c r="B13" s="2915" t="e">
        <f t="shared" ca="1" si="1"/>
        <v>#REF!</v>
      </c>
      <c r="C13" s="2914" t="s">
        <v>3003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38" sqref="U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3" t="s">
        <v>1150</v>
      </c>
      <c r="C1" s="3323"/>
      <c r="D1" s="3323"/>
      <c r="E1" s="3323"/>
      <c r="F1" s="3323"/>
      <c r="G1" s="3319" t="s">
        <v>1151</v>
      </c>
      <c r="H1" s="3319"/>
      <c r="I1" s="3319"/>
      <c r="J1" s="3319"/>
      <c r="K1" s="3319"/>
      <c r="L1" s="3319"/>
      <c r="N1" s="3319" t="s">
        <v>1152</v>
      </c>
      <c r="O1" s="3319"/>
      <c r="P1" s="3319"/>
      <c r="Q1" s="3319"/>
      <c r="R1" s="1449"/>
      <c r="S1" s="3319" t="s">
        <v>1153</v>
      </c>
      <c r="T1" s="3319"/>
      <c r="U1" s="3319"/>
      <c r="V1" s="3319"/>
      <c r="X1" s="3318" t="s">
        <v>1154</v>
      </c>
      <c r="Y1" s="3319"/>
      <c r="Z1" s="3319"/>
      <c r="AA1" s="3319"/>
      <c r="AB1" s="3319"/>
      <c r="AD1" s="3318" t="s">
        <v>1155</v>
      </c>
      <c r="AE1" s="3319"/>
      <c r="AF1" s="3319"/>
      <c r="AG1" s="3319"/>
      <c r="AH1" s="331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3045</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3">
        <v>2018</v>
      </c>
      <c r="H5" s="1733">
        <v>2</v>
      </c>
      <c r="I5" s="2928">
        <v>0</v>
      </c>
      <c r="J5" s="2928">
        <v>0</v>
      </c>
      <c r="K5" s="2928">
        <v>0</v>
      </c>
      <c r="L5" s="2928">
        <v>0</v>
      </c>
      <c r="N5" s="1470">
        <f t="shared" ref="N5" si="7">I5/100</f>
        <v>0</v>
      </c>
      <c r="O5" s="1470">
        <f t="shared" ref="O5" si="8">J5/100</f>
        <v>0</v>
      </c>
      <c r="P5" s="1470">
        <f t="shared" ref="P5" si="9">K5/100</f>
        <v>0</v>
      </c>
      <c r="Q5" s="1470">
        <f t="shared" ref="Q5" si="10">L5/100</f>
        <v>0</v>
      </c>
      <c r="R5" s="1735"/>
      <c r="S5" s="1736"/>
      <c r="T5" s="1735"/>
      <c r="U5" s="1735"/>
      <c r="V5" s="1735"/>
      <c r="W5" s="2932" t="s">
        <v>3046</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3044</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4">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3041</v>
      </c>
      <c r="B7" s="1472">
        <v>439</v>
      </c>
      <c r="C7" s="1472">
        <v>327</v>
      </c>
      <c r="D7" s="1472">
        <f>C7</f>
        <v>327</v>
      </c>
      <c r="E7" s="1472">
        <v>627</v>
      </c>
      <c r="F7" s="1473">
        <v>283</v>
      </c>
      <c r="G7" s="2930">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3042</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6"/>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5"/>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6"/>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2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2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2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2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2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2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2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2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2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2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2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2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2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2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2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2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2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2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2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2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2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2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2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2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2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2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2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2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2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2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2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2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2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2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2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2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2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2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2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2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2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2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2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2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2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2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2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2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2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2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2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2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2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2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2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2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2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2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2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2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估价结果一览表（市场价值不需“结果表-1”）</v>
      </c>
      <c r="B3" s="2993"/>
      <c r="C3" s="2993"/>
      <c r="D3" s="2993"/>
      <c r="E3" s="2993"/>
    </row>
    <row r="4" spans="1:5" ht="19.5" thickBot="1">
      <c r="A4" s="1964"/>
      <c r="B4" s="2991" t="s">
        <v>1630</v>
      </c>
      <c r="C4" s="2991"/>
      <c r="D4" s="2991"/>
      <c r="E4" s="1964"/>
    </row>
    <row r="5" spans="1:5" ht="16.5" thickTop="1">
      <c r="A5" s="1962"/>
      <c r="B5" s="2989" t="s">
        <v>1622</v>
      </c>
      <c r="C5" s="1965" t="s">
        <v>1623</v>
      </c>
      <c r="D5" s="1043">
        <f ca="1">结果表!H101</f>
        <v>45557</v>
      </c>
      <c r="E5" s="1962"/>
    </row>
    <row r="6" spans="1:5" ht="15.75">
      <c r="A6" s="1962"/>
      <c r="B6" s="2989"/>
      <c r="C6" s="1965" t="s">
        <v>1624</v>
      </c>
      <c r="D6" s="1043" t="str">
        <f ca="1">NUMBERSTRING(INT(D5*10000),2)&amp;"元整"</f>
        <v>肆亿伍仟伍佰伍拾柒万元整</v>
      </c>
      <c r="E6" s="1962"/>
    </row>
    <row r="7" spans="1:5" ht="15.75">
      <c r="A7" s="1962"/>
      <c r="B7" s="2994"/>
      <c r="C7" s="1966" t="s">
        <v>1625</v>
      </c>
      <c r="D7" s="1044">
        <f ca="1">结果表!H102</f>
        <v>11675</v>
      </c>
      <c r="E7" s="1962"/>
    </row>
    <row r="8" spans="1:5" ht="15.75">
      <c r="A8" s="1962"/>
      <c r="B8" s="2995" t="str">
        <f>结果表!E103</f>
        <v>2.估价师知悉的法定优先受偿款</v>
      </c>
      <c r="C8" s="1967" t="s">
        <v>1626</v>
      </c>
      <c r="D8" s="1044">
        <f>结果表!H103</f>
        <v>0</v>
      </c>
      <c r="E8" s="1962"/>
    </row>
    <row r="9" spans="1:5" ht="15.75">
      <c r="A9" s="1962"/>
      <c r="B9" s="299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8" t="str">
        <f>结果表!E107</f>
        <v>3.房地产抵押价值</v>
      </c>
      <c r="C13" s="1970" t="s">
        <v>1623</v>
      </c>
      <c r="D13" s="1046">
        <f ca="1">结果表!H107</f>
        <v>45557</v>
      </c>
      <c r="E13" s="1962"/>
    </row>
    <row r="14" spans="1:5" ht="15.75">
      <c r="A14" s="1962"/>
      <c r="B14" s="2989"/>
      <c r="C14" s="1965" t="s">
        <v>1624</v>
      </c>
      <c r="D14" s="1043" t="str">
        <f ca="1">NUMBERSTRING(INT(D13*10000),2)&amp;"元整"</f>
        <v>肆亿伍仟伍佰伍拾柒万元整</v>
      </c>
      <c r="E14" s="1962"/>
    </row>
    <row r="15" spans="1:5" ht="15">
      <c r="A15" s="1962"/>
      <c r="B15" s="2994"/>
      <c r="C15" s="1966" t="s">
        <v>1634</v>
      </c>
      <c r="D15" s="1055">
        <f ca="1">结果表!H108</f>
        <v>11675</v>
      </c>
      <c r="E15" s="1962"/>
    </row>
    <row r="16" spans="1:5" ht="15">
      <c r="A16" s="1962"/>
      <c r="B16" s="2995" t="str">
        <f>结果表!E109</f>
        <v>——</v>
      </c>
      <c r="C16" s="1970" t="s">
        <v>1635</v>
      </c>
      <c r="D16" s="1971" t="str">
        <f>结果表!H109</f>
        <v>——</v>
      </c>
      <c r="E16" s="1962"/>
    </row>
    <row r="17" spans="1:5" ht="15.75">
      <c r="A17" s="1962"/>
      <c r="B17" s="2996"/>
      <c r="C17" s="1965" t="s">
        <v>1636</v>
      </c>
      <c r="D17" s="1043" t="e">
        <f>NUMBERSTRING(INT(D16*10000),2)&amp;"元整"</f>
        <v>#VALUE!</v>
      </c>
      <c r="E17" s="1962"/>
    </row>
    <row r="18" spans="1:5" ht="15">
      <c r="A18" s="1962"/>
      <c r="B18" s="2997"/>
      <c r="C18" s="1966" t="s">
        <v>1625</v>
      </c>
      <c r="D18" s="1055" t="str">
        <f>结果表!H110</f>
        <v>——</v>
      </c>
      <c r="E18" s="1962"/>
    </row>
    <row r="19" spans="1:5" ht="15.75">
      <c r="A19" s="1962"/>
      <c r="B19" s="2988" t="str">
        <f>结果表!E111</f>
        <v>——</v>
      </c>
      <c r="C19" s="1970" t="s">
        <v>1623</v>
      </c>
      <c r="D19" s="1044" t="str">
        <f>结果表!H111</f>
        <v>——</v>
      </c>
      <c r="E19" s="1962"/>
    </row>
    <row r="20" spans="1:5" ht="15.75">
      <c r="A20" s="1962"/>
      <c r="B20" s="2989"/>
      <c r="C20" s="1965" t="s">
        <v>1636</v>
      </c>
      <c r="D20" s="1043" t="e">
        <f>NUMBERSTRING(INT(D19*10000),2)&amp;"元整"</f>
        <v>#VALUE!</v>
      </c>
      <c r="E20" s="1962"/>
    </row>
    <row r="21" spans="1:5" ht="15.75" thickBot="1">
      <c r="A21" s="1962"/>
      <c r="B21" s="299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2" sqref="H42"/>
      <selection pane="bottomLeft" activeCell="H42" sqref="H4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329" t="s">
        <v>3013</v>
      </c>
      <c r="D1" s="3330"/>
      <c r="E1" s="3330"/>
      <c r="F1" s="3330"/>
      <c r="G1" s="3330"/>
      <c r="H1" s="3330"/>
      <c r="I1" s="3330"/>
      <c r="J1" s="3330"/>
      <c r="K1" s="3330"/>
      <c r="L1" s="3330"/>
      <c r="M1" s="3330"/>
      <c r="N1" s="3330"/>
      <c r="O1" s="3330"/>
      <c r="P1" s="3330"/>
      <c r="Q1" s="3330"/>
      <c r="R1" s="3330"/>
      <c r="S1" s="3331"/>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3022</v>
      </c>
      <c r="B17" s="2921"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3" t="s">
        <v>3026</v>
      </c>
      <c r="E20" s="1796"/>
      <c r="F20" s="1207" t="e">
        <f ca="1">SUMIF(INDIRECT("'"&amp;H20&amp;"'"&amp;"!A:A"),"承租人权益价值",INDIRECT("'"&amp;H20&amp;"'"&amp;"!c:c"))</f>
        <v>#REF!</v>
      </c>
      <c r="G20" s="1207" t="s">
        <v>3027</v>
      </c>
      <c r="H20" s="2924"/>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112" t="s">
        <v>33</v>
      </c>
      <c r="D22" s="3113"/>
      <c r="E22" s="3113"/>
      <c r="F22" s="3113"/>
      <c r="G22" s="3113"/>
      <c r="H22" s="3113"/>
      <c r="I22" s="3113"/>
      <c r="J22" s="3113"/>
      <c r="K22" s="3113"/>
      <c r="L22" s="3113"/>
      <c r="M22" s="3113"/>
      <c r="N22" s="3113"/>
      <c r="O22" s="3113"/>
      <c r="P22" s="3113"/>
      <c r="Q22" s="3328"/>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46826</v>
      </c>
      <c r="C2" s="2" t="s">
        <v>133</v>
      </c>
      <c r="D2" s="243"/>
      <c r="E2" s="243"/>
      <c r="F2" s="243"/>
      <c r="G2" s="243"/>
    </row>
    <row r="3" spans="1:7" s="244" customFormat="1" ht="18" customHeight="1" thickBot="1">
      <c r="A3" s="247" t="s">
        <v>85</v>
      </c>
      <c r="B3" s="248">
        <f ca="1">ROUND(B2*10000/'数据-汇总表'!E3,0)</f>
        <v>12000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624</v>
      </c>
      <c r="D9" s="1035">
        <f>'数据-汇总表'!E5</f>
        <v>39021.709999999977</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780</v>
      </c>
      <c r="D19" s="1039">
        <f>'数据-汇总表'!E3</f>
        <v>39021.709999999977</v>
      </c>
      <c r="E19" s="255">
        <f>'数据-取费表'!B31</f>
        <v>200</v>
      </c>
      <c r="F19" s="275"/>
      <c r="G19" s="1" t="s">
        <v>1074</v>
      </c>
    </row>
    <row r="20" spans="1:7" s="258" customFormat="1" ht="13.5" customHeight="1">
      <c r="A20" s="951" t="s">
        <v>1057</v>
      </c>
      <c r="B20" s="254" t="s">
        <v>104</v>
      </c>
      <c r="C20" s="276">
        <f>ROUND((C5+C19)*F20,0)</f>
        <v>214</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2090</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76</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3241</v>
      </c>
      <c r="D27" s="279">
        <f>C29</f>
        <v>1.5E-3</v>
      </c>
      <c r="E27" s="280" t="s">
        <v>126</v>
      </c>
      <c r="F27" s="290">
        <f>'数据-取费表'!Q16</f>
        <v>0.15</v>
      </c>
      <c r="G27" s="291" t="s">
        <v>1069</v>
      </c>
    </row>
    <row r="28" spans="1:7" s="258" customFormat="1" ht="13.5" customHeight="1">
      <c r="A28" s="954" t="s">
        <v>794</v>
      </c>
      <c r="B28" s="292" t="s">
        <v>1062</v>
      </c>
      <c r="C28" s="293">
        <f>ROUND((C5+C19+C20)*F27*'数据-取费表'!B21/'数据-取费表'!B20,0)</f>
        <v>3241</v>
      </c>
      <c r="D28" s="279"/>
      <c r="E28" s="280"/>
      <c r="F28" s="290"/>
      <c r="G28" s="291"/>
    </row>
    <row r="29" spans="1:7" s="258" customFormat="1" ht="13.5" customHeight="1">
      <c r="A29" s="954" t="s">
        <v>792</v>
      </c>
      <c r="B29" s="292" t="s">
        <v>1063</v>
      </c>
      <c r="C29" s="282">
        <f>ROUND(C21*F27*'数据-取费表'!B21/'数据-取费表'!B20,4)</f>
        <v>1.5E-3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15463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13658</v>
      </c>
      <c r="D34" s="261"/>
      <c r="E34" s="264"/>
      <c r="F34" s="301">
        <f>IF('数据-取费表'!B24=0,1,'数据-取费表'!N16)</f>
        <v>1</v>
      </c>
      <c r="G34" s="263" t="s">
        <v>116</v>
      </c>
    </row>
    <row r="35" spans="1:7" ht="13.5" customHeight="1">
      <c r="A35" s="954" t="s">
        <v>796</v>
      </c>
      <c r="B35" s="259" t="s">
        <v>60</v>
      </c>
      <c r="C35" s="264">
        <f>ROUND(C34*F35,0)</f>
        <v>410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410</v>
      </c>
      <c r="D36" s="264"/>
      <c r="E36" s="264"/>
      <c r="F36" s="303">
        <f>'数据-取费表'!B34</f>
        <v>0.03</v>
      </c>
      <c r="G36" s="304" t="s">
        <v>62</v>
      </c>
    </row>
    <row r="37" spans="1:7" s="302" customFormat="1" ht="13.5" customHeight="1">
      <c r="A37" s="954" t="s">
        <v>798</v>
      </c>
      <c r="B37" s="259" t="s">
        <v>118</v>
      </c>
      <c r="C37" s="293">
        <f>ROUND(E37*D37*F34/10000,0)</f>
        <v>780</v>
      </c>
      <c r="D37" s="261">
        <f>'数据-汇总表'!E3</f>
        <v>39021.709999999977</v>
      </c>
      <c r="E37" s="293">
        <f>'数据-取费表'!B35</f>
        <v>200</v>
      </c>
      <c r="F37" s="303"/>
      <c r="G37" s="305" t="s">
        <v>119</v>
      </c>
    </row>
    <row r="38" spans="1:7" ht="13.5" customHeight="1">
      <c r="A38" s="954" t="s">
        <v>799</v>
      </c>
      <c r="B38" s="259" t="s">
        <v>63</v>
      </c>
      <c r="C38" s="264">
        <f>ROUND(C34*F38,0)</f>
        <v>205</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741</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734</v>
      </c>
      <c r="D42" s="282"/>
      <c r="E42" s="282"/>
      <c r="F42" s="283"/>
      <c r="G42" s="3197" t="s">
        <v>121</v>
      </c>
    </row>
    <row r="43" spans="1:7" ht="13.5" customHeight="1">
      <c r="A43" s="954" t="s">
        <v>792</v>
      </c>
      <c r="B43" s="259" t="s">
        <v>1064</v>
      </c>
      <c r="C43" s="282">
        <f ca="1">ROUND(IF('数据-取费表'!B22&lt;=1,C39*F22*'数据-取费表'!B21/2,C39*(POWER((1+F22),'数据-取费表'!B21/2)-1)),0)</f>
        <v>7</v>
      </c>
      <c r="D43" s="282"/>
      <c r="E43" s="282"/>
      <c r="F43" s="283"/>
      <c r="G43" s="3198"/>
    </row>
    <row r="44" spans="1:7" ht="13.5" customHeight="1">
      <c r="A44" s="954" t="s">
        <v>793</v>
      </c>
      <c r="B44" s="259" t="s">
        <v>1066</v>
      </c>
      <c r="C44" s="282">
        <f ca="1">ROUND(IF('数据-取费表'!B22&lt;=1,C40*F22*'数据-取费表'!B21/2,C40*(POWER((1+F22),'数据-取费表'!B21/2)-1)),4)</f>
        <v>5.0000000000000001E-4</v>
      </c>
      <c r="D44" s="282"/>
      <c r="E44" s="282"/>
      <c r="F44" s="283"/>
      <c r="G44" s="3199"/>
    </row>
    <row r="45" spans="1:7" s="258" customFormat="1" ht="13.5" customHeight="1">
      <c r="A45" s="951" t="s">
        <v>786</v>
      </c>
      <c r="B45" s="288" t="s">
        <v>112</v>
      </c>
      <c r="C45" s="289">
        <f>C46</f>
        <v>2343</v>
      </c>
      <c r="D45" s="279">
        <f>C47</f>
        <v>1.5E-3</v>
      </c>
      <c r="E45" s="280" t="s">
        <v>129</v>
      </c>
      <c r="F45" s="290"/>
      <c r="G45" s="291" t="s">
        <v>1072</v>
      </c>
    </row>
    <row r="46" spans="1:7" s="258" customFormat="1" ht="13.5" customHeight="1">
      <c r="A46" s="954" t="s">
        <v>794</v>
      </c>
      <c r="B46" s="292" t="s">
        <v>1065</v>
      </c>
      <c r="C46" s="293">
        <f>ROUND((C33+C39)*F27,0)</f>
        <v>2343</v>
      </c>
      <c r="D46" s="307"/>
      <c r="E46" s="280"/>
      <c r="F46" s="290"/>
      <c r="G46" s="291"/>
    </row>
    <row r="47" spans="1:7" s="258" customFormat="1" ht="13.5" customHeight="1">
      <c r="A47" s="954" t="s">
        <v>792</v>
      </c>
      <c r="B47" s="292" t="s">
        <v>1067</v>
      </c>
      <c r="C47" s="282">
        <f>ROUND(C40*F27,4)</f>
        <v>1.5E-3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20009</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18008</v>
      </c>
      <c r="D51" s="276"/>
      <c r="E51" s="276"/>
      <c r="F51" s="308"/>
      <c r="G51" s="278" t="s">
        <v>64</v>
      </c>
    </row>
    <row r="52" spans="1:7" s="252" customFormat="1" ht="16.5" thickBot="1">
      <c r="A52" s="309" t="s">
        <v>65</v>
      </c>
      <c r="B52" s="310"/>
      <c r="C52" s="311">
        <f ca="1">C31+C51</f>
        <v>46826</v>
      </c>
      <c r="D52" s="310"/>
      <c r="E52" s="310"/>
      <c r="F52" s="310"/>
      <c r="G52" s="312"/>
    </row>
    <row r="55" spans="1:7" ht="15">
      <c r="B55" s="314" t="s">
        <v>66</v>
      </c>
      <c r="C55" s="315"/>
    </row>
    <row r="56" spans="1:7">
      <c r="B56" s="317" t="s">
        <v>67</v>
      </c>
      <c r="C56" s="318">
        <f ca="1">ROUND(C51/C52,3)</f>
        <v>0.38500000000000001</v>
      </c>
    </row>
    <row r="57" spans="1:7">
      <c r="B57" s="317" t="s">
        <v>68</v>
      </c>
      <c r="C57" s="319">
        <f ca="1">1-C56</f>
        <v>0.61499999999999999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2" t="s">
        <v>156</v>
      </c>
      <c r="B1" s="3332"/>
      <c r="C1" s="3332"/>
      <c r="D1" s="3332"/>
      <c r="E1" s="3332"/>
      <c r="F1" s="333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3" t="s">
        <v>169</v>
      </c>
      <c r="B2" s="3333"/>
      <c r="C2" s="3333"/>
      <c r="D2" s="3333"/>
      <c r="E2" s="3333"/>
      <c r="F2" s="333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2" t="s">
        <v>871</v>
      </c>
      <c r="B1" s="333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5"/>
  <sheetViews>
    <sheetView topLeftCell="A379" workbookViewId="0">
      <selection activeCell="H396" sqref="H396"/>
    </sheetView>
  </sheetViews>
  <sheetFormatPr defaultRowHeight="14.25"/>
  <cols>
    <col min="1" max="1" width="9" style="2981"/>
    <col min="2" max="2" width="46" style="2981" customWidth="1"/>
    <col min="3" max="3" width="9" style="2981" customWidth="1"/>
    <col min="4" max="4" width="16.625" style="2981" customWidth="1"/>
    <col min="5" max="5" width="9.875" style="2981" customWidth="1"/>
    <col min="7" max="7" width="9" style="1948"/>
    <col min="8" max="8" width="38" style="1948" customWidth="1"/>
    <col min="9" max="9" width="9" style="1948"/>
    <col min="10" max="10" width="16" style="1948" customWidth="1"/>
  </cols>
  <sheetData>
    <row r="1" spans="1:5">
      <c r="A1" s="2978" t="s">
        <v>3064</v>
      </c>
      <c r="B1" s="2978" t="s">
        <v>3065</v>
      </c>
      <c r="C1" s="2979" t="s">
        <v>3066</v>
      </c>
      <c r="D1" s="2980" t="s">
        <v>3067</v>
      </c>
      <c r="E1" s="2978" t="s">
        <v>3068</v>
      </c>
    </row>
    <row r="2" spans="1:5">
      <c r="A2" s="2978">
        <v>1</v>
      </c>
      <c r="B2" s="2978">
        <v>2</v>
      </c>
      <c r="C2" s="2978">
        <v>1</v>
      </c>
      <c r="D2" s="2978">
        <v>2704</v>
      </c>
      <c r="E2" s="2978">
        <v>94.75</v>
      </c>
    </row>
    <row r="3" spans="1:5">
      <c r="A3" s="2978">
        <v>2</v>
      </c>
      <c r="B3" s="2978">
        <v>2</v>
      </c>
      <c r="C3" s="2978">
        <v>1</v>
      </c>
      <c r="D3" s="2978">
        <v>2804</v>
      </c>
      <c r="E3" s="2978">
        <v>94.75</v>
      </c>
    </row>
    <row r="4" spans="1:5">
      <c r="A4" s="2978">
        <v>3</v>
      </c>
      <c r="B4" s="2978">
        <v>2</v>
      </c>
      <c r="C4" s="2978">
        <v>1</v>
      </c>
      <c r="D4" s="2978">
        <v>2904</v>
      </c>
      <c r="E4" s="2978">
        <v>94.75</v>
      </c>
    </row>
    <row r="5" spans="1:5">
      <c r="A5" s="2978">
        <v>4</v>
      </c>
      <c r="B5" s="2978">
        <v>2</v>
      </c>
      <c r="C5" s="2978">
        <v>2</v>
      </c>
      <c r="D5" s="2978">
        <v>2201</v>
      </c>
      <c r="E5" s="2978">
        <v>94.75</v>
      </c>
    </row>
    <row r="6" spans="1:5">
      <c r="A6" s="2978">
        <v>5</v>
      </c>
      <c r="B6" s="2978">
        <v>2</v>
      </c>
      <c r="C6" s="2978">
        <v>2</v>
      </c>
      <c r="D6" s="2978">
        <v>2601</v>
      </c>
      <c r="E6" s="2978">
        <v>94.75</v>
      </c>
    </row>
    <row r="7" spans="1:5">
      <c r="A7" s="2978">
        <v>6</v>
      </c>
      <c r="B7" s="2978">
        <v>2</v>
      </c>
      <c r="C7" s="2978">
        <v>2</v>
      </c>
      <c r="D7" s="2978">
        <v>2901</v>
      </c>
      <c r="E7" s="2978">
        <v>94.75</v>
      </c>
    </row>
    <row r="8" spans="1:5">
      <c r="A8" s="2978">
        <v>7</v>
      </c>
      <c r="B8" s="2978">
        <v>2</v>
      </c>
      <c r="C8" s="2978">
        <v>2</v>
      </c>
      <c r="D8" s="2978">
        <v>304</v>
      </c>
      <c r="E8" s="2978">
        <v>93.48</v>
      </c>
    </row>
    <row r="9" spans="1:5">
      <c r="A9" s="2978">
        <v>8</v>
      </c>
      <c r="B9" s="2978">
        <v>2</v>
      </c>
      <c r="C9" s="2978">
        <v>2</v>
      </c>
      <c r="D9" s="2978">
        <v>2904</v>
      </c>
      <c r="E9" s="2978">
        <v>93.48</v>
      </c>
    </row>
    <row r="10" spans="1:5">
      <c r="A10" s="2978">
        <v>9</v>
      </c>
      <c r="B10" s="2978">
        <v>3</v>
      </c>
      <c r="C10" s="2978">
        <v>1</v>
      </c>
      <c r="D10" s="2978">
        <v>2904</v>
      </c>
      <c r="E10" s="2978">
        <v>94.75</v>
      </c>
    </row>
    <row r="11" spans="1:5">
      <c r="A11" s="2978">
        <v>10</v>
      </c>
      <c r="B11" s="2978">
        <v>3</v>
      </c>
      <c r="C11" s="2978">
        <v>2</v>
      </c>
      <c r="D11" s="2978">
        <v>2701</v>
      </c>
      <c r="E11" s="2978">
        <v>94.75</v>
      </c>
    </row>
    <row r="12" spans="1:5">
      <c r="A12" s="2978">
        <v>11</v>
      </c>
      <c r="B12" s="2978">
        <v>3</v>
      </c>
      <c r="C12" s="2978">
        <v>2</v>
      </c>
      <c r="D12" s="2978">
        <v>2904</v>
      </c>
      <c r="E12" s="2978">
        <v>93.48</v>
      </c>
    </row>
    <row r="13" spans="1:5">
      <c r="A13" s="2978">
        <v>12</v>
      </c>
      <c r="B13" s="2978">
        <v>5</v>
      </c>
      <c r="C13" s="2978">
        <v>1</v>
      </c>
      <c r="D13" s="2978">
        <v>2904</v>
      </c>
      <c r="E13" s="2978">
        <v>93.96</v>
      </c>
    </row>
    <row r="14" spans="1:5">
      <c r="A14" s="2978">
        <v>13</v>
      </c>
      <c r="B14" s="2978">
        <v>5</v>
      </c>
      <c r="C14" s="2978">
        <v>2</v>
      </c>
      <c r="D14" s="2978">
        <v>2901</v>
      </c>
      <c r="E14" s="2978">
        <v>93.96</v>
      </c>
    </row>
    <row r="15" spans="1:5">
      <c r="A15" s="2978">
        <v>14</v>
      </c>
      <c r="B15" s="2978">
        <v>5</v>
      </c>
      <c r="C15" s="2978">
        <v>1</v>
      </c>
      <c r="D15" s="2978">
        <v>2901</v>
      </c>
      <c r="E15" s="2978">
        <v>92.71</v>
      </c>
    </row>
    <row r="16" spans="1:5">
      <c r="A16" s="2978">
        <v>15</v>
      </c>
      <c r="B16" s="2978">
        <v>5</v>
      </c>
      <c r="C16" s="2978">
        <v>2</v>
      </c>
      <c r="D16" s="2978">
        <v>204</v>
      </c>
      <c r="E16" s="2978">
        <v>92.71</v>
      </c>
    </row>
    <row r="17" spans="1:5">
      <c r="A17" s="2978">
        <v>16</v>
      </c>
      <c r="B17" s="2978">
        <v>5</v>
      </c>
      <c r="C17" s="2978">
        <v>2</v>
      </c>
      <c r="D17" s="2978">
        <v>304</v>
      </c>
      <c r="E17" s="2978">
        <v>92.71</v>
      </c>
    </row>
    <row r="18" spans="1:5">
      <c r="A18" s="2978">
        <v>17</v>
      </c>
      <c r="B18" s="2978">
        <v>5</v>
      </c>
      <c r="C18" s="2978">
        <v>2</v>
      </c>
      <c r="D18" s="2978">
        <v>2204</v>
      </c>
      <c r="E18" s="2978">
        <v>92.71</v>
      </c>
    </row>
    <row r="19" spans="1:5">
      <c r="A19" s="2978">
        <v>18</v>
      </c>
      <c r="B19" s="2978">
        <v>5</v>
      </c>
      <c r="C19" s="2978">
        <v>2</v>
      </c>
      <c r="D19" s="2978">
        <v>2704</v>
      </c>
      <c r="E19" s="2978">
        <v>92.71</v>
      </c>
    </row>
    <row r="20" spans="1:5">
      <c r="A20" s="2978">
        <v>19</v>
      </c>
      <c r="B20" s="2978">
        <v>5</v>
      </c>
      <c r="C20" s="2978">
        <v>2</v>
      </c>
      <c r="D20" s="2978">
        <v>2804</v>
      </c>
      <c r="E20" s="2978">
        <v>92.71</v>
      </c>
    </row>
    <row r="21" spans="1:5">
      <c r="A21" s="2978">
        <v>20</v>
      </c>
      <c r="B21" s="2978">
        <v>5</v>
      </c>
      <c r="C21" s="2978">
        <v>2</v>
      </c>
      <c r="D21" s="2978">
        <v>2904</v>
      </c>
      <c r="E21" s="2978">
        <v>92.71</v>
      </c>
    </row>
    <row r="22" spans="1:5">
      <c r="A22" s="2978">
        <v>21</v>
      </c>
      <c r="B22" s="2978">
        <v>6</v>
      </c>
      <c r="C22" s="2978">
        <v>1</v>
      </c>
      <c r="D22" s="2978">
        <v>3004</v>
      </c>
      <c r="E22" s="2978">
        <v>93.94</v>
      </c>
    </row>
    <row r="23" spans="1:5">
      <c r="A23" s="2978">
        <v>22</v>
      </c>
      <c r="B23" s="2978">
        <v>6</v>
      </c>
      <c r="C23" s="2978">
        <v>2</v>
      </c>
      <c r="D23" s="2978">
        <v>501</v>
      </c>
      <c r="E23" s="2978">
        <v>93.94</v>
      </c>
    </row>
    <row r="24" spans="1:5">
      <c r="A24" s="2978">
        <v>23</v>
      </c>
      <c r="B24" s="2978">
        <v>6</v>
      </c>
      <c r="C24" s="2978">
        <v>2</v>
      </c>
      <c r="D24" s="2978">
        <v>3001</v>
      </c>
      <c r="E24" s="2978">
        <v>93.94</v>
      </c>
    </row>
    <row r="25" spans="1:5">
      <c r="A25" s="2978">
        <v>24</v>
      </c>
      <c r="B25" s="2978">
        <v>6</v>
      </c>
      <c r="C25" s="2978">
        <v>1</v>
      </c>
      <c r="D25" s="2978">
        <v>3001</v>
      </c>
      <c r="E25" s="2978">
        <v>92.68</v>
      </c>
    </row>
    <row r="26" spans="1:5">
      <c r="A26" s="2978">
        <v>25</v>
      </c>
      <c r="B26" s="2978">
        <v>6</v>
      </c>
      <c r="C26" s="2978">
        <v>2</v>
      </c>
      <c r="D26" s="2978">
        <v>204</v>
      </c>
      <c r="E26" s="2978">
        <v>92.68</v>
      </c>
    </row>
    <row r="27" spans="1:5">
      <c r="A27" s="2978">
        <v>26</v>
      </c>
      <c r="B27" s="2978">
        <v>6</v>
      </c>
      <c r="C27" s="2978">
        <v>2</v>
      </c>
      <c r="D27" s="2978">
        <v>304</v>
      </c>
      <c r="E27" s="2978">
        <v>92.68</v>
      </c>
    </row>
    <row r="28" spans="1:5">
      <c r="A28" s="2978">
        <v>27</v>
      </c>
      <c r="B28" s="2978">
        <v>6</v>
      </c>
      <c r="C28" s="2978">
        <v>2</v>
      </c>
      <c r="D28" s="2978">
        <v>504</v>
      </c>
      <c r="E28" s="2978">
        <v>92.68</v>
      </c>
    </row>
    <row r="29" spans="1:5">
      <c r="A29" s="2978">
        <v>28</v>
      </c>
      <c r="B29" s="2978">
        <v>6</v>
      </c>
      <c r="C29" s="2978">
        <v>2</v>
      </c>
      <c r="D29" s="2978">
        <v>904</v>
      </c>
      <c r="E29" s="2978">
        <v>92.68</v>
      </c>
    </row>
    <row r="30" spans="1:5">
      <c r="A30" s="2978">
        <v>29</v>
      </c>
      <c r="B30" s="2978">
        <v>6</v>
      </c>
      <c r="C30" s="2978">
        <v>2</v>
      </c>
      <c r="D30" s="2978">
        <v>1004</v>
      </c>
      <c r="E30" s="2978">
        <v>92.68</v>
      </c>
    </row>
    <row r="31" spans="1:5">
      <c r="A31" s="2978">
        <v>30</v>
      </c>
      <c r="B31" s="2978">
        <v>6</v>
      </c>
      <c r="C31" s="2978">
        <v>2</v>
      </c>
      <c r="D31" s="2978">
        <v>2804</v>
      </c>
      <c r="E31" s="2978">
        <v>92.68</v>
      </c>
    </row>
    <row r="32" spans="1:5">
      <c r="A32" s="2978">
        <v>31</v>
      </c>
      <c r="B32" s="2978">
        <v>6</v>
      </c>
      <c r="C32" s="2978">
        <v>2</v>
      </c>
      <c r="D32" s="2978">
        <v>3004</v>
      </c>
      <c r="E32" s="2978">
        <v>92.68</v>
      </c>
    </row>
    <row r="33" spans="1:5">
      <c r="A33" s="2978">
        <v>32</v>
      </c>
      <c r="B33" s="2978">
        <v>7</v>
      </c>
      <c r="C33" s="2978">
        <v>1</v>
      </c>
      <c r="D33" s="2978">
        <v>204</v>
      </c>
      <c r="E33" s="2978">
        <v>93.99</v>
      </c>
    </row>
    <row r="34" spans="1:5">
      <c r="A34" s="2978">
        <v>33</v>
      </c>
      <c r="B34" s="2978">
        <v>7</v>
      </c>
      <c r="C34" s="2978">
        <v>1</v>
      </c>
      <c r="D34" s="2978">
        <v>304</v>
      </c>
      <c r="E34" s="2978">
        <v>93.99</v>
      </c>
    </row>
    <row r="35" spans="1:5">
      <c r="A35" s="2978">
        <v>34</v>
      </c>
      <c r="B35" s="2978">
        <v>7</v>
      </c>
      <c r="C35" s="2978">
        <v>1</v>
      </c>
      <c r="D35" s="2978">
        <v>2804</v>
      </c>
      <c r="E35" s="2978">
        <v>93.99</v>
      </c>
    </row>
    <row r="36" spans="1:5">
      <c r="A36" s="2978">
        <v>35</v>
      </c>
      <c r="B36" s="2978">
        <v>7</v>
      </c>
      <c r="C36" s="2978">
        <v>2</v>
      </c>
      <c r="D36" s="2978">
        <v>801</v>
      </c>
      <c r="E36" s="2978">
        <v>93.99</v>
      </c>
    </row>
    <row r="37" spans="1:5">
      <c r="A37" s="2978">
        <v>36</v>
      </c>
      <c r="B37" s="2978">
        <v>7</v>
      </c>
      <c r="C37" s="2978">
        <v>2</v>
      </c>
      <c r="D37" s="2978">
        <v>2801</v>
      </c>
      <c r="E37" s="2978">
        <v>93.99</v>
      </c>
    </row>
    <row r="38" spans="1:5">
      <c r="A38" s="2978">
        <v>37</v>
      </c>
      <c r="B38" s="2978">
        <v>7</v>
      </c>
      <c r="C38" s="2978">
        <v>2</v>
      </c>
      <c r="D38" s="2978">
        <v>204</v>
      </c>
      <c r="E38" s="2978">
        <v>92.74</v>
      </c>
    </row>
    <row r="39" spans="1:5">
      <c r="A39" s="2978">
        <v>38</v>
      </c>
      <c r="B39" s="2978">
        <v>7</v>
      </c>
      <c r="C39" s="2978">
        <v>2</v>
      </c>
      <c r="D39" s="2978">
        <v>304</v>
      </c>
      <c r="E39" s="2978">
        <v>92.74</v>
      </c>
    </row>
    <row r="40" spans="1:5">
      <c r="A40" s="2978">
        <v>39</v>
      </c>
      <c r="B40" s="2978">
        <v>7</v>
      </c>
      <c r="C40" s="2978">
        <v>2</v>
      </c>
      <c r="D40" s="2978">
        <v>504</v>
      </c>
      <c r="E40" s="2978">
        <v>92.74</v>
      </c>
    </row>
    <row r="41" spans="1:5">
      <c r="A41" s="2978">
        <v>40</v>
      </c>
      <c r="B41" s="2978">
        <v>7</v>
      </c>
      <c r="C41" s="2978">
        <v>2</v>
      </c>
      <c r="D41" s="2978">
        <v>2804</v>
      </c>
      <c r="E41" s="2978">
        <v>92.74</v>
      </c>
    </row>
    <row r="42" spans="1:5">
      <c r="A42" s="2978">
        <v>41</v>
      </c>
      <c r="B42" s="2978">
        <v>8</v>
      </c>
      <c r="C42" s="2978">
        <v>1</v>
      </c>
      <c r="D42" s="2978">
        <v>204</v>
      </c>
      <c r="E42" s="2978">
        <v>94.01</v>
      </c>
    </row>
    <row r="43" spans="1:5">
      <c r="A43" s="2978">
        <v>42</v>
      </c>
      <c r="B43" s="2978">
        <v>8</v>
      </c>
      <c r="C43" s="2978">
        <v>1</v>
      </c>
      <c r="D43" s="2978">
        <v>2504</v>
      </c>
      <c r="E43" s="2978">
        <v>94.01</v>
      </c>
    </row>
    <row r="44" spans="1:5">
      <c r="A44" s="2978">
        <v>43</v>
      </c>
      <c r="B44" s="2978">
        <v>8</v>
      </c>
      <c r="C44" s="2978">
        <v>1</v>
      </c>
      <c r="D44" s="2978">
        <v>2704</v>
      </c>
      <c r="E44" s="2978">
        <v>94.01</v>
      </c>
    </row>
    <row r="45" spans="1:5">
      <c r="A45" s="2978">
        <v>44</v>
      </c>
      <c r="B45" s="2978">
        <v>8</v>
      </c>
      <c r="C45" s="2978">
        <v>2</v>
      </c>
      <c r="D45" s="2978">
        <v>201</v>
      </c>
      <c r="E45" s="2978">
        <v>94.01</v>
      </c>
    </row>
    <row r="46" spans="1:5">
      <c r="A46" s="2978">
        <v>45</v>
      </c>
      <c r="B46" s="2978">
        <v>8</v>
      </c>
      <c r="C46" s="2978">
        <v>2</v>
      </c>
      <c r="D46" s="2978">
        <v>2101</v>
      </c>
      <c r="E46" s="2978">
        <v>94.01</v>
      </c>
    </row>
    <row r="47" spans="1:5">
      <c r="A47" s="2978">
        <v>46</v>
      </c>
      <c r="B47" s="2978">
        <v>8</v>
      </c>
      <c r="C47" s="2978">
        <v>2</v>
      </c>
      <c r="D47" s="2978">
        <v>2801</v>
      </c>
      <c r="E47" s="2978">
        <v>94.01</v>
      </c>
    </row>
    <row r="48" spans="1:5">
      <c r="A48" s="2978">
        <v>47</v>
      </c>
      <c r="B48" s="2978">
        <v>8</v>
      </c>
      <c r="C48" s="2978">
        <v>1</v>
      </c>
      <c r="D48" s="2978">
        <v>901</v>
      </c>
      <c r="E48" s="2978">
        <v>92.76</v>
      </c>
    </row>
    <row r="49" spans="1:5">
      <c r="A49" s="2978">
        <v>48</v>
      </c>
      <c r="B49" s="2978">
        <v>8</v>
      </c>
      <c r="C49" s="2978">
        <v>2</v>
      </c>
      <c r="D49" s="2978">
        <v>204</v>
      </c>
      <c r="E49" s="2978">
        <v>92.76</v>
      </c>
    </row>
    <row r="50" spans="1:5">
      <c r="A50" s="2978">
        <v>49</v>
      </c>
      <c r="B50" s="2978">
        <v>8</v>
      </c>
      <c r="C50" s="2978">
        <v>2</v>
      </c>
      <c r="D50" s="2978">
        <v>704</v>
      </c>
      <c r="E50" s="2978">
        <v>92.76</v>
      </c>
    </row>
    <row r="51" spans="1:5">
      <c r="A51" s="2978">
        <v>50</v>
      </c>
      <c r="B51" s="2978">
        <v>8</v>
      </c>
      <c r="C51" s="2978">
        <v>2</v>
      </c>
      <c r="D51" s="2978">
        <v>804</v>
      </c>
      <c r="E51" s="2978">
        <v>92.76</v>
      </c>
    </row>
    <row r="52" spans="1:5">
      <c r="A52" s="2978">
        <v>51</v>
      </c>
      <c r="B52" s="2978">
        <v>8</v>
      </c>
      <c r="C52" s="2978">
        <v>2</v>
      </c>
      <c r="D52" s="2978">
        <v>2304</v>
      </c>
      <c r="E52" s="2978">
        <v>92.76</v>
      </c>
    </row>
    <row r="53" spans="1:5">
      <c r="A53" s="2978">
        <v>52</v>
      </c>
      <c r="B53" s="2978">
        <v>8</v>
      </c>
      <c r="C53" s="2978">
        <v>2</v>
      </c>
      <c r="D53" s="2978">
        <v>2704</v>
      </c>
      <c r="E53" s="2978">
        <v>92.76</v>
      </c>
    </row>
    <row r="54" spans="1:5">
      <c r="A54" s="2978">
        <v>53</v>
      </c>
      <c r="B54" s="2978">
        <v>8</v>
      </c>
      <c r="C54" s="2978">
        <v>2</v>
      </c>
      <c r="D54" s="2978">
        <v>2804</v>
      </c>
      <c r="E54" s="2978">
        <v>92.76</v>
      </c>
    </row>
    <row r="55" spans="1:5">
      <c r="A55" s="2978">
        <v>54</v>
      </c>
      <c r="B55" s="2978">
        <v>9</v>
      </c>
      <c r="C55" s="2978">
        <v>1</v>
      </c>
      <c r="D55" s="2978">
        <v>201</v>
      </c>
      <c r="E55" s="2978">
        <v>92.71</v>
      </c>
    </row>
    <row r="56" spans="1:5">
      <c r="A56" s="2978">
        <v>55</v>
      </c>
      <c r="B56" s="2978">
        <v>9</v>
      </c>
      <c r="C56" s="2978">
        <v>1</v>
      </c>
      <c r="D56" s="2978">
        <v>501</v>
      </c>
      <c r="E56" s="2978">
        <v>92.71</v>
      </c>
    </row>
    <row r="57" spans="1:5">
      <c r="A57" s="2978">
        <v>56</v>
      </c>
      <c r="B57" s="2978">
        <v>9</v>
      </c>
      <c r="C57" s="2978">
        <v>1</v>
      </c>
      <c r="D57" s="2978">
        <v>701</v>
      </c>
      <c r="E57" s="2978">
        <v>92.71</v>
      </c>
    </row>
    <row r="58" spans="1:5">
      <c r="A58" s="2978">
        <v>57</v>
      </c>
      <c r="B58" s="2978">
        <v>9</v>
      </c>
      <c r="C58" s="2978">
        <v>1</v>
      </c>
      <c r="D58" s="2978">
        <v>1601</v>
      </c>
      <c r="E58" s="2978">
        <v>92.71</v>
      </c>
    </row>
    <row r="59" spans="1:5">
      <c r="A59" s="2978">
        <v>58</v>
      </c>
      <c r="B59" s="2978">
        <v>9</v>
      </c>
      <c r="C59" s="2978">
        <v>1</v>
      </c>
      <c r="D59" s="2978">
        <v>1701</v>
      </c>
      <c r="E59" s="2978">
        <v>92.71</v>
      </c>
    </row>
    <row r="60" spans="1:5">
      <c r="A60" s="2978">
        <v>59</v>
      </c>
      <c r="B60" s="2978">
        <v>9</v>
      </c>
      <c r="C60" s="2978">
        <v>1</v>
      </c>
      <c r="D60" s="2978">
        <v>2201</v>
      </c>
      <c r="E60" s="2978">
        <v>92.71</v>
      </c>
    </row>
    <row r="61" spans="1:5">
      <c r="A61" s="2978">
        <v>60</v>
      </c>
      <c r="B61" s="2978">
        <v>9</v>
      </c>
      <c r="C61" s="2978">
        <v>1</v>
      </c>
      <c r="D61" s="2978">
        <v>2601</v>
      </c>
      <c r="E61" s="2978">
        <v>92.71</v>
      </c>
    </row>
    <row r="62" spans="1:5">
      <c r="A62" s="2978">
        <v>61</v>
      </c>
      <c r="B62" s="2978">
        <v>9</v>
      </c>
      <c r="C62" s="2978">
        <v>1</v>
      </c>
      <c r="D62" s="2978">
        <v>2801</v>
      </c>
      <c r="E62" s="2978">
        <v>92.71</v>
      </c>
    </row>
    <row r="63" spans="1:5">
      <c r="A63" s="2978">
        <v>62</v>
      </c>
      <c r="B63" s="2978">
        <v>9</v>
      </c>
      <c r="C63" s="2978">
        <v>2</v>
      </c>
      <c r="D63" s="2978">
        <v>204</v>
      </c>
      <c r="E63" s="2978">
        <v>92.71</v>
      </c>
    </row>
    <row r="64" spans="1:5">
      <c r="A64" s="2978">
        <v>63</v>
      </c>
      <c r="B64" s="2978">
        <v>9</v>
      </c>
      <c r="C64" s="2978">
        <v>2</v>
      </c>
      <c r="D64" s="2978">
        <v>304</v>
      </c>
      <c r="E64" s="2978">
        <v>92.71</v>
      </c>
    </row>
    <row r="65" spans="1:5">
      <c r="A65" s="2978">
        <v>64</v>
      </c>
      <c r="B65" s="2978">
        <v>9</v>
      </c>
      <c r="C65" s="2978">
        <v>2</v>
      </c>
      <c r="D65" s="2978">
        <v>504</v>
      </c>
      <c r="E65" s="2978">
        <v>92.71</v>
      </c>
    </row>
    <row r="66" spans="1:5">
      <c r="A66" s="2978">
        <v>65</v>
      </c>
      <c r="B66" s="2978">
        <v>9</v>
      </c>
      <c r="C66" s="2978">
        <v>2</v>
      </c>
      <c r="D66" s="2978">
        <v>604</v>
      </c>
      <c r="E66" s="2978">
        <v>92.71</v>
      </c>
    </row>
    <row r="67" spans="1:5">
      <c r="A67" s="2978">
        <v>66</v>
      </c>
      <c r="B67" s="2978">
        <v>9</v>
      </c>
      <c r="C67" s="2978">
        <v>2</v>
      </c>
      <c r="D67" s="2978">
        <v>704</v>
      </c>
      <c r="E67" s="2978">
        <v>92.71</v>
      </c>
    </row>
    <row r="68" spans="1:5">
      <c r="A68" s="2978">
        <v>67</v>
      </c>
      <c r="B68" s="2978">
        <v>9</v>
      </c>
      <c r="C68" s="2978">
        <v>2</v>
      </c>
      <c r="D68" s="2978">
        <v>804</v>
      </c>
      <c r="E68" s="2978">
        <v>92.71</v>
      </c>
    </row>
    <row r="69" spans="1:5">
      <c r="A69" s="2978">
        <v>68</v>
      </c>
      <c r="B69" s="2978">
        <v>9</v>
      </c>
      <c r="C69" s="2978">
        <v>2</v>
      </c>
      <c r="D69" s="2978">
        <v>904</v>
      </c>
      <c r="E69" s="2978">
        <v>92.71</v>
      </c>
    </row>
    <row r="70" spans="1:5">
      <c r="A70" s="2978">
        <v>69</v>
      </c>
      <c r="B70" s="2978">
        <v>9</v>
      </c>
      <c r="C70" s="2978">
        <v>2</v>
      </c>
      <c r="D70" s="2978">
        <v>1104</v>
      </c>
      <c r="E70" s="2978">
        <v>92.71</v>
      </c>
    </row>
    <row r="71" spans="1:5">
      <c r="A71" s="2978">
        <v>70</v>
      </c>
      <c r="B71" s="2978">
        <v>9</v>
      </c>
      <c r="C71" s="2978">
        <v>2</v>
      </c>
      <c r="D71" s="2978">
        <v>1204</v>
      </c>
      <c r="E71" s="2978">
        <v>92.71</v>
      </c>
    </row>
    <row r="72" spans="1:5">
      <c r="A72" s="2978">
        <v>71</v>
      </c>
      <c r="B72" s="2978">
        <v>9</v>
      </c>
      <c r="C72" s="2978">
        <v>2</v>
      </c>
      <c r="D72" s="2978">
        <v>1504</v>
      </c>
      <c r="E72" s="2978">
        <v>92.71</v>
      </c>
    </row>
    <row r="73" spans="1:5">
      <c r="A73" s="2978">
        <v>72</v>
      </c>
      <c r="B73" s="2978">
        <v>9</v>
      </c>
      <c r="C73" s="2978">
        <v>2</v>
      </c>
      <c r="D73" s="2978">
        <v>1604</v>
      </c>
      <c r="E73" s="2978">
        <v>92.71</v>
      </c>
    </row>
    <row r="74" spans="1:5">
      <c r="A74" s="2978">
        <v>73</v>
      </c>
      <c r="B74" s="2978">
        <v>9</v>
      </c>
      <c r="C74" s="2978">
        <v>2</v>
      </c>
      <c r="D74" s="2978">
        <v>1704</v>
      </c>
      <c r="E74" s="2978">
        <v>92.71</v>
      </c>
    </row>
    <row r="75" spans="1:5">
      <c r="A75" s="2978">
        <v>74</v>
      </c>
      <c r="B75" s="2978">
        <v>9</v>
      </c>
      <c r="C75" s="2978">
        <v>2</v>
      </c>
      <c r="D75" s="2978">
        <v>1804</v>
      </c>
      <c r="E75" s="2978">
        <v>92.71</v>
      </c>
    </row>
    <row r="76" spans="1:5">
      <c r="A76" s="2978">
        <v>75</v>
      </c>
      <c r="B76" s="2978">
        <v>9</v>
      </c>
      <c r="C76" s="2978">
        <v>2</v>
      </c>
      <c r="D76" s="2978">
        <v>2104</v>
      </c>
      <c r="E76" s="2978">
        <v>92.71</v>
      </c>
    </row>
    <row r="77" spans="1:5">
      <c r="A77" s="2978">
        <v>76</v>
      </c>
      <c r="B77" s="2978">
        <v>9</v>
      </c>
      <c r="C77" s="2978">
        <v>2</v>
      </c>
      <c r="D77" s="2978">
        <v>2204</v>
      </c>
      <c r="E77" s="2978">
        <v>92.71</v>
      </c>
    </row>
    <row r="78" spans="1:5">
      <c r="A78" s="2978">
        <v>77</v>
      </c>
      <c r="B78" s="2978">
        <v>9</v>
      </c>
      <c r="C78" s="2978">
        <v>2</v>
      </c>
      <c r="D78" s="2978">
        <v>2304</v>
      </c>
      <c r="E78" s="2978">
        <v>92.71</v>
      </c>
    </row>
    <row r="79" spans="1:5">
      <c r="A79" s="2978">
        <v>78</v>
      </c>
      <c r="B79" s="2978">
        <v>9</v>
      </c>
      <c r="C79" s="2978">
        <v>2</v>
      </c>
      <c r="D79" s="2978">
        <v>2504</v>
      </c>
      <c r="E79" s="2978">
        <v>92.71</v>
      </c>
    </row>
    <row r="80" spans="1:5">
      <c r="A80" s="2978">
        <v>79</v>
      </c>
      <c r="B80" s="2978">
        <v>9</v>
      </c>
      <c r="C80" s="2978">
        <v>2</v>
      </c>
      <c r="D80" s="2978">
        <v>2604</v>
      </c>
      <c r="E80" s="2978">
        <v>92.71</v>
      </c>
    </row>
    <row r="81" spans="1:5">
      <c r="A81" s="2978">
        <v>80</v>
      </c>
      <c r="B81" s="2978">
        <v>9</v>
      </c>
      <c r="C81" s="2978">
        <v>2</v>
      </c>
      <c r="D81" s="2978">
        <v>2704</v>
      </c>
      <c r="E81" s="2978">
        <v>92.71</v>
      </c>
    </row>
    <row r="82" spans="1:5">
      <c r="A82" s="2978">
        <v>81</v>
      </c>
      <c r="B82" s="2978">
        <v>9</v>
      </c>
      <c r="C82" s="2978">
        <v>2</v>
      </c>
      <c r="D82" s="2978">
        <v>2804</v>
      </c>
      <c r="E82" s="2978">
        <v>92.71</v>
      </c>
    </row>
    <row r="83" spans="1:5">
      <c r="A83" s="2978">
        <v>82</v>
      </c>
      <c r="B83" s="2978">
        <v>9</v>
      </c>
      <c r="C83" s="2978">
        <v>2</v>
      </c>
      <c r="D83" s="2978">
        <v>2904</v>
      </c>
      <c r="E83" s="2978">
        <v>92.71</v>
      </c>
    </row>
    <row r="84" spans="1:5">
      <c r="A84" s="2978">
        <v>83</v>
      </c>
      <c r="B84" s="2978">
        <v>9</v>
      </c>
      <c r="C84" s="2978">
        <v>2</v>
      </c>
      <c r="D84" s="2978">
        <v>3104</v>
      </c>
      <c r="E84" s="2978">
        <v>92.71</v>
      </c>
    </row>
    <row r="85" spans="1:5">
      <c r="A85" s="2978">
        <v>84</v>
      </c>
      <c r="B85" s="2978">
        <v>9</v>
      </c>
      <c r="C85" s="2978">
        <v>1</v>
      </c>
      <c r="D85" s="2978">
        <v>204</v>
      </c>
      <c r="E85" s="2978">
        <v>93.97</v>
      </c>
    </row>
    <row r="86" spans="1:5">
      <c r="A86" s="2978">
        <v>85</v>
      </c>
      <c r="B86" s="2978">
        <v>9</v>
      </c>
      <c r="C86" s="2978">
        <v>1</v>
      </c>
      <c r="D86" s="2978">
        <v>304</v>
      </c>
      <c r="E86" s="2978">
        <v>93.97</v>
      </c>
    </row>
    <row r="87" spans="1:5">
      <c r="A87" s="2978">
        <v>86</v>
      </c>
      <c r="B87" s="2978">
        <v>9</v>
      </c>
      <c r="C87" s="2978">
        <v>1</v>
      </c>
      <c r="D87" s="2978">
        <v>504</v>
      </c>
      <c r="E87" s="2978">
        <v>93.97</v>
      </c>
    </row>
    <row r="88" spans="1:5">
      <c r="A88" s="2978">
        <v>87</v>
      </c>
      <c r="B88" s="2978">
        <v>9</v>
      </c>
      <c r="C88" s="2978">
        <v>1</v>
      </c>
      <c r="D88" s="2978">
        <v>604</v>
      </c>
      <c r="E88" s="2978">
        <v>93.97</v>
      </c>
    </row>
    <row r="89" spans="1:5">
      <c r="A89" s="2978">
        <v>88</v>
      </c>
      <c r="B89" s="2978">
        <v>9</v>
      </c>
      <c r="C89" s="2978">
        <v>1</v>
      </c>
      <c r="D89" s="2978">
        <v>1704</v>
      </c>
      <c r="E89" s="2978">
        <v>93.97</v>
      </c>
    </row>
    <row r="90" spans="1:5">
      <c r="A90" s="2978">
        <v>89</v>
      </c>
      <c r="B90" s="2978">
        <v>9</v>
      </c>
      <c r="C90" s="2978">
        <v>1</v>
      </c>
      <c r="D90" s="2978">
        <v>2104</v>
      </c>
      <c r="E90" s="2978">
        <v>93.97</v>
      </c>
    </row>
    <row r="91" spans="1:5">
      <c r="A91" s="2978">
        <v>90</v>
      </c>
      <c r="B91" s="2978">
        <v>9</v>
      </c>
      <c r="C91" s="2978">
        <v>1</v>
      </c>
      <c r="D91" s="2978">
        <v>2204</v>
      </c>
      <c r="E91" s="2978">
        <v>93.97</v>
      </c>
    </row>
    <row r="92" spans="1:5">
      <c r="A92" s="2978">
        <v>91</v>
      </c>
      <c r="B92" s="2978">
        <v>9</v>
      </c>
      <c r="C92" s="2978">
        <v>1</v>
      </c>
      <c r="D92" s="2978">
        <v>2304</v>
      </c>
      <c r="E92" s="2978">
        <v>93.97</v>
      </c>
    </row>
    <row r="93" spans="1:5">
      <c r="A93" s="2978">
        <v>92</v>
      </c>
      <c r="B93" s="2978">
        <v>9</v>
      </c>
      <c r="C93" s="2978">
        <v>1</v>
      </c>
      <c r="D93" s="2978">
        <v>2504</v>
      </c>
      <c r="E93" s="2978">
        <v>93.97</v>
      </c>
    </row>
    <row r="94" spans="1:5">
      <c r="A94" s="2978">
        <v>93</v>
      </c>
      <c r="B94" s="2978">
        <v>9</v>
      </c>
      <c r="C94" s="2978">
        <v>1</v>
      </c>
      <c r="D94" s="2978">
        <v>2704</v>
      </c>
      <c r="E94" s="2978">
        <v>93.97</v>
      </c>
    </row>
    <row r="95" spans="1:5">
      <c r="A95" s="2978">
        <v>94</v>
      </c>
      <c r="B95" s="2978">
        <v>9</v>
      </c>
      <c r="C95" s="2978">
        <v>1</v>
      </c>
      <c r="D95" s="2978">
        <v>2804</v>
      </c>
      <c r="E95" s="2978">
        <v>93.97</v>
      </c>
    </row>
    <row r="96" spans="1:5">
      <c r="A96" s="2978">
        <v>95</v>
      </c>
      <c r="B96" s="2978">
        <v>9</v>
      </c>
      <c r="C96" s="2978">
        <v>2</v>
      </c>
      <c r="D96" s="2978">
        <v>701</v>
      </c>
      <c r="E96" s="2978">
        <v>93.97</v>
      </c>
    </row>
    <row r="97" spans="1:5">
      <c r="A97" s="2978">
        <v>96</v>
      </c>
      <c r="B97" s="2978">
        <v>9</v>
      </c>
      <c r="C97" s="2978">
        <v>2</v>
      </c>
      <c r="D97" s="2978">
        <v>1701</v>
      </c>
      <c r="E97" s="2978">
        <v>93.97</v>
      </c>
    </row>
    <row r="98" spans="1:5">
      <c r="A98" s="2978">
        <v>97</v>
      </c>
      <c r="B98" s="2978">
        <v>9</v>
      </c>
      <c r="C98" s="2978">
        <v>2</v>
      </c>
      <c r="D98" s="2978">
        <v>2501</v>
      </c>
      <c r="E98" s="2978">
        <v>93.97</v>
      </c>
    </row>
    <row r="99" spans="1:5">
      <c r="A99" s="2978">
        <v>98</v>
      </c>
      <c r="B99" s="2978">
        <v>9</v>
      </c>
      <c r="C99" s="2978">
        <v>2</v>
      </c>
      <c r="D99" s="2978">
        <v>2601</v>
      </c>
      <c r="E99" s="2978">
        <v>93.97</v>
      </c>
    </row>
    <row r="100" spans="1:5">
      <c r="A100" s="2978">
        <v>99</v>
      </c>
      <c r="B100" s="2978">
        <v>9</v>
      </c>
      <c r="C100" s="2978">
        <v>2</v>
      </c>
      <c r="D100" s="2978">
        <v>2701</v>
      </c>
      <c r="E100" s="2978">
        <v>93.97</v>
      </c>
    </row>
    <row r="101" spans="1:5">
      <c r="A101" s="2978">
        <v>100</v>
      </c>
      <c r="B101" s="2978">
        <v>9</v>
      </c>
      <c r="C101" s="2978">
        <v>2</v>
      </c>
      <c r="D101" s="2978">
        <v>2801</v>
      </c>
      <c r="E101" s="2978">
        <v>93.97</v>
      </c>
    </row>
    <row r="102" spans="1:5">
      <c r="A102" s="2978">
        <v>101</v>
      </c>
      <c r="B102" s="2978">
        <v>9</v>
      </c>
      <c r="C102" s="2978">
        <v>2</v>
      </c>
      <c r="D102" s="2978">
        <v>2901</v>
      </c>
      <c r="E102" s="2978">
        <v>93.97</v>
      </c>
    </row>
    <row r="103" spans="1:5">
      <c r="A103" s="2978">
        <v>102</v>
      </c>
      <c r="B103" s="2978">
        <v>9</v>
      </c>
      <c r="C103" s="2978">
        <v>2</v>
      </c>
      <c r="D103" s="2978">
        <v>3101</v>
      </c>
      <c r="E103" s="2978">
        <v>93.97</v>
      </c>
    </row>
    <row r="104" spans="1:5">
      <c r="A104" s="2978">
        <v>103</v>
      </c>
      <c r="B104" s="2978">
        <v>10</v>
      </c>
      <c r="C104" s="2978">
        <v>1</v>
      </c>
      <c r="D104" s="2978">
        <v>204</v>
      </c>
      <c r="E104" s="2978">
        <v>93.96</v>
      </c>
    </row>
    <row r="105" spans="1:5">
      <c r="A105" s="2978">
        <v>104</v>
      </c>
      <c r="B105" s="2978">
        <v>10</v>
      </c>
      <c r="C105" s="2978">
        <v>1</v>
      </c>
      <c r="D105" s="2978">
        <v>2904</v>
      </c>
      <c r="E105" s="2978">
        <v>93.96</v>
      </c>
    </row>
    <row r="106" spans="1:5">
      <c r="A106" s="2978">
        <v>105</v>
      </c>
      <c r="B106" s="2978">
        <v>10</v>
      </c>
      <c r="C106" s="2978">
        <v>2</v>
      </c>
      <c r="D106" s="2978">
        <v>2901</v>
      </c>
      <c r="E106" s="2978">
        <v>93.96</v>
      </c>
    </row>
    <row r="107" spans="1:5">
      <c r="A107" s="2978">
        <v>106</v>
      </c>
      <c r="B107" s="2978">
        <v>10</v>
      </c>
      <c r="C107" s="2978">
        <v>1</v>
      </c>
      <c r="D107" s="2978">
        <v>201</v>
      </c>
      <c r="E107" s="2978">
        <v>92.71</v>
      </c>
    </row>
    <row r="108" spans="1:5">
      <c r="A108" s="2978">
        <v>107</v>
      </c>
      <c r="B108" s="2978">
        <v>10</v>
      </c>
      <c r="C108" s="2978">
        <v>1</v>
      </c>
      <c r="D108" s="2978">
        <v>2901</v>
      </c>
      <c r="E108" s="2978">
        <v>92.71</v>
      </c>
    </row>
    <row r="109" spans="1:5">
      <c r="A109" s="2978">
        <v>108</v>
      </c>
      <c r="B109" s="2978">
        <v>11</v>
      </c>
      <c r="C109" s="2978">
        <v>1</v>
      </c>
      <c r="D109" s="2978">
        <v>3004</v>
      </c>
      <c r="E109" s="2978">
        <v>93.94</v>
      </c>
    </row>
    <row r="110" spans="1:5">
      <c r="A110" s="2978">
        <v>109</v>
      </c>
      <c r="B110" s="2978">
        <v>11</v>
      </c>
      <c r="C110" s="2978">
        <v>2</v>
      </c>
      <c r="D110" s="2978">
        <v>3001</v>
      </c>
      <c r="E110" s="2978">
        <v>93.94</v>
      </c>
    </row>
    <row r="111" spans="1:5">
      <c r="A111" s="2978">
        <v>110</v>
      </c>
      <c r="B111" s="2978">
        <v>11</v>
      </c>
      <c r="C111" s="2978">
        <v>2</v>
      </c>
      <c r="D111" s="2978">
        <v>3001</v>
      </c>
      <c r="E111" s="2978">
        <v>92.68</v>
      </c>
    </row>
    <row r="112" spans="1:5">
      <c r="A112" s="2978">
        <v>111</v>
      </c>
      <c r="B112" s="2978">
        <v>12</v>
      </c>
      <c r="C112" s="2978">
        <v>1</v>
      </c>
      <c r="D112" s="2978">
        <v>2904</v>
      </c>
      <c r="E112" s="2978">
        <v>93.95</v>
      </c>
    </row>
    <row r="113" spans="1:5">
      <c r="A113" s="2978">
        <v>112</v>
      </c>
      <c r="B113" s="2978">
        <v>12</v>
      </c>
      <c r="C113" s="2978">
        <v>2</v>
      </c>
      <c r="D113" s="2978">
        <v>3001</v>
      </c>
      <c r="E113" s="2978">
        <v>93.95</v>
      </c>
    </row>
    <row r="114" spans="1:5">
      <c r="A114" s="2978">
        <v>113</v>
      </c>
      <c r="B114" s="2978">
        <v>12</v>
      </c>
      <c r="C114" s="2978">
        <v>2</v>
      </c>
      <c r="D114" s="2978">
        <v>204</v>
      </c>
      <c r="E114" s="2978">
        <v>92.7</v>
      </c>
    </row>
    <row r="115" spans="1:5">
      <c r="A115" s="2978">
        <v>114</v>
      </c>
      <c r="B115" s="2978">
        <v>12</v>
      </c>
      <c r="C115" s="2978">
        <v>2</v>
      </c>
      <c r="D115" s="2978">
        <v>504</v>
      </c>
      <c r="E115" s="2978">
        <v>92.7</v>
      </c>
    </row>
    <row r="116" spans="1:5">
      <c r="A116" s="2978">
        <v>115</v>
      </c>
      <c r="B116" s="2978">
        <v>12</v>
      </c>
      <c r="C116" s="2978">
        <v>2</v>
      </c>
      <c r="D116" s="2978">
        <v>2904</v>
      </c>
      <c r="E116" s="2978">
        <v>92.7</v>
      </c>
    </row>
    <row r="117" spans="1:5">
      <c r="A117" s="2978">
        <v>116</v>
      </c>
      <c r="B117" s="2978">
        <v>12</v>
      </c>
      <c r="C117" s="2978">
        <v>2</v>
      </c>
      <c r="D117" s="2978">
        <v>3004</v>
      </c>
      <c r="E117" s="2978">
        <v>92.7</v>
      </c>
    </row>
    <row r="118" spans="1:5">
      <c r="A118" s="2978">
        <v>117</v>
      </c>
      <c r="B118" s="2978">
        <v>15</v>
      </c>
      <c r="C118" s="2978">
        <v>1</v>
      </c>
      <c r="D118" s="2978">
        <v>2901</v>
      </c>
      <c r="E118" s="2978">
        <v>92.66</v>
      </c>
    </row>
    <row r="119" spans="1:5">
      <c r="A119" s="2978">
        <v>118</v>
      </c>
      <c r="B119" s="2978">
        <v>15</v>
      </c>
      <c r="C119" s="2978">
        <v>1</v>
      </c>
      <c r="D119" s="2978">
        <v>3001</v>
      </c>
      <c r="E119" s="2978">
        <v>92.66</v>
      </c>
    </row>
    <row r="120" spans="1:5">
      <c r="A120" s="2978">
        <v>119</v>
      </c>
      <c r="B120" s="2978">
        <v>15</v>
      </c>
      <c r="C120" s="2978">
        <v>1</v>
      </c>
      <c r="D120" s="2978">
        <v>3101</v>
      </c>
      <c r="E120" s="2978">
        <v>92.66</v>
      </c>
    </row>
    <row r="121" spans="1:5">
      <c r="A121" s="2978">
        <v>120</v>
      </c>
      <c r="B121" s="2978">
        <v>15</v>
      </c>
      <c r="C121" s="2978">
        <v>2</v>
      </c>
      <c r="D121" s="2978">
        <v>204</v>
      </c>
      <c r="E121" s="2978">
        <v>92.66</v>
      </c>
    </row>
    <row r="122" spans="1:5">
      <c r="A122" s="2978">
        <v>121</v>
      </c>
      <c r="B122" s="2978">
        <v>15</v>
      </c>
      <c r="C122" s="2978">
        <v>2</v>
      </c>
      <c r="D122" s="2978">
        <v>304</v>
      </c>
      <c r="E122" s="2978">
        <v>92.66</v>
      </c>
    </row>
    <row r="123" spans="1:5">
      <c r="A123" s="2978">
        <v>122</v>
      </c>
      <c r="B123" s="2978">
        <v>15</v>
      </c>
      <c r="C123" s="2978">
        <v>2</v>
      </c>
      <c r="D123" s="2978">
        <v>504</v>
      </c>
      <c r="E123" s="2978">
        <v>92.66</v>
      </c>
    </row>
    <row r="124" spans="1:5">
      <c r="A124" s="2978">
        <v>123</v>
      </c>
      <c r="B124" s="2978">
        <v>15</v>
      </c>
      <c r="C124" s="2978">
        <v>2</v>
      </c>
      <c r="D124" s="2978">
        <v>604</v>
      </c>
      <c r="E124" s="2978">
        <v>92.66</v>
      </c>
    </row>
    <row r="125" spans="1:5">
      <c r="A125" s="2978">
        <v>124</v>
      </c>
      <c r="B125" s="2978">
        <v>15</v>
      </c>
      <c r="C125" s="2978">
        <v>2</v>
      </c>
      <c r="D125" s="2978">
        <v>704</v>
      </c>
      <c r="E125" s="2978">
        <v>92.66</v>
      </c>
    </row>
    <row r="126" spans="1:5">
      <c r="A126" s="2978">
        <v>125</v>
      </c>
      <c r="B126" s="2978">
        <v>15</v>
      </c>
      <c r="C126" s="2978">
        <v>2</v>
      </c>
      <c r="D126" s="2978">
        <v>804</v>
      </c>
      <c r="E126" s="2978">
        <v>92.66</v>
      </c>
    </row>
    <row r="127" spans="1:5">
      <c r="A127" s="2978">
        <v>126</v>
      </c>
      <c r="B127" s="2978">
        <v>15</v>
      </c>
      <c r="C127" s="2978">
        <v>2</v>
      </c>
      <c r="D127" s="2978">
        <v>904</v>
      </c>
      <c r="E127" s="2978">
        <v>92.66</v>
      </c>
    </row>
    <row r="128" spans="1:5">
      <c r="A128" s="2978">
        <v>127</v>
      </c>
      <c r="B128" s="2978">
        <v>15</v>
      </c>
      <c r="C128" s="2978">
        <v>2</v>
      </c>
      <c r="D128" s="2978">
        <v>1704</v>
      </c>
      <c r="E128" s="2978">
        <v>92.66</v>
      </c>
    </row>
    <row r="129" spans="1:5">
      <c r="A129" s="2978">
        <v>128</v>
      </c>
      <c r="B129" s="2978">
        <v>15</v>
      </c>
      <c r="C129" s="2978">
        <v>2</v>
      </c>
      <c r="D129" s="2978">
        <v>2304</v>
      </c>
      <c r="E129" s="2978">
        <v>92.66</v>
      </c>
    </row>
    <row r="130" spans="1:5">
      <c r="A130" s="2978">
        <v>129</v>
      </c>
      <c r="B130" s="2978">
        <v>15</v>
      </c>
      <c r="C130" s="2978">
        <v>2</v>
      </c>
      <c r="D130" s="2978">
        <v>2504</v>
      </c>
      <c r="E130" s="2978">
        <v>92.66</v>
      </c>
    </row>
    <row r="131" spans="1:5">
      <c r="A131" s="2978">
        <v>130</v>
      </c>
      <c r="B131" s="2978">
        <v>15</v>
      </c>
      <c r="C131" s="2978">
        <v>2</v>
      </c>
      <c r="D131" s="2978">
        <v>2604</v>
      </c>
      <c r="E131" s="2978">
        <v>92.66</v>
      </c>
    </row>
    <row r="132" spans="1:5">
      <c r="A132" s="2978">
        <v>131</v>
      </c>
      <c r="B132" s="2978">
        <v>15</v>
      </c>
      <c r="C132" s="2978">
        <v>2</v>
      </c>
      <c r="D132" s="2978">
        <v>2704</v>
      </c>
      <c r="E132" s="2978">
        <v>92.66</v>
      </c>
    </row>
    <row r="133" spans="1:5">
      <c r="A133" s="2978">
        <v>132</v>
      </c>
      <c r="B133" s="2978">
        <v>15</v>
      </c>
      <c r="C133" s="2978">
        <v>2</v>
      </c>
      <c r="D133" s="2978">
        <v>2804</v>
      </c>
      <c r="E133" s="2978">
        <v>92.66</v>
      </c>
    </row>
    <row r="134" spans="1:5">
      <c r="A134" s="2978">
        <v>133</v>
      </c>
      <c r="B134" s="2978">
        <v>15</v>
      </c>
      <c r="C134" s="2978">
        <v>2</v>
      </c>
      <c r="D134" s="2978">
        <v>2904</v>
      </c>
      <c r="E134" s="2978">
        <v>92.66</v>
      </c>
    </row>
    <row r="135" spans="1:5">
      <c r="A135" s="2978">
        <v>134</v>
      </c>
      <c r="B135" s="2978">
        <v>15</v>
      </c>
      <c r="C135" s="2978">
        <v>2</v>
      </c>
      <c r="D135" s="2978">
        <v>3004</v>
      </c>
      <c r="E135" s="2978">
        <v>92.66</v>
      </c>
    </row>
    <row r="136" spans="1:5">
      <c r="A136" s="2978">
        <v>135</v>
      </c>
      <c r="B136" s="2978">
        <v>15</v>
      </c>
      <c r="C136" s="2978">
        <v>2</v>
      </c>
      <c r="D136" s="2978">
        <v>3104</v>
      </c>
      <c r="E136" s="2978">
        <v>92.66</v>
      </c>
    </row>
    <row r="137" spans="1:5">
      <c r="A137" s="2978">
        <v>136</v>
      </c>
      <c r="B137" s="2978">
        <v>15</v>
      </c>
      <c r="C137" s="2978">
        <v>3</v>
      </c>
      <c r="D137" s="2978">
        <v>201</v>
      </c>
      <c r="E137" s="2978">
        <v>92.66</v>
      </c>
    </row>
    <row r="138" spans="1:5">
      <c r="A138" s="2978">
        <v>137</v>
      </c>
      <c r="B138" s="2978">
        <v>15</v>
      </c>
      <c r="C138" s="2978">
        <v>3</v>
      </c>
      <c r="D138" s="2978">
        <v>301</v>
      </c>
      <c r="E138" s="2978">
        <v>92.66</v>
      </c>
    </row>
    <row r="139" spans="1:5">
      <c r="A139" s="2978">
        <v>138</v>
      </c>
      <c r="B139" s="2978">
        <v>15</v>
      </c>
      <c r="C139" s="2978">
        <v>3</v>
      </c>
      <c r="D139" s="2978">
        <v>701</v>
      </c>
      <c r="E139" s="2978">
        <v>92.66</v>
      </c>
    </row>
    <row r="140" spans="1:5">
      <c r="A140" s="2978">
        <v>139</v>
      </c>
      <c r="B140" s="2978">
        <v>15</v>
      </c>
      <c r="C140" s="2978">
        <v>3</v>
      </c>
      <c r="D140" s="2978">
        <v>3101</v>
      </c>
      <c r="E140" s="2978">
        <v>92.66</v>
      </c>
    </row>
    <row r="141" spans="1:5">
      <c r="A141" s="2978">
        <v>140</v>
      </c>
      <c r="B141" s="2978">
        <v>15</v>
      </c>
      <c r="C141" s="2978">
        <v>4</v>
      </c>
      <c r="D141" s="2978">
        <v>204</v>
      </c>
      <c r="E141" s="2978">
        <v>92.66</v>
      </c>
    </row>
    <row r="142" spans="1:5">
      <c r="A142" s="2978">
        <v>141</v>
      </c>
      <c r="B142" s="2978">
        <v>15</v>
      </c>
      <c r="C142" s="2978">
        <v>4</v>
      </c>
      <c r="D142" s="2978">
        <v>304</v>
      </c>
      <c r="E142" s="2978">
        <v>92.66</v>
      </c>
    </row>
    <row r="143" spans="1:5">
      <c r="A143" s="2978">
        <v>142</v>
      </c>
      <c r="B143" s="2978">
        <v>15</v>
      </c>
      <c r="C143" s="2978">
        <v>4</v>
      </c>
      <c r="D143" s="2978">
        <v>504</v>
      </c>
      <c r="E143" s="2978">
        <v>92.66</v>
      </c>
    </row>
    <row r="144" spans="1:5">
      <c r="A144" s="2978">
        <v>143</v>
      </c>
      <c r="B144" s="2978">
        <v>15</v>
      </c>
      <c r="C144" s="2978">
        <v>4</v>
      </c>
      <c r="D144" s="2978">
        <v>604</v>
      </c>
      <c r="E144" s="2978">
        <v>92.66</v>
      </c>
    </row>
    <row r="145" spans="1:5">
      <c r="A145" s="2978">
        <v>144</v>
      </c>
      <c r="B145" s="2978">
        <v>15</v>
      </c>
      <c r="C145" s="2978">
        <v>4</v>
      </c>
      <c r="D145" s="2978">
        <v>704</v>
      </c>
      <c r="E145" s="2978">
        <v>92.66</v>
      </c>
    </row>
    <row r="146" spans="1:5">
      <c r="A146" s="2978">
        <v>145</v>
      </c>
      <c r="B146" s="2978">
        <v>15</v>
      </c>
      <c r="C146" s="2978">
        <v>4</v>
      </c>
      <c r="D146" s="2978">
        <v>804</v>
      </c>
      <c r="E146" s="2978">
        <v>92.66</v>
      </c>
    </row>
    <row r="147" spans="1:5">
      <c r="A147" s="2978">
        <v>146</v>
      </c>
      <c r="B147" s="2978">
        <v>15</v>
      </c>
      <c r="C147" s="2978">
        <v>4</v>
      </c>
      <c r="D147" s="2978">
        <v>904</v>
      </c>
      <c r="E147" s="2978">
        <v>92.66</v>
      </c>
    </row>
    <row r="148" spans="1:5">
      <c r="A148" s="2978">
        <v>147</v>
      </c>
      <c r="B148" s="2978">
        <v>15</v>
      </c>
      <c r="C148" s="2978">
        <v>4</v>
      </c>
      <c r="D148" s="2978">
        <v>1004</v>
      </c>
      <c r="E148" s="2978">
        <v>92.66</v>
      </c>
    </row>
    <row r="149" spans="1:5">
      <c r="A149" s="2978">
        <v>148</v>
      </c>
      <c r="B149" s="2978">
        <v>15</v>
      </c>
      <c r="C149" s="2978">
        <v>4</v>
      </c>
      <c r="D149" s="2978">
        <v>1104</v>
      </c>
      <c r="E149" s="2978">
        <v>92.66</v>
      </c>
    </row>
    <row r="150" spans="1:5">
      <c r="A150" s="2978">
        <v>149</v>
      </c>
      <c r="B150" s="2978">
        <v>15</v>
      </c>
      <c r="C150" s="2978">
        <v>4</v>
      </c>
      <c r="D150" s="2978">
        <v>1204</v>
      </c>
      <c r="E150" s="2978">
        <v>92.66</v>
      </c>
    </row>
    <row r="151" spans="1:5">
      <c r="A151" s="2978">
        <v>150</v>
      </c>
      <c r="B151" s="2978">
        <v>15</v>
      </c>
      <c r="C151" s="2978">
        <v>4</v>
      </c>
      <c r="D151" s="2978">
        <v>1504</v>
      </c>
      <c r="E151" s="2978">
        <v>92.66</v>
      </c>
    </row>
    <row r="152" spans="1:5">
      <c r="A152" s="2978">
        <v>151</v>
      </c>
      <c r="B152" s="2978">
        <v>15</v>
      </c>
      <c r="C152" s="2978">
        <v>4</v>
      </c>
      <c r="D152" s="2978">
        <v>1604</v>
      </c>
      <c r="E152" s="2978">
        <v>92.66</v>
      </c>
    </row>
    <row r="153" spans="1:5">
      <c r="A153" s="2978">
        <v>152</v>
      </c>
      <c r="B153" s="2978">
        <v>15</v>
      </c>
      <c r="C153" s="2978">
        <v>4</v>
      </c>
      <c r="D153" s="2978">
        <v>1704</v>
      </c>
      <c r="E153" s="2978">
        <v>92.66</v>
      </c>
    </row>
    <row r="154" spans="1:5">
      <c r="A154" s="2978">
        <v>153</v>
      </c>
      <c r="B154" s="2978">
        <v>15</v>
      </c>
      <c r="C154" s="2978">
        <v>4</v>
      </c>
      <c r="D154" s="2978">
        <v>1804</v>
      </c>
      <c r="E154" s="2978">
        <v>92.66</v>
      </c>
    </row>
    <row r="155" spans="1:5">
      <c r="A155" s="2978">
        <v>154</v>
      </c>
      <c r="B155" s="2978">
        <v>15</v>
      </c>
      <c r="C155" s="2978">
        <v>4</v>
      </c>
      <c r="D155" s="2978">
        <v>1904</v>
      </c>
      <c r="E155" s="2978">
        <v>92.66</v>
      </c>
    </row>
    <row r="156" spans="1:5">
      <c r="A156" s="2978">
        <v>155</v>
      </c>
      <c r="B156" s="2978">
        <v>15</v>
      </c>
      <c r="C156" s="2978">
        <v>4</v>
      </c>
      <c r="D156" s="2978">
        <v>2004</v>
      </c>
      <c r="E156" s="2978">
        <v>92.66</v>
      </c>
    </row>
    <row r="157" spans="1:5">
      <c r="A157" s="2978">
        <v>156</v>
      </c>
      <c r="B157" s="2978">
        <v>15</v>
      </c>
      <c r="C157" s="2978">
        <v>4</v>
      </c>
      <c r="D157" s="2978">
        <v>2104</v>
      </c>
      <c r="E157" s="2978">
        <v>92.66</v>
      </c>
    </row>
    <row r="158" spans="1:5">
      <c r="A158" s="2978">
        <v>157</v>
      </c>
      <c r="B158" s="2978">
        <v>15</v>
      </c>
      <c r="C158" s="2978">
        <v>4</v>
      </c>
      <c r="D158" s="2978">
        <v>2204</v>
      </c>
      <c r="E158" s="2978">
        <v>92.66</v>
      </c>
    </row>
    <row r="159" spans="1:5">
      <c r="A159" s="2978">
        <v>158</v>
      </c>
      <c r="B159" s="2978">
        <v>15</v>
      </c>
      <c r="C159" s="2978">
        <v>4</v>
      </c>
      <c r="D159" s="2978">
        <v>2304</v>
      </c>
      <c r="E159" s="2978">
        <v>92.66</v>
      </c>
    </row>
    <row r="160" spans="1:5">
      <c r="A160" s="2978">
        <v>159</v>
      </c>
      <c r="B160" s="2978">
        <v>15</v>
      </c>
      <c r="C160" s="2978">
        <v>4</v>
      </c>
      <c r="D160" s="2978">
        <v>2504</v>
      </c>
      <c r="E160" s="2978">
        <v>92.66</v>
      </c>
    </row>
    <row r="161" spans="1:5">
      <c r="A161" s="2978">
        <v>160</v>
      </c>
      <c r="B161" s="2978">
        <v>15</v>
      </c>
      <c r="C161" s="2978">
        <v>4</v>
      </c>
      <c r="D161" s="2978">
        <v>2604</v>
      </c>
      <c r="E161" s="2978">
        <v>92.66</v>
      </c>
    </row>
    <row r="162" spans="1:5">
      <c r="A162" s="2978">
        <v>161</v>
      </c>
      <c r="B162" s="2978">
        <v>15</v>
      </c>
      <c r="C162" s="2978">
        <v>4</v>
      </c>
      <c r="D162" s="2978">
        <v>2704</v>
      </c>
      <c r="E162" s="2978">
        <v>92.66</v>
      </c>
    </row>
    <row r="163" spans="1:5">
      <c r="A163" s="2978">
        <v>162</v>
      </c>
      <c r="B163" s="2978">
        <v>15</v>
      </c>
      <c r="C163" s="2978">
        <v>4</v>
      </c>
      <c r="D163" s="2978">
        <v>2804</v>
      </c>
      <c r="E163" s="2978">
        <v>92.66</v>
      </c>
    </row>
    <row r="164" spans="1:5">
      <c r="A164" s="2978">
        <v>163</v>
      </c>
      <c r="B164" s="2978">
        <v>15</v>
      </c>
      <c r="C164" s="2978">
        <v>4</v>
      </c>
      <c r="D164" s="2978">
        <v>3104</v>
      </c>
      <c r="E164" s="2978">
        <v>92.66</v>
      </c>
    </row>
    <row r="165" spans="1:5">
      <c r="A165" s="2978">
        <v>164</v>
      </c>
      <c r="B165" s="2978">
        <v>15</v>
      </c>
      <c r="C165" s="2978">
        <v>1</v>
      </c>
      <c r="D165" s="2978">
        <v>204</v>
      </c>
      <c r="E165" s="2978">
        <v>93.91</v>
      </c>
    </row>
    <row r="166" spans="1:5">
      <c r="A166" s="2978">
        <v>165</v>
      </c>
      <c r="B166" s="2978">
        <v>15</v>
      </c>
      <c r="C166" s="2978">
        <v>1</v>
      </c>
      <c r="D166" s="2978">
        <v>304</v>
      </c>
      <c r="E166" s="2978">
        <v>93.91</v>
      </c>
    </row>
    <row r="167" spans="1:5">
      <c r="A167" s="2978">
        <v>166</v>
      </c>
      <c r="B167" s="2978">
        <v>15</v>
      </c>
      <c r="C167" s="2978">
        <v>1</v>
      </c>
      <c r="D167" s="2978">
        <v>504</v>
      </c>
      <c r="E167" s="2978">
        <v>93.91</v>
      </c>
    </row>
    <row r="168" spans="1:5">
      <c r="A168" s="2978">
        <v>167</v>
      </c>
      <c r="B168" s="2978">
        <v>15</v>
      </c>
      <c r="C168" s="2978">
        <v>1</v>
      </c>
      <c r="D168" s="2978">
        <v>2304</v>
      </c>
      <c r="E168" s="2978">
        <v>93.91</v>
      </c>
    </row>
    <row r="169" spans="1:5">
      <c r="A169" s="2978">
        <v>168</v>
      </c>
      <c r="B169" s="2978">
        <v>15</v>
      </c>
      <c r="C169" s="2978">
        <v>1</v>
      </c>
      <c r="D169" s="2978">
        <v>2504</v>
      </c>
      <c r="E169" s="2978">
        <v>93.91</v>
      </c>
    </row>
    <row r="170" spans="1:5">
      <c r="A170" s="2978">
        <v>169</v>
      </c>
      <c r="B170" s="2978">
        <v>15</v>
      </c>
      <c r="C170" s="2978">
        <v>1</v>
      </c>
      <c r="D170" s="2978">
        <v>3104</v>
      </c>
      <c r="E170" s="2978">
        <v>93.91</v>
      </c>
    </row>
    <row r="171" spans="1:5">
      <c r="A171" s="2978">
        <v>170</v>
      </c>
      <c r="B171" s="2978">
        <v>15</v>
      </c>
      <c r="C171" s="2978">
        <v>2</v>
      </c>
      <c r="D171" s="2978">
        <v>3101</v>
      </c>
      <c r="E171" s="2978">
        <v>93.91</v>
      </c>
    </row>
    <row r="172" spans="1:5">
      <c r="A172" s="2978">
        <v>171</v>
      </c>
      <c r="B172" s="2978">
        <v>15</v>
      </c>
      <c r="C172" s="2978">
        <v>3</v>
      </c>
      <c r="D172" s="2978">
        <v>504</v>
      </c>
      <c r="E172" s="2978">
        <v>93.91</v>
      </c>
    </row>
    <row r="173" spans="1:5">
      <c r="A173" s="2978">
        <v>172</v>
      </c>
      <c r="B173" s="2978">
        <v>15</v>
      </c>
      <c r="C173" s="2978">
        <v>3</v>
      </c>
      <c r="D173" s="2978">
        <v>3104</v>
      </c>
      <c r="E173" s="2978">
        <v>93.91</v>
      </c>
    </row>
    <row r="174" spans="1:5">
      <c r="A174" s="2978">
        <v>173</v>
      </c>
      <c r="B174" s="2978">
        <v>15</v>
      </c>
      <c r="C174" s="2978">
        <v>4</v>
      </c>
      <c r="D174" s="2978">
        <v>201</v>
      </c>
      <c r="E174" s="2978">
        <v>93.91</v>
      </c>
    </row>
    <row r="175" spans="1:5">
      <c r="A175" s="2978">
        <v>174</v>
      </c>
      <c r="B175" s="2978">
        <v>15</v>
      </c>
      <c r="C175" s="2978">
        <v>4</v>
      </c>
      <c r="D175" s="2978">
        <v>301</v>
      </c>
      <c r="E175" s="2978">
        <v>93.91</v>
      </c>
    </row>
    <row r="176" spans="1:5">
      <c r="A176" s="2978">
        <v>175</v>
      </c>
      <c r="B176" s="2978">
        <v>15</v>
      </c>
      <c r="C176" s="2978">
        <v>4</v>
      </c>
      <c r="D176" s="2978">
        <v>501</v>
      </c>
      <c r="E176" s="2978">
        <v>93.91</v>
      </c>
    </row>
    <row r="177" spans="1:5">
      <c r="A177" s="2978">
        <v>176</v>
      </c>
      <c r="B177" s="2978">
        <v>15</v>
      </c>
      <c r="C177" s="2978">
        <v>4</v>
      </c>
      <c r="D177" s="2978">
        <v>701</v>
      </c>
      <c r="E177" s="2978">
        <v>93.91</v>
      </c>
    </row>
    <row r="178" spans="1:5">
      <c r="A178" s="2978">
        <v>177</v>
      </c>
      <c r="B178" s="2978">
        <v>15</v>
      </c>
      <c r="C178" s="2978">
        <v>4</v>
      </c>
      <c r="D178" s="2978">
        <v>2501</v>
      </c>
      <c r="E178" s="2978">
        <v>93.91</v>
      </c>
    </row>
    <row r="179" spans="1:5">
      <c r="A179" s="2978">
        <v>178</v>
      </c>
      <c r="B179" s="2978">
        <v>15</v>
      </c>
      <c r="C179" s="2978">
        <v>4</v>
      </c>
      <c r="D179" s="2978">
        <v>3001</v>
      </c>
      <c r="E179" s="2978">
        <v>93.91</v>
      </c>
    </row>
    <row r="180" spans="1:5">
      <c r="A180" s="2978">
        <v>179</v>
      </c>
      <c r="B180" s="2978">
        <v>15</v>
      </c>
      <c r="C180" s="2978">
        <v>4</v>
      </c>
      <c r="D180" s="2978">
        <v>3101</v>
      </c>
      <c r="E180" s="2978">
        <v>93.91</v>
      </c>
    </row>
    <row r="181" spans="1:5">
      <c r="A181" s="2978">
        <v>180</v>
      </c>
      <c r="B181" s="2978">
        <v>16</v>
      </c>
      <c r="C181" s="2978">
        <v>2</v>
      </c>
      <c r="D181" s="2978">
        <v>204</v>
      </c>
      <c r="E181" s="2978">
        <v>137.88</v>
      </c>
    </row>
    <row r="182" spans="1:5">
      <c r="A182" s="2978">
        <v>181</v>
      </c>
      <c r="B182" s="2978">
        <v>16</v>
      </c>
      <c r="C182" s="2978">
        <v>2</v>
      </c>
      <c r="D182" s="2978">
        <v>2704</v>
      </c>
      <c r="E182" s="2978">
        <v>137.88</v>
      </c>
    </row>
    <row r="183" spans="1:5">
      <c r="A183" s="2978">
        <v>182</v>
      </c>
      <c r="B183" s="2978">
        <v>16</v>
      </c>
      <c r="C183" s="2978">
        <v>2</v>
      </c>
      <c r="D183" s="2978">
        <v>3104</v>
      </c>
      <c r="E183" s="2978">
        <v>137.88</v>
      </c>
    </row>
    <row r="184" spans="1:5">
      <c r="A184" s="2978">
        <v>183</v>
      </c>
      <c r="B184" s="2978">
        <v>16</v>
      </c>
      <c r="C184" s="2978">
        <v>1</v>
      </c>
      <c r="D184" s="2978">
        <v>2704</v>
      </c>
      <c r="E184" s="2978">
        <v>137.27000000000001</v>
      </c>
    </row>
    <row r="185" spans="1:5">
      <c r="A185" s="2978">
        <v>184</v>
      </c>
      <c r="B185" s="2978">
        <v>16</v>
      </c>
      <c r="C185" s="2978">
        <v>1</v>
      </c>
      <c r="D185" s="2978">
        <v>3104</v>
      </c>
      <c r="E185" s="2978">
        <v>137.27000000000001</v>
      </c>
    </row>
    <row r="186" spans="1:5">
      <c r="A186" s="2978">
        <v>185</v>
      </c>
      <c r="B186" s="2978">
        <v>16</v>
      </c>
      <c r="C186" s="2978">
        <v>2</v>
      </c>
      <c r="D186" s="2978">
        <v>2701</v>
      </c>
      <c r="E186" s="2978">
        <v>137.27000000000001</v>
      </c>
    </row>
    <row r="187" spans="1:5">
      <c r="A187" s="2978">
        <v>186</v>
      </c>
      <c r="B187" s="2978">
        <v>16</v>
      </c>
      <c r="C187" s="2978">
        <v>2</v>
      </c>
      <c r="D187" s="2978">
        <v>3001</v>
      </c>
      <c r="E187" s="2978">
        <v>137.27000000000001</v>
      </c>
    </row>
    <row r="188" spans="1:5">
      <c r="A188" s="2978">
        <v>187</v>
      </c>
      <c r="B188" s="2978">
        <v>16</v>
      </c>
      <c r="C188" s="2978">
        <v>2</v>
      </c>
      <c r="D188" s="2978">
        <v>3101</v>
      </c>
      <c r="E188" s="2978">
        <v>137.27000000000001</v>
      </c>
    </row>
    <row r="189" spans="1:5">
      <c r="A189" s="2978">
        <v>188</v>
      </c>
      <c r="B189" s="2978">
        <v>17</v>
      </c>
      <c r="C189" s="2978">
        <v>3</v>
      </c>
      <c r="D189" s="2978">
        <v>205</v>
      </c>
      <c r="E189" s="2978">
        <v>93.3</v>
      </c>
    </row>
    <row r="190" spans="1:5">
      <c r="A190" s="2978">
        <v>189</v>
      </c>
      <c r="B190" s="2978">
        <v>17</v>
      </c>
      <c r="C190" s="2978">
        <v>3</v>
      </c>
      <c r="D190" s="2978">
        <v>305</v>
      </c>
      <c r="E190" s="2978">
        <v>93.3</v>
      </c>
    </row>
    <row r="191" spans="1:5">
      <c r="A191" s="2978">
        <v>190</v>
      </c>
      <c r="B191" s="2978">
        <v>17</v>
      </c>
      <c r="C191" s="2978">
        <v>3</v>
      </c>
      <c r="D191" s="2978">
        <v>505</v>
      </c>
      <c r="E191" s="2978">
        <v>93.3</v>
      </c>
    </row>
    <row r="192" spans="1:5">
      <c r="A192" s="2978">
        <v>191</v>
      </c>
      <c r="B192" s="2978">
        <v>17</v>
      </c>
      <c r="C192" s="2978">
        <v>3</v>
      </c>
      <c r="D192" s="2978">
        <v>605</v>
      </c>
      <c r="E192" s="2978">
        <v>93.3</v>
      </c>
    </row>
    <row r="193" spans="1:5">
      <c r="A193" s="2978">
        <v>192</v>
      </c>
      <c r="B193" s="2978">
        <v>17</v>
      </c>
      <c r="C193" s="2978">
        <v>3</v>
      </c>
      <c r="D193" s="2978">
        <v>705</v>
      </c>
      <c r="E193" s="2978">
        <v>93.3</v>
      </c>
    </row>
    <row r="194" spans="1:5">
      <c r="A194" s="2978">
        <v>193</v>
      </c>
      <c r="B194" s="2978">
        <v>17</v>
      </c>
      <c r="C194" s="2978">
        <v>3</v>
      </c>
      <c r="D194" s="2978">
        <v>805</v>
      </c>
      <c r="E194" s="2978">
        <v>93.3</v>
      </c>
    </row>
    <row r="195" spans="1:5">
      <c r="A195" s="2978">
        <v>194</v>
      </c>
      <c r="B195" s="2978">
        <v>17</v>
      </c>
      <c r="C195" s="2978">
        <v>3</v>
      </c>
      <c r="D195" s="2978">
        <v>905</v>
      </c>
      <c r="E195" s="2978">
        <v>93.3</v>
      </c>
    </row>
    <row r="196" spans="1:5">
      <c r="A196" s="2978">
        <v>195</v>
      </c>
      <c r="B196" s="2978">
        <v>17</v>
      </c>
      <c r="C196" s="2978">
        <v>3</v>
      </c>
      <c r="D196" s="2978">
        <v>1005</v>
      </c>
      <c r="E196" s="2978">
        <v>93.3</v>
      </c>
    </row>
    <row r="197" spans="1:5">
      <c r="A197" s="2978">
        <v>196</v>
      </c>
      <c r="B197" s="2978">
        <v>17</v>
      </c>
      <c r="C197" s="2978">
        <v>3</v>
      </c>
      <c r="D197" s="2978">
        <v>1105</v>
      </c>
      <c r="E197" s="2978">
        <v>93.3</v>
      </c>
    </row>
    <row r="198" spans="1:5">
      <c r="A198" s="2978">
        <v>197</v>
      </c>
      <c r="B198" s="2978">
        <v>17</v>
      </c>
      <c r="C198" s="2978">
        <v>3</v>
      </c>
      <c r="D198" s="2978">
        <v>1205</v>
      </c>
      <c r="E198" s="2978">
        <v>93.3</v>
      </c>
    </row>
    <row r="199" spans="1:5">
      <c r="A199" s="2978">
        <v>198</v>
      </c>
      <c r="B199" s="2978">
        <v>17</v>
      </c>
      <c r="C199" s="2978">
        <v>3</v>
      </c>
      <c r="D199" s="2978">
        <v>1505</v>
      </c>
      <c r="E199" s="2978">
        <v>93.3</v>
      </c>
    </row>
    <row r="200" spans="1:5">
      <c r="A200" s="2978">
        <v>199</v>
      </c>
      <c r="B200" s="2978">
        <v>17</v>
      </c>
      <c r="C200" s="2978">
        <v>3</v>
      </c>
      <c r="D200" s="2978">
        <v>1605</v>
      </c>
      <c r="E200" s="2978">
        <v>93.3</v>
      </c>
    </row>
    <row r="201" spans="1:5">
      <c r="A201" s="2978">
        <v>200</v>
      </c>
      <c r="B201" s="2978">
        <v>17</v>
      </c>
      <c r="C201" s="2978">
        <v>3</v>
      </c>
      <c r="D201" s="2978">
        <v>1705</v>
      </c>
      <c r="E201" s="2978">
        <v>93.3</v>
      </c>
    </row>
    <row r="202" spans="1:5">
      <c r="A202" s="2978">
        <v>201</v>
      </c>
      <c r="B202" s="2978">
        <v>17</v>
      </c>
      <c r="C202" s="2978">
        <v>3</v>
      </c>
      <c r="D202" s="2978">
        <v>1805</v>
      </c>
      <c r="E202" s="2978">
        <v>93.3</v>
      </c>
    </row>
    <row r="203" spans="1:5">
      <c r="A203" s="2978">
        <v>202</v>
      </c>
      <c r="B203" s="2978">
        <v>17</v>
      </c>
      <c r="C203" s="2978">
        <v>3</v>
      </c>
      <c r="D203" s="2978">
        <v>1905</v>
      </c>
      <c r="E203" s="2978">
        <v>93.3</v>
      </c>
    </row>
    <row r="204" spans="1:5">
      <c r="A204" s="2978">
        <v>203</v>
      </c>
      <c r="B204" s="2978">
        <v>17</v>
      </c>
      <c r="C204" s="2978">
        <v>3</v>
      </c>
      <c r="D204" s="2978">
        <v>2005</v>
      </c>
      <c r="E204" s="2978">
        <v>93.3</v>
      </c>
    </row>
    <row r="205" spans="1:5">
      <c r="A205" s="2978">
        <v>204</v>
      </c>
      <c r="B205" s="2978">
        <v>17</v>
      </c>
      <c r="C205" s="2978">
        <v>3</v>
      </c>
      <c r="D205" s="2978">
        <v>2105</v>
      </c>
      <c r="E205" s="2978">
        <v>93.3</v>
      </c>
    </row>
    <row r="206" spans="1:5">
      <c r="A206" s="2978">
        <v>205</v>
      </c>
      <c r="B206" s="2978">
        <v>17</v>
      </c>
      <c r="C206" s="2978">
        <v>3</v>
      </c>
      <c r="D206" s="2978">
        <v>2205</v>
      </c>
      <c r="E206" s="2978">
        <v>93.3</v>
      </c>
    </row>
    <row r="207" spans="1:5">
      <c r="A207" s="2978">
        <v>206</v>
      </c>
      <c r="B207" s="2978">
        <v>17</v>
      </c>
      <c r="C207" s="2978">
        <v>3</v>
      </c>
      <c r="D207" s="2978">
        <v>2305</v>
      </c>
      <c r="E207" s="2978">
        <v>93.3</v>
      </c>
    </row>
    <row r="208" spans="1:5">
      <c r="A208" s="2978">
        <v>207</v>
      </c>
      <c r="B208" s="2978">
        <v>17</v>
      </c>
      <c r="C208" s="2978">
        <v>3</v>
      </c>
      <c r="D208" s="2978">
        <v>2505</v>
      </c>
      <c r="E208" s="2978">
        <v>93.3</v>
      </c>
    </row>
    <row r="209" spans="1:5">
      <c r="A209" s="2978">
        <v>208</v>
      </c>
      <c r="B209" s="2978">
        <v>17</v>
      </c>
      <c r="C209" s="2978">
        <v>3</v>
      </c>
      <c r="D209" s="2978">
        <v>2605</v>
      </c>
      <c r="E209" s="2978">
        <v>93.3</v>
      </c>
    </row>
    <row r="210" spans="1:5">
      <c r="A210" s="2978">
        <v>209</v>
      </c>
      <c r="B210" s="2978">
        <v>17</v>
      </c>
      <c r="C210" s="2978">
        <v>3</v>
      </c>
      <c r="D210" s="2978">
        <v>2705</v>
      </c>
      <c r="E210" s="2978">
        <v>93.3</v>
      </c>
    </row>
    <row r="211" spans="1:5">
      <c r="A211" s="2978">
        <v>210</v>
      </c>
      <c r="B211" s="2978">
        <v>17</v>
      </c>
      <c r="C211" s="2978">
        <v>3</v>
      </c>
      <c r="D211" s="2978">
        <v>2805</v>
      </c>
      <c r="E211" s="2978">
        <v>93.3</v>
      </c>
    </row>
    <row r="212" spans="1:5">
      <c r="A212" s="2978">
        <v>211</v>
      </c>
      <c r="B212" s="2978">
        <v>17</v>
      </c>
      <c r="C212" s="2978">
        <v>3</v>
      </c>
      <c r="D212" s="2978">
        <v>3005</v>
      </c>
      <c r="E212" s="2978">
        <v>93.3</v>
      </c>
    </row>
    <row r="213" spans="1:5">
      <c r="A213" s="2978">
        <v>212</v>
      </c>
      <c r="B213" s="2978">
        <v>17</v>
      </c>
      <c r="C213" s="2978">
        <v>3</v>
      </c>
      <c r="D213" s="2978">
        <v>3105</v>
      </c>
      <c r="E213" s="2978">
        <v>93.3</v>
      </c>
    </row>
    <row r="214" spans="1:5">
      <c r="A214" s="2978">
        <v>213</v>
      </c>
      <c r="B214" s="2978">
        <v>17</v>
      </c>
      <c r="C214" s="2978">
        <v>1</v>
      </c>
      <c r="D214" s="2978">
        <v>2701</v>
      </c>
      <c r="E214" s="2978">
        <v>138.03</v>
      </c>
    </row>
    <row r="215" spans="1:5">
      <c r="A215" s="2978">
        <v>214</v>
      </c>
      <c r="B215" s="2978">
        <v>17</v>
      </c>
      <c r="C215" s="2978">
        <v>1</v>
      </c>
      <c r="D215" s="2978">
        <v>2801</v>
      </c>
      <c r="E215" s="2978">
        <v>138.03</v>
      </c>
    </row>
    <row r="216" spans="1:5">
      <c r="A216" s="2978">
        <v>215</v>
      </c>
      <c r="B216" s="2978">
        <v>17</v>
      </c>
      <c r="C216" s="2978">
        <v>1</v>
      </c>
      <c r="D216" s="2978">
        <v>3101</v>
      </c>
      <c r="E216" s="2978">
        <v>138.03</v>
      </c>
    </row>
    <row r="217" spans="1:5">
      <c r="A217" s="2978">
        <v>216</v>
      </c>
      <c r="B217" s="2978">
        <v>17</v>
      </c>
      <c r="C217" s="2978">
        <v>2</v>
      </c>
      <c r="D217" s="2978">
        <v>204</v>
      </c>
      <c r="E217" s="2978">
        <v>138.03</v>
      </c>
    </row>
    <row r="218" spans="1:5">
      <c r="A218" s="2978">
        <v>217</v>
      </c>
      <c r="B218" s="2978">
        <v>17</v>
      </c>
      <c r="C218" s="2978">
        <v>2</v>
      </c>
      <c r="D218" s="2978">
        <v>1804</v>
      </c>
      <c r="E218" s="2978">
        <v>138.03</v>
      </c>
    </row>
    <row r="219" spans="1:5">
      <c r="A219" s="2978">
        <v>218</v>
      </c>
      <c r="B219" s="2978">
        <v>17</v>
      </c>
      <c r="C219" s="2978">
        <v>2</v>
      </c>
      <c r="D219" s="2978">
        <v>2204</v>
      </c>
      <c r="E219" s="2978">
        <v>138.03</v>
      </c>
    </row>
    <row r="220" spans="1:5">
      <c r="A220" s="2978">
        <v>219</v>
      </c>
      <c r="B220" s="2978">
        <v>17</v>
      </c>
      <c r="C220" s="2978">
        <v>2</v>
      </c>
      <c r="D220" s="2978">
        <v>2504</v>
      </c>
      <c r="E220" s="2978">
        <v>138.03</v>
      </c>
    </row>
    <row r="221" spans="1:5">
      <c r="A221" s="2978">
        <v>220</v>
      </c>
      <c r="B221" s="2978">
        <v>17</v>
      </c>
      <c r="C221" s="2978">
        <v>2</v>
      </c>
      <c r="D221" s="2978">
        <v>2604</v>
      </c>
      <c r="E221" s="2978">
        <v>138.03</v>
      </c>
    </row>
    <row r="222" spans="1:5">
      <c r="A222" s="2978">
        <v>221</v>
      </c>
      <c r="B222" s="2978">
        <v>17</v>
      </c>
      <c r="C222" s="2978">
        <v>2</v>
      </c>
      <c r="D222" s="2978">
        <v>2704</v>
      </c>
      <c r="E222" s="2978">
        <v>138.03</v>
      </c>
    </row>
    <row r="223" spans="1:5">
      <c r="A223" s="2978">
        <v>222</v>
      </c>
      <c r="B223" s="2978">
        <v>17</v>
      </c>
      <c r="C223" s="2978">
        <v>2</v>
      </c>
      <c r="D223" s="2978">
        <v>2904</v>
      </c>
      <c r="E223" s="2978">
        <v>138.03</v>
      </c>
    </row>
    <row r="224" spans="1:5">
      <c r="A224" s="2978">
        <v>223</v>
      </c>
      <c r="B224" s="2978">
        <v>17</v>
      </c>
      <c r="C224" s="2978">
        <v>2</v>
      </c>
      <c r="D224" s="2978">
        <v>3004</v>
      </c>
      <c r="E224" s="2978">
        <v>138.03</v>
      </c>
    </row>
    <row r="225" spans="1:5">
      <c r="A225" s="2978">
        <v>224</v>
      </c>
      <c r="B225" s="2978">
        <v>17</v>
      </c>
      <c r="C225" s="2978">
        <v>2</v>
      </c>
      <c r="D225" s="2978">
        <v>3104</v>
      </c>
      <c r="E225" s="2978">
        <v>138.03</v>
      </c>
    </row>
    <row r="226" spans="1:5">
      <c r="A226" s="2978">
        <v>225</v>
      </c>
      <c r="B226" s="2978">
        <v>17</v>
      </c>
      <c r="C226" s="2978">
        <v>2</v>
      </c>
      <c r="D226" s="2978">
        <v>1701</v>
      </c>
      <c r="E226" s="2978">
        <v>138.03</v>
      </c>
    </row>
    <row r="227" spans="1:5">
      <c r="A227" s="2978">
        <v>226</v>
      </c>
      <c r="B227" s="2978">
        <v>17</v>
      </c>
      <c r="C227" s="2978">
        <v>2</v>
      </c>
      <c r="D227" s="2978">
        <v>2201</v>
      </c>
      <c r="E227" s="2978">
        <v>138.03</v>
      </c>
    </row>
    <row r="228" spans="1:5">
      <c r="A228" s="2978">
        <v>227</v>
      </c>
      <c r="B228" s="2978">
        <v>17</v>
      </c>
      <c r="C228" s="2978">
        <v>2</v>
      </c>
      <c r="D228" s="2978">
        <v>2801</v>
      </c>
      <c r="E228" s="2978">
        <v>138.03</v>
      </c>
    </row>
    <row r="229" spans="1:5">
      <c r="A229" s="2978">
        <v>228</v>
      </c>
      <c r="B229" s="2978">
        <v>17</v>
      </c>
      <c r="C229" s="2978">
        <v>2</v>
      </c>
      <c r="D229" s="2978">
        <v>2901</v>
      </c>
      <c r="E229" s="2978">
        <v>138.03</v>
      </c>
    </row>
    <row r="230" spans="1:5">
      <c r="A230" s="2978">
        <v>229</v>
      </c>
      <c r="B230" s="2978">
        <v>17</v>
      </c>
      <c r="C230" s="2978">
        <v>2</v>
      </c>
      <c r="D230" s="2978">
        <v>3101</v>
      </c>
      <c r="E230" s="2978">
        <v>138.03</v>
      </c>
    </row>
    <row r="231" spans="1:5">
      <c r="A231" s="2978">
        <v>230</v>
      </c>
      <c r="B231" s="2978">
        <v>17</v>
      </c>
      <c r="C231" s="2978">
        <v>1</v>
      </c>
      <c r="D231" s="2978">
        <v>204</v>
      </c>
      <c r="E231" s="2978">
        <v>137.43</v>
      </c>
    </row>
    <row r="232" spans="1:5">
      <c r="A232" s="2978">
        <v>231</v>
      </c>
      <c r="B232" s="2978">
        <v>17</v>
      </c>
      <c r="C232" s="2978">
        <v>1</v>
      </c>
      <c r="D232" s="2978">
        <v>304</v>
      </c>
      <c r="E232" s="2978">
        <v>137.43</v>
      </c>
    </row>
    <row r="233" spans="1:5">
      <c r="A233" s="2978">
        <v>232</v>
      </c>
      <c r="B233" s="2978">
        <v>17</v>
      </c>
      <c r="C233" s="2978">
        <v>1</v>
      </c>
      <c r="D233" s="2978">
        <v>504</v>
      </c>
      <c r="E233" s="2978">
        <v>137.43</v>
      </c>
    </row>
    <row r="234" spans="1:5">
      <c r="A234" s="2978">
        <v>233</v>
      </c>
      <c r="B234" s="2978">
        <v>17</v>
      </c>
      <c r="C234" s="2978">
        <v>1</v>
      </c>
      <c r="D234" s="2978">
        <v>604</v>
      </c>
      <c r="E234" s="2978">
        <v>137.43</v>
      </c>
    </row>
    <row r="235" spans="1:5">
      <c r="A235" s="2978">
        <v>234</v>
      </c>
      <c r="B235" s="2978">
        <v>17</v>
      </c>
      <c r="C235" s="2978">
        <v>1</v>
      </c>
      <c r="D235" s="2978">
        <v>704</v>
      </c>
      <c r="E235" s="2978">
        <v>137.43</v>
      </c>
    </row>
    <row r="236" spans="1:5">
      <c r="A236" s="2978">
        <v>235</v>
      </c>
      <c r="B236" s="2978">
        <v>17</v>
      </c>
      <c r="C236" s="2978">
        <v>1</v>
      </c>
      <c r="D236" s="2978">
        <v>804</v>
      </c>
      <c r="E236" s="2978">
        <v>137.43</v>
      </c>
    </row>
    <row r="237" spans="1:5">
      <c r="A237" s="2978">
        <v>236</v>
      </c>
      <c r="B237" s="2978">
        <v>17</v>
      </c>
      <c r="C237" s="2978">
        <v>1</v>
      </c>
      <c r="D237" s="2978">
        <v>904</v>
      </c>
      <c r="E237" s="2978">
        <v>137.43</v>
      </c>
    </row>
    <row r="238" spans="1:5">
      <c r="A238" s="2978">
        <v>237</v>
      </c>
      <c r="B238" s="2978">
        <v>17</v>
      </c>
      <c r="C238" s="2978">
        <v>1</v>
      </c>
      <c r="D238" s="2978">
        <v>1004</v>
      </c>
      <c r="E238" s="2978">
        <v>137.43</v>
      </c>
    </row>
    <row r="239" spans="1:5">
      <c r="A239" s="2978">
        <v>238</v>
      </c>
      <c r="B239" s="2978">
        <v>17</v>
      </c>
      <c r="C239" s="2978">
        <v>1</v>
      </c>
      <c r="D239" s="2978">
        <v>1604</v>
      </c>
      <c r="E239" s="2978">
        <v>137.43</v>
      </c>
    </row>
    <row r="240" spans="1:5">
      <c r="A240" s="2978">
        <v>239</v>
      </c>
      <c r="B240" s="2978">
        <v>17</v>
      </c>
      <c r="C240" s="2978">
        <v>1</v>
      </c>
      <c r="D240" s="2978">
        <v>1704</v>
      </c>
      <c r="E240" s="2978">
        <v>137.43</v>
      </c>
    </row>
    <row r="241" spans="1:5">
      <c r="A241" s="2978">
        <v>240</v>
      </c>
      <c r="B241" s="2978">
        <v>17</v>
      </c>
      <c r="C241" s="2978">
        <v>1</v>
      </c>
      <c r="D241" s="2978">
        <v>1804</v>
      </c>
      <c r="E241" s="2978">
        <v>137.43</v>
      </c>
    </row>
    <row r="242" spans="1:5">
      <c r="A242" s="2978">
        <v>241</v>
      </c>
      <c r="B242" s="2978">
        <v>17</v>
      </c>
      <c r="C242" s="2978">
        <v>1</v>
      </c>
      <c r="D242" s="2978">
        <v>1904</v>
      </c>
      <c r="E242" s="2978">
        <v>137.43</v>
      </c>
    </row>
    <row r="243" spans="1:5">
      <c r="A243" s="2978">
        <v>242</v>
      </c>
      <c r="B243" s="2978">
        <v>17</v>
      </c>
      <c r="C243" s="2978">
        <v>1</v>
      </c>
      <c r="D243" s="2978">
        <v>2004</v>
      </c>
      <c r="E243" s="2978">
        <v>137.43</v>
      </c>
    </row>
    <row r="244" spans="1:5">
      <c r="A244" s="2978">
        <v>243</v>
      </c>
      <c r="B244" s="2978">
        <v>17</v>
      </c>
      <c r="C244" s="2978">
        <v>1</v>
      </c>
      <c r="D244" s="2978">
        <v>2104</v>
      </c>
      <c r="E244" s="2978">
        <v>137.43</v>
      </c>
    </row>
    <row r="245" spans="1:5">
      <c r="A245" s="2978">
        <v>244</v>
      </c>
      <c r="B245" s="2978">
        <v>17</v>
      </c>
      <c r="C245" s="2978">
        <v>1</v>
      </c>
      <c r="D245" s="2978">
        <v>2204</v>
      </c>
      <c r="E245" s="2978">
        <v>137.43</v>
      </c>
    </row>
    <row r="246" spans="1:5">
      <c r="A246" s="2978">
        <v>245</v>
      </c>
      <c r="B246" s="2978">
        <v>17</v>
      </c>
      <c r="C246" s="2978">
        <v>1</v>
      </c>
      <c r="D246" s="2978">
        <v>2304</v>
      </c>
      <c r="E246" s="2978">
        <v>137.43</v>
      </c>
    </row>
    <row r="247" spans="1:5">
      <c r="A247" s="2978">
        <v>246</v>
      </c>
      <c r="B247" s="2978">
        <v>17</v>
      </c>
      <c r="C247" s="2978">
        <v>1</v>
      </c>
      <c r="D247" s="2978">
        <v>2504</v>
      </c>
      <c r="E247" s="2978">
        <v>137.43</v>
      </c>
    </row>
    <row r="248" spans="1:5">
      <c r="A248" s="2978">
        <v>247</v>
      </c>
      <c r="B248" s="2978">
        <v>17</v>
      </c>
      <c r="C248" s="2978">
        <v>1</v>
      </c>
      <c r="D248" s="2978">
        <v>2604</v>
      </c>
      <c r="E248" s="2978">
        <v>137.43</v>
      </c>
    </row>
    <row r="249" spans="1:5">
      <c r="A249" s="2978">
        <v>248</v>
      </c>
      <c r="B249" s="2978">
        <v>17</v>
      </c>
      <c r="C249" s="2978">
        <v>1</v>
      </c>
      <c r="D249" s="2978">
        <v>2704</v>
      </c>
      <c r="E249" s="2978">
        <v>137.43</v>
      </c>
    </row>
    <row r="250" spans="1:5">
      <c r="A250" s="2978">
        <v>249</v>
      </c>
      <c r="B250" s="2978">
        <v>17</v>
      </c>
      <c r="C250" s="2978">
        <v>1</v>
      </c>
      <c r="D250" s="2978">
        <v>2804</v>
      </c>
      <c r="E250" s="2978">
        <v>137.43</v>
      </c>
    </row>
    <row r="251" spans="1:5">
      <c r="A251" s="2978">
        <v>250</v>
      </c>
      <c r="B251" s="2978">
        <v>17</v>
      </c>
      <c r="C251" s="2978">
        <v>1</v>
      </c>
      <c r="D251" s="2978">
        <v>2904</v>
      </c>
      <c r="E251" s="2978">
        <v>137.43</v>
      </c>
    </row>
    <row r="252" spans="1:5">
      <c r="A252" s="2978">
        <v>251</v>
      </c>
      <c r="B252" s="2978">
        <v>17</v>
      </c>
      <c r="C252" s="2978">
        <v>1</v>
      </c>
      <c r="D252" s="2978">
        <v>3004</v>
      </c>
      <c r="E252" s="2978">
        <v>137.43</v>
      </c>
    </row>
    <row r="253" spans="1:5">
      <c r="A253" s="2978">
        <v>252</v>
      </c>
      <c r="B253" s="2978">
        <v>17</v>
      </c>
      <c r="C253" s="2978">
        <v>1</v>
      </c>
      <c r="D253" s="2978">
        <v>3104</v>
      </c>
      <c r="E253" s="2978">
        <v>137.43</v>
      </c>
    </row>
    <row r="254" spans="1:5">
      <c r="A254" s="2978">
        <v>253</v>
      </c>
      <c r="B254" s="2978">
        <v>17</v>
      </c>
      <c r="C254" s="2978">
        <v>2</v>
      </c>
      <c r="D254" s="2978">
        <v>201</v>
      </c>
      <c r="E254" s="2978">
        <v>137.43</v>
      </c>
    </row>
    <row r="255" spans="1:5">
      <c r="A255" s="2978">
        <v>254</v>
      </c>
      <c r="B255" s="2978">
        <v>17</v>
      </c>
      <c r="C255" s="2978">
        <v>2</v>
      </c>
      <c r="D255" s="2978">
        <v>301</v>
      </c>
      <c r="E255" s="2978">
        <v>137.43</v>
      </c>
    </row>
    <row r="256" spans="1:5">
      <c r="A256" s="2978">
        <v>255</v>
      </c>
      <c r="B256" s="2978">
        <v>17</v>
      </c>
      <c r="C256" s="2978">
        <v>2</v>
      </c>
      <c r="D256" s="2978">
        <v>501</v>
      </c>
      <c r="E256" s="2978">
        <v>137.43</v>
      </c>
    </row>
    <row r="257" spans="1:5">
      <c r="A257" s="2978">
        <v>256</v>
      </c>
      <c r="B257" s="2978">
        <v>17</v>
      </c>
      <c r="C257" s="2978">
        <v>2</v>
      </c>
      <c r="D257" s="2978">
        <v>601</v>
      </c>
      <c r="E257" s="2978">
        <v>137.43</v>
      </c>
    </row>
    <row r="258" spans="1:5">
      <c r="A258" s="2978">
        <v>257</v>
      </c>
      <c r="B258" s="2978">
        <v>17</v>
      </c>
      <c r="C258" s="2978">
        <v>2</v>
      </c>
      <c r="D258" s="2978">
        <v>701</v>
      </c>
      <c r="E258" s="2978">
        <v>137.43</v>
      </c>
    </row>
    <row r="259" spans="1:5">
      <c r="A259" s="2978">
        <v>258</v>
      </c>
      <c r="B259" s="2978">
        <v>17</v>
      </c>
      <c r="C259" s="2978">
        <v>2</v>
      </c>
      <c r="D259" s="2978">
        <v>1701</v>
      </c>
      <c r="E259" s="2978">
        <v>137.43</v>
      </c>
    </row>
    <row r="260" spans="1:5">
      <c r="A260" s="2978">
        <v>259</v>
      </c>
      <c r="B260" s="2978">
        <v>17</v>
      </c>
      <c r="C260" s="2978">
        <v>2</v>
      </c>
      <c r="D260" s="2978">
        <v>2301</v>
      </c>
      <c r="E260" s="2978">
        <v>137.43</v>
      </c>
    </row>
    <row r="261" spans="1:5">
      <c r="A261" s="2978">
        <v>260</v>
      </c>
      <c r="B261" s="2978">
        <v>17</v>
      </c>
      <c r="C261" s="2978">
        <v>2</v>
      </c>
      <c r="D261" s="2978">
        <v>2501</v>
      </c>
      <c r="E261" s="2978">
        <v>137.43</v>
      </c>
    </row>
    <row r="262" spans="1:5">
      <c r="A262" s="2978">
        <v>261</v>
      </c>
      <c r="B262" s="2978">
        <v>17</v>
      </c>
      <c r="C262" s="2978">
        <v>2</v>
      </c>
      <c r="D262" s="2978">
        <v>2601</v>
      </c>
      <c r="E262" s="2978">
        <v>137.43</v>
      </c>
    </row>
    <row r="263" spans="1:5">
      <c r="A263" s="2978">
        <v>262</v>
      </c>
      <c r="B263" s="2978">
        <v>17</v>
      </c>
      <c r="C263" s="2978">
        <v>2</v>
      </c>
      <c r="D263" s="2978">
        <v>2701</v>
      </c>
      <c r="E263" s="2978">
        <v>137.43</v>
      </c>
    </row>
    <row r="264" spans="1:5">
      <c r="A264" s="2978">
        <v>263</v>
      </c>
      <c r="B264" s="2978">
        <v>17</v>
      </c>
      <c r="C264" s="2978">
        <v>2</v>
      </c>
      <c r="D264" s="2978">
        <v>2901</v>
      </c>
      <c r="E264" s="2978">
        <v>137.43</v>
      </c>
    </row>
    <row r="265" spans="1:5">
      <c r="A265" s="2978">
        <v>264</v>
      </c>
      <c r="B265" s="2978">
        <v>17</v>
      </c>
      <c r="C265" s="2978">
        <v>2</v>
      </c>
      <c r="D265" s="2978">
        <v>3101</v>
      </c>
      <c r="E265" s="2978">
        <v>137.43</v>
      </c>
    </row>
    <row r="266" spans="1:5">
      <c r="A266" s="2978">
        <v>265</v>
      </c>
      <c r="B266" s="2978">
        <v>18</v>
      </c>
      <c r="C266" s="2978">
        <v>1</v>
      </c>
      <c r="D266" s="2978">
        <v>2501</v>
      </c>
      <c r="E266" s="2978">
        <v>92.66</v>
      </c>
    </row>
    <row r="267" spans="1:5">
      <c r="A267" s="2978">
        <v>266</v>
      </c>
      <c r="B267" s="2978">
        <v>18</v>
      </c>
      <c r="C267" s="2978">
        <v>1</v>
      </c>
      <c r="D267" s="2978">
        <v>3101</v>
      </c>
      <c r="E267" s="2978">
        <v>92.66</v>
      </c>
    </row>
    <row r="268" spans="1:5">
      <c r="A268" s="2978">
        <v>267</v>
      </c>
      <c r="B268" s="2978">
        <v>18</v>
      </c>
      <c r="C268" s="2978">
        <v>2</v>
      </c>
      <c r="D268" s="2978">
        <v>304</v>
      </c>
      <c r="E268" s="2978">
        <v>92.66</v>
      </c>
    </row>
    <row r="269" spans="1:5">
      <c r="A269" s="2978">
        <v>268</v>
      </c>
      <c r="B269" s="2978">
        <v>18</v>
      </c>
      <c r="C269" s="2978">
        <v>2</v>
      </c>
      <c r="D269" s="2978">
        <v>704</v>
      </c>
      <c r="E269" s="2978">
        <v>92.66</v>
      </c>
    </row>
    <row r="270" spans="1:5">
      <c r="A270" s="2978">
        <v>269</v>
      </c>
      <c r="B270" s="2978">
        <v>18</v>
      </c>
      <c r="C270" s="2978">
        <v>2</v>
      </c>
      <c r="D270" s="2978">
        <v>1004</v>
      </c>
      <c r="E270" s="2978">
        <v>92.66</v>
      </c>
    </row>
    <row r="271" spans="1:5">
      <c r="A271" s="2978">
        <v>270</v>
      </c>
      <c r="B271" s="2978">
        <v>18</v>
      </c>
      <c r="C271" s="2978">
        <v>2</v>
      </c>
      <c r="D271" s="2978">
        <v>1604</v>
      </c>
      <c r="E271" s="2978">
        <v>92.66</v>
      </c>
    </row>
    <row r="272" spans="1:5">
      <c r="A272" s="2978">
        <v>271</v>
      </c>
      <c r="B272" s="2978">
        <v>18</v>
      </c>
      <c r="C272" s="2978">
        <v>2</v>
      </c>
      <c r="D272" s="2978">
        <v>2604</v>
      </c>
      <c r="E272" s="2978">
        <v>92.66</v>
      </c>
    </row>
    <row r="273" spans="1:5">
      <c r="A273" s="2978">
        <v>272</v>
      </c>
      <c r="B273" s="2978">
        <v>18</v>
      </c>
      <c r="C273" s="2978">
        <v>2</v>
      </c>
      <c r="D273" s="2978">
        <v>3104</v>
      </c>
      <c r="E273" s="2978">
        <v>92.66</v>
      </c>
    </row>
    <row r="274" spans="1:5">
      <c r="A274" s="2978">
        <v>273</v>
      </c>
      <c r="B274" s="2978">
        <v>18</v>
      </c>
      <c r="C274" s="2978">
        <v>1</v>
      </c>
      <c r="D274" s="2978">
        <v>204</v>
      </c>
      <c r="E274" s="2978">
        <v>93.91</v>
      </c>
    </row>
    <row r="275" spans="1:5">
      <c r="A275" s="2978">
        <v>274</v>
      </c>
      <c r="B275" s="2978">
        <v>18</v>
      </c>
      <c r="C275" s="2978">
        <v>1</v>
      </c>
      <c r="D275" s="2978">
        <v>804</v>
      </c>
      <c r="E275" s="2978">
        <v>93.91</v>
      </c>
    </row>
    <row r="276" spans="1:5">
      <c r="A276" s="2978">
        <v>275</v>
      </c>
      <c r="B276" s="2978">
        <v>18</v>
      </c>
      <c r="C276" s="2978">
        <v>1</v>
      </c>
      <c r="D276" s="2978">
        <v>2904</v>
      </c>
      <c r="E276" s="2978">
        <v>93.91</v>
      </c>
    </row>
    <row r="277" spans="1:5">
      <c r="A277" s="2978">
        <v>276</v>
      </c>
      <c r="B277" s="2978">
        <v>18</v>
      </c>
      <c r="C277" s="2978">
        <v>2</v>
      </c>
      <c r="D277" s="2978">
        <v>2201</v>
      </c>
      <c r="E277" s="2978">
        <v>93.91</v>
      </c>
    </row>
    <row r="278" spans="1:5">
      <c r="A278" s="2978">
        <v>277</v>
      </c>
      <c r="B278" s="2978">
        <v>18</v>
      </c>
      <c r="C278" s="2978">
        <v>2</v>
      </c>
      <c r="D278" s="2978">
        <v>3101</v>
      </c>
      <c r="E278" s="2978">
        <v>93.91</v>
      </c>
    </row>
    <row r="279" spans="1:5">
      <c r="A279" s="2978">
        <v>278</v>
      </c>
      <c r="B279" s="2978">
        <v>19</v>
      </c>
      <c r="C279" s="2978">
        <v>1</v>
      </c>
      <c r="D279" s="2978">
        <v>3101</v>
      </c>
      <c r="E279" s="2978">
        <v>92.66</v>
      </c>
    </row>
    <row r="280" spans="1:5">
      <c r="A280" s="2978">
        <v>279</v>
      </c>
      <c r="B280" s="2978">
        <v>19</v>
      </c>
      <c r="C280" s="2978">
        <v>2</v>
      </c>
      <c r="D280" s="2978">
        <v>204</v>
      </c>
      <c r="E280" s="2978">
        <v>92.66</v>
      </c>
    </row>
    <row r="281" spans="1:5">
      <c r="A281" s="2978">
        <v>280</v>
      </c>
      <c r="B281" s="2978">
        <v>19</v>
      </c>
      <c r="C281" s="2978">
        <v>2</v>
      </c>
      <c r="D281" s="2978">
        <v>304</v>
      </c>
      <c r="E281" s="2978">
        <v>92.66</v>
      </c>
    </row>
    <row r="282" spans="1:5">
      <c r="A282" s="2978">
        <v>281</v>
      </c>
      <c r="B282" s="2978">
        <v>19</v>
      </c>
      <c r="C282" s="2978">
        <v>2</v>
      </c>
      <c r="D282" s="2978">
        <v>504</v>
      </c>
      <c r="E282" s="2978">
        <v>92.66</v>
      </c>
    </row>
    <row r="283" spans="1:5">
      <c r="A283" s="2978">
        <v>282</v>
      </c>
      <c r="B283" s="2978">
        <v>19</v>
      </c>
      <c r="C283" s="2978">
        <v>2</v>
      </c>
      <c r="D283" s="2978">
        <v>604</v>
      </c>
      <c r="E283" s="2978">
        <v>92.66</v>
      </c>
    </row>
    <row r="284" spans="1:5">
      <c r="A284" s="2978">
        <v>283</v>
      </c>
      <c r="B284" s="2978">
        <v>19</v>
      </c>
      <c r="C284" s="2978">
        <v>2</v>
      </c>
      <c r="D284" s="2978">
        <v>704</v>
      </c>
      <c r="E284" s="2978">
        <v>92.66</v>
      </c>
    </row>
    <row r="285" spans="1:5">
      <c r="A285" s="2978">
        <v>284</v>
      </c>
      <c r="B285" s="2978">
        <v>19</v>
      </c>
      <c r="C285" s="2978">
        <v>2</v>
      </c>
      <c r="D285" s="2978">
        <v>804</v>
      </c>
      <c r="E285" s="2978">
        <v>92.66</v>
      </c>
    </row>
    <row r="286" spans="1:5">
      <c r="A286" s="2978">
        <v>285</v>
      </c>
      <c r="B286" s="2978">
        <v>19</v>
      </c>
      <c r="C286" s="2978">
        <v>2</v>
      </c>
      <c r="D286" s="2978">
        <v>904</v>
      </c>
      <c r="E286" s="2978">
        <v>92.66</v>
      </c>
    </row>
    <row r="287" spans="1:5">
      <c r="A287" s="2978">
        <v>286</v>
      </c>
      <c r="B287" s="2978">
        <v>19</v>
      </c>
      <c r="C287" s="2978">
        <v>2</v>
      </c>
      <c r="D287" s="2978">
        <v>1104</v>
      </c>
      <c r="E287" s="2978">
        <v>92.66</v>
      </c>
    </row>
    <row r="288" spans="1:5">
      <c r="A288" s="2978">
        <v>287</v>
      </c>
      <c r="B288" s="2978">
        <v>19</v>
      </c>
      <c r="C288" s="2978">
        <v>2</v>
      </c>
      <c r="D288" s="2978">
        <v>1204</v>
      </c>
      <c r="E288" s="2978">
        <v>92.66</v>
      </c>
    </row>
    <row r="289" spans="1:5">
      <c r="A289" s="2978">
        <v>288</v>
      </c>
      <c r="B289" s="2978">
        <v>19</v>
      </c>
      <c r="C289" s="2978">
        <v>2</v>
      </c>
      <c r="D289" s="2978">
        <v>1504</v>
      </c>
      <c r="E289" s="2978">
        <v>92.66</v>
      </c>
    </row>
    <row r="290" spans="1:5">
      <c r="A290" s="2978">
        <v>289</v>
      </c>
      <c r="B290" s="2978">
        <v>19</v>
      </c>
      <c r="C290" s="2978">
        <v>2</v>
      </c>
      <c r="D290" s="2978">
        <v>1604</v>
      </c>
      <c r="E290" s="2978">
        <v>92.66</v>
      </c>
    </row>
    <row r="291" spans="1:5">
      <c r="A291" s="2978">
        <v>290</v>
      </c>
      <c r="B291" s="2978">
        <v>19</v>
      </c>
      <c r="C291" s="2978">
        <v>2</v>
      </c>
      <c r="D291" s="2978">
        <v>1704</v>
      </c>
      <c r="E291" s="2978">
        <v>92.66</v>
      </c>
    </row>
    <row r="292" spans="1:5">
      <c r="A292" s="2978">
        <v>291</v>
      </c>
      <c r="B292" s="2978">
        <v>19</v>
      </c>
      <c r="C292" s="2978">
        <v>2</v>
      </c>
      <c r="D292" s="2978">
        <v>1904</v>
      </c>
      <c r="E292" s="2978">
        <v>92.66</v>
      </c>
    </row>
    <row r="293" spans="1:5">
      <c r="A293" s="2978">
        <v>292</v>
      </c>
      <c r="B293" s="2978">
        <v>19</v>
      </c>
      <c r="C293" s="2978">
        <v>2</v>
      </c>
      <c r="D293" s="2978">
        <v>2004</v>
      </c>
      <c r="E293" s="2978">
        <v>92.66</v>
      </c>
    </row>
    <row r="294" spans="1:5">
      <c r="A294" s="2978">
        <v>293</v>
      </c>
      <c r="B294" s="2978">
        <v>19</v>
      </c>
      <c r="C294" s="2978">
        <v>2</v>
      </c>
      <c r="D294" s="2978">
        <v>2104</v>
      </c>
      <c r="E294" s="2978">
        <v>92.66</v>
      </c>
    </row>
    <row r="295" spans="1:5">
      <c r="A295" s="2978">
        <v>294</v>
      </c>
      <c r="B295" s="2978">
        <v>19</v>
      </c>
      <c r="C295" s="2978">
        <v>2</v>
      </c>
      <c r="D295" s="2978">
        <v>2204</v>
      </c>
      <c r="E295" s="2978">
        <v>92.66</v>
      </c>
    </row>
    <row r="296" spans="1:5">
      <c r="A296" s="2978">
        <v>295</v>
      </c>
      <c r="B296" s="2978">
        <v>19</v>
      </c>
      <c r="C296" s="2978">
        <v>2</v>
      </c>
      <c r="D296" s="2978">
        <v>2304</v>
      </c>
      <c r="E296" s="2978">
        <v>92.66</v>
      </c>
    </row>
    <row r="297" spans="1:5">
      <c r="A297" s="2978">
        <v>296</v>
      </c>
      <c r="B297" s="2978">
        <v>19</v>
      </c>
      <c r="C297" s="2978">
        <v>2</v>
      </c>
      <c r="D297" s="2978">
        <v>2504</v>
      </c>
      <c r="E297" s="2978">
        <v>92.66</v>
      </c>
    </row>
    <row r="298" spans="1:5">
      <c r="A298" s="2978">
        <v>297</v>
      </c>
      <c r="B298" s="2978">
        <v>19</v>
      </c>
      <c r="C298" s="2978">
        <v>2</v>
      </c>
      <c r="D298" s="2978">
        <v>2604</v>
      </c>
      <c r="E298" s="2978">
        <v>92.66</v>
      </c>
    </row>
    <row r="299" spans="1:5">
      <c r="A299" s="2978">
        <v>298</v>
      </c>
      <c r="B299" s="2978">
        <v>19</v>
      </c>
      <c r="C299" s="2978">
        <v>2</v>
      </c>
      <c r="D299" s="2978">
        <v>2704</v>
      </c>
      <c r="E299" s="2978">
        <v>92.66</v>
      </c>
    </row>
    <row r="300" spans="1:5">
      <c r="A300" s="2978">
        <v>299</v>
      </c>
      <c r="B300" s="2978">
        <v>19</v>
      </c>
      <c r="C300" s="2978">
        <v>2</v>
      </c>
      <c r="D300" s="2978">
        <v>2804</v>
      </c>
      <c r="E300" s="2978">
        <v>92.66</v>
      </c>
    </row>
    <row r="301" spans="1:5">
      <c r="A301" s="2978">
        <v>300</v>
      </c>
      <c r="B301" s="2978">
        <v>19</v>
      </c>
      <c r="C301" s="2978">
        <v>2</v>
      </c>
      <c r="D301" s="2978">
        <v>2904</v>
      </c>
      <c r="E301" s="2978">
        <v>92.66</v>
      </c>
    </row>
    <row r="302" spans="1:5">
      <c r="A302" s="2978">
        <v>301</v>
      </c>
      <c r="B302" s="2978">
        <v>19</v>
      </c>
      <c r="C302" s="2978">
        <v>2</v>
      </c>
      <c r="D302" s="2978">
        <v>3004</v>
      </c>
      <c r="E302" s="2978">
        <v>92.66</v>
      </c>
    </row>
    <row r="303" spans="1:5">
      <c r="A303" s="2978">
        <v>302</v>
      </c>
      <c r="B303" s="2978">
        <v>19</v>
      </c>
      <c r="C303" s="2978">
        <v>2</v>
      </c>
      <c r="D303" s="2978">
        <v>3104</v>
      </c>
      <c r="E303" s="2978">
        <v>92.66</v>
      </c>
    </row>
    <row r="304" spans="1:5">
      <c r="A304" s="2978">
        <v>303</v>
      </c>
      <c r="B304" s="2978">
        <v>19</v>
      </c>
      <c r="C304" s="2978">
        <v>1</v>
      </c>
      <c r="D304" s="2978">
        <v>3104</v>
      </c>
      <c r="E304" s="2978">
        <v>93.91</v>
      </c>
    </row>
    <row r="305" spans="1:5">
      <c r="A305" s="2978">
        <v>304</v>
      </c>
      <c r="B305" s="2978">
        <v>19</v>
      </c>
      <c r="C305" s="2978">
        <v>2</v>
      </c>
      <c r="D305" s="2978">
        <v>201</v>
      </c>
      <c r="E305" s="2978">
        <v>93.91</v>
      </c>
    </row>
    <row r="306" spans="1:5">
      <c r="A306" s="2978">
        <v>305</v>
      </c>
      <c r="B306" s="2978">
        <v>19</v>
      </c>
      <c r="C306" s="2978">
        <v>2</v>
      </c>
      <c r="D306" s="2978">
        <v>301</v>
      </c>
      <c r="E306" s="2978">
        <v>93.91</v>
      </c>
    </row>
    <row r="307" spans="1:5">
      <c r="A307" s="2978">
        <v>306</v>
      </c>
      <c r="B307" s="2978">
        <v>19</v>
      </c>
      <c r="C307" s="2978">
        <v>2</v>
      </c>
      <c r="D307" s="2978">
        <v>701</v>
      </c>
      <c r="E307" s="2978">
        <v>93.91</v>
      </c>
    </row>
    <row r="308" spans="1:5">
      <c r="A308" s="2978">
        <v>307</v>
      </c>
      <c r="B308" s="2978">
        <v>19</v>
      </c>
      <c r="C308" s="2978">
        <v>2</v>
      </c>
      <c r="D308" s="2978">
        <v>801</v>
      </c>
      <c r="E308" s="2978">
        <v>93.91</v>
      </c>
    </row>
    <row r="309" spans="1:5">
      <c r="A309" s="2978">
        <v>308</v>
      </c>
      <c r="B309" s="2978">
        <v>19</v>
      </c>
      <c r="C309" s="2978">
        <v>2</v>
      </c>
      <c r="D309" s="2978">
        <v>1001</v>
      </c>
      <c r="E309" s="2978">
        <v>93.91</v>
      </c>
    </row>
    <row r="310" spans="1:5">
      <c r="A310" s="2978">
        <v>309</v>
      </c>
      <c r="B310" s="2978">
        <v>19</v>
      </c>
      <c r="C310" s="2978">
        <v>2</v>
      </c>
      <c r="D310" s="2978">
        <v>1601</v>
      </c>
      <c r="E310" s="2978">
        <v>93.91</v>
      </c>
    </row>
    <row r="311" spans="1:5">
      <c r="A311" s="2978">
        <v>310</v>
      </c>
      <c r="B311" s="2978">
        <v>19</v>
      </c>
      <c r="C311" s="2978">
        <v>2</v>
      </c>
      <c r="D311" s="2978">
        <v>2601</v>
      </c>
      <c r="E311" s="2978">
        <v>93.91</v>
      </c>
    </row>
    <row r="312" spans="1:5">
      <c r="A312" s="2978">
        <v>311</v>
      </c>
      <c r="B312" s="2978">
        <v>19</v>
      </c>
      <c r="C312" s="2978">
        <v>2</v>
      </c>
      <c r="D312" s="2978">
        <v>2701</v>
      </c>
      <c r="E312" s="2978">
        <v>93.91</v>
      </c>
    </row>
    <row r="313" spans="1:5">
      <c r="A313" s="2978">
        <v>312</v>
      </c>
      <c r="B313" s="2978">
        <v>19</v>
      </c>
      <c r="C313" s="2978">
        <v>2</v>
      </c>
      <c r="D313" s="2978">
        <v>2801</v>
      </c>
      <c r="E313" s="2978">
        <v>93.91</v>
      </c>
    </row>
    <row r="314" spans="1:5">
      <c r="A314" s="2978">
        <v>313</v>
      </c>
      <c r="B314" s="2978">
        <v>19</v>
      </c>
      <c r="C314" s="2978">
        <v>2</v>
      </c>
      <c r="D314" s="2978">
        <v>2901</v>
      </c>
      <c r="E314" s="2978">
        <v>93.91</v>
      </c>
    </row>
    <row r="315" spans="1:5">
      <c r="A315" s="2978">
        <v>314</v>
      </c>
      <c r="B315" s="2978">
        <v>19</v>
      </c>
      <c r="C315" s="2978">
        <v>2</v>
      </c>
      <c r="D315" s="2978">
        <v>3001</v>
      </c>
      <c r="E315" s="2978">
        <v>93.91</v>
      </c>
    </row>
    <row r="316" spans="1:5">
      <c r="A316" s="2978">
        <v>315</v>
      </c>
      <c r="B316" s="2978">
        <v>19</v>
      </c>
      <c r="C316" s="2978">
        <v>2</v>
      </c>
      <c r="D316" s="2978">
        <v>3101</v>
      </c>
      <c r="E316" s="2978">
        <v>93.91</v>
      </c>
    </row>
    <row r="317" spans="1:5">
      <c r="A317" s="2978">
        <v>316</v>
      </c>
      <c r="B317" s="2978">
        <v>20</v>
      </c>
      <c r="C317" s="2978">
        <v>1</v>
      </c>
      <c r="D317" s="2978">
        <v>201</v>
      </c>
      <c r="E317" s="2978">
        <v>92.66</v>
      </c>
    </row>
    <row r="318" spans="1:5">
      <c r="A318" s="2978">
        <v>317</v>
      </c>
      <c r="B318" s="2978">
        <v>20</v>
      </c>
      <c r="C318" s="2978">
        <v>1</v>
      </c>
      <c r="D318" s="2978">
        <v>301</v>
      </c>
      <c r="E318" s="2978">
        <v>92.66</v>
      </c>
    </row>
    <row r="319" spans="1:5">
      <c r="A319" s="2978">
        <v>318</v>
      </c>
      <c r="B319" s="2978">
        <v>20</v>
      </c>
      <c r="C319" s="2978">
        <v>1</v>
      </c>
      <c r="D319" s="2978">
        <v>501</v>
      </c>
      <c r="E319" s="2978">
        <v>92.66</v>
      </c>
    </row>
    <row r="320" spans="1:5">
      <c r="A320" s="2978">
        <v>319</v>
      </c>
      <c r="B320" s="2978">
        <v>20</v>
      </c>
      <c r="C320" s="2978">
        <v>1</v>
      </c>
      <c r="D320" s="2978">
        <v>601</v>
      </c>
      <c r="E320" s="2978">
        <v>92.66</v>
      </c>
    </row>
    <row r="321" spans="1:5">
      <c r="A321" s="2978">
        <v>320</v>
      </c>
      <c r="B321" s="2978">
        <v>20</v>
      </c>
      <c r="C321" s="2978">
        <v>1</v>
      </c>
      <c r="D321" s="2978">
        <v>701</v>
      </c>
      <c r="E321" s="2978">
        <v>92.66</v>
      </c>
    </row>
    <row r="322" spans="1:5">
      <c r="A322" s="2978">
        <v>321</v>
      </c>
      <c r="B322" s="2978">
        <v>20</v>
      </c>
      <c r="C322" s="2978">
        <v>1</v>
      </c>
      <c r="D322" s="2978">
        <v>801</v>
      </c>
      <c r="E322" s="2978">
        <v>92.66</v>
      </c>
    </row>
    <row r="323" spans="1:5">
      <c r="A323" s="2978">
        <v>322</v>
      </c>
      <c r="B323" s="2978">
        <v>20</v>
      </c>
      <c r="C323" s="2978">
        <v>1</v>
      </c>
      <c r="D323" s="2978">
        <v>901</v>
      </c>
      <c r="E323" s="2978">
        <v>92.66</v>
      </c>
    </row>
    <row r="324" spans="1:5">
      <c r="A324" s="2978">
        <v>323</v>
      </c>
      <c r="B324" s="2978">
        <v>20</v>
      </c>
      <c r="C324" s="2978">
        <v>1</v>
      </c>
      <c r="D324" s="2978">
        <v>1001</v>
      </c>
      <c r="E324" s="2978">
        <v>92.66</v>
      </c>
    </row>
    <row r="325" spans="1:5">
      <c r="A325" s="2978">
        <v>324</v>
      </c>
      <c r="B325" s="2978">
        <v>20</v>
      </c>
      <c r="C325" s="2978">
        <v>1</v>
      </c>
      <c r="D325" s="2978">
        <v>1701</v>
      </c>
      <c r="E325" s="2978">
        <v>92.66</v>
      </c>
    </row>
    <row r="326" spans="1:5">
      <c r="A326" s="2978">
        <v>325</v>
      </c>
      <c r="B326" s="2978">
        <v>20</v>
      </c>
      <c r="C326" s="2978">
        <v>1</v>
      </c>
      <c r="D326" s="2978">
        <v>3101</v>
      </c>
      <c r="E326" s="2978">
        <v>92.66</v>
      </c>
    </row>
    <row r="327" spans="1:5">
      <c r="A327" s="2978">
        <v>326</v>
      </c>
      <c r="B327" s="2978">
        <v>20</v>
      </c>
      <c r="C327" s="2978">
        <v>2</v>
      </c>
      <c r="D327" s="2978">
        <v>204</v>
      </c>
      <c r="E327" s="2978">
        <v>92.66</v>
      </c>
    </row>
    <row r="328" spans="1:5">
      <c r="A328" s="2978">
        <v>327</v>
      </c>
      <c r="B328" s="2978">
        <v>20</v>
      </c>
      <c r="C328" s="2978">
        <v>2</v>
      </c>
      <c r="D328" s="2978">
        <v>304</v>
      </c>
      <c r="E328" s="2978">
        <v>92.66</v>
      </c>
    </row>
    <row r="329" spans="1:5">
      <c r="A329" s="2978">
        <v>328</v>
      </c>
      <c r="B329" s="2978">
        <v>20</v>
      </c>
      <c r="C329" s="2978">
        <v>2</v>
      </c>
      <c r="D329" s="2978">
        <v>504</v>
      </c>
      <c r="E329" s="2978">
        <v>92.66</v>
      </c>
    </row>
    <row r="330" spans="1:5">
      <c r="A330" s="2978">
        <v>329</v>
      </c>
      <c r="B330" s="2978">
        <v>20</v>
      </c>
      <c r="C330" s="2978">
        <v>2</v>
      </c>
      <c r="D330" s="2978">
        <v>604</v>
      </c>
      <c r="E330" s="2978">
        <v>92.66</v>
      </c>
    </row>
    <row r="331" spans="1:5">
      <c r="A331" s="2978">
        <v>330</v>
      </c>
      <c r="B331" s="2978">
        <v>20</v>
      </c>
      <c r="C331" s="2978">
        <v>2</v>
      </c>
      <c r="D331" s="2978">
        <v>704</v>
      </c>
      <c r="E331" s="2978">
        <v>92.66</v>
      </c>
    </row>
    <row r="332" spans="1:5">
      <c r="A332" s="2978">
        <v>331</v>
      </c>
      <c r="B332" s="2978">
        <v>20</v>
      </c>
      <c r="C332" s="2978">
        <v>2</v>
      </c>
      <c r="D332" s="2978">
        <v>804</v>
      </c>
      <c r="E332" s="2978">
        <v>92.66</v>
      </c>
    </row>
    <row r="333" spans="1:5">
      <c r="A333" s="2978">
        <v>332</v>
      </c>
      <c r="B333" s="2978">
        <v>20</v>
      </c>
      <c r="C333" s="2978">
        <v>2</v>
      </c>
      <c r="D333" s="2978">
        <v>904</v>
      </c>
      <c r="E333" s="2978">
        <v>92.66</v>
      </c>
    </row>
    <row r="334" spans="1:5">
      <c r="A334" s="2978">
        <v>333</v>
      </c>
      <c r="B334" s="2978">
        <v>20</v>
      </c>
      <c r="C334" s="2978">
        <v>2</v>
      </c>
      <c r="D334" s="2978">
        <v>1004</v>
      </c>
      <c r="E334" s="2978">
        <v>92.66</v>
      </c>
    </row>
    <row r="335" spans="1:5">
      <c r="A335" s="2978">
        <v>334</v>
      </c>
      <c r="B335" s="2978">
        <v>20</v>
      </c>
      <c r="C335" s="2978">
        <v>2</v>
      </c>
      <c r="D335" s="2978">
        <v>1104</v>
      </c>
      <c r="E335" s="2978">
        <v>92.66</v>
      </c>
    </row>
    <row r="336" spans="1:5">
      <c r="A336" s="2978">
        <v>335</v>
      </c>
      <c r="B336" s="2978">
        <v>20</v>
      </c>
      <c r="C336" s="2978">
        <v>2</v>
      </c>
      <c r="D336" s="2978">
        <v>1204</v>
      </c>
      <c r="E336" s="2978">
        <v>92.66</v>
      </c>
    </row>
    <row r="337" spans="1:5">
      <c r="A337" s="2978">
        <v>336</v>
      </c>
      <c r="B337" s="2978">
        <v>20</v>
      </c>
      <c r="C337" s="2978">
        <v>2</v>
      </c>
      <c r="D337" s="2978">
        <v>1504</v>
      </c>
      <c r="E337" s="2978">
        <v>92.66</v>
      </c>
    </row>
    <row r="338" spans="1:5">
      <c r="A338" s="2978">
        <v>337</v>
      </c>
      <c r="B338" s="2978">
        <v>20</v>
      </c>
      <c r="C338" s="2978">
        <v>2</v>
      </c>
      <c r="D338" s="2978">
        <v>1604</v>
      </c>
      <c r="E338" s="2978">
        <v>92.66</v>
      </c>
    </row>
    <row r="339" spans="1:5">
      <c r="A339" s="2978">
        <v>338</v>
      </c>
      <c r="B339" s="2978">
        <v>20</v>
      </c>
      <c r="C339" s="2978">
        <v>2</v>
      </c>
      <c r="D339" s="2978">
        <v>1704</v>
      </c>
      <c r="E339" s="2978">
        <v>92.66</v>
      </c>
    </row>
    <row r="340" spans="1:5">
      <c r="A340" s="2978">
        <v>339</v>
      </c>
      <c r="B340" s="2978">
        <v>20</v>
      </c>
      <c r="C340" s="2978">
        <v>2</v>
      </c>
      <c r="D340" s="2978">
        <v>1804</v>
      </c>
      <c r="E340" s="2978">
        <v>92.66</v>
      </c>
    </row>
    <row r="341" spans="1:5">
      <c r="A341" s="2978">
        <v>340</v>
      </c>
      <c r="B341" s="2978">
        <v>20</v>
      </c>
      <c r="C341" s="2978">
        <v>2</v>
      </c>
      <c r="D341" s="2978">
        <v>2004</v>
      </c>
      <c r="E341" s="2978">
        <v>92.66</v>
      </c>
    </row>
    <row r="342" spans="1:5">
      <c r="A342" s="2978">
        <v>341</v>
      </c>
      <c r="B342" s="2978">
        <v>20</v>
      </c>
      <c r="C342" s="2978">
        <v>2</v>
      </c>
      <c r="D342" s="2978">
        <v>2104</v>
      </c>
      <c r="E342" s="2978">
        <v>92.66</v>
      </c>
    </row>
    <row r="343" spans="1:5">
      <c r="A343" s="2978">
        <v>342</v>
      </c>
      <c r="B343" s="2978">
        <v>20</v>
      </c>
      <c r="C343" s="2978">
        <v>2</v>
      </c>
      <c r="D343" s="2978">
        <v>2204</v>
      </c>
      <c r="E343" s="2978">
        <v>92.66</v>
      </c>
    </row>
    <row r="344" spans="1:5">
      <c r="A344" s="2978">
        <v>343</v>
      </c>
      <c r="B344" s="2978">
        <v>20</v>
      </c>
      <c r="C344" s="2978">
        <v>2</v>
      </c>
      <c r="D344" s="2978">
        <v>2304</v>
      </c>
      <c r="E344" s="2978">
        <v>92.66</v>
      </c>
    </row>
    <row r="345" spans="1:5">
      <c r="A345" s="2978">
        <v>344</v>
      </c>
      <c r="B345" s="2978">
        <v>20</v>
      </c>
      <c r="C345" s="2978">
        <v>2</v>
      </c>
      <c r="D345" s="2978">
        <v>2504</v>
      </c>
      <c r="E345" s="2978">
        <v>92.66</v>
      </c>
    </row>
    <row r="346" spans="1:5">
      <c r="A346" s="2978">
        <v>345</v>
      </c>
      <c r="B346" s="2978">
        <v>20</v>
      </c>
      <c r="C346" s="2978">
        <v>2</v>
      </c>
      <c r="D346" s="2978">
        <v>2604</v>
      </c>
      <c r="E346" s="2978">
        <v>92.66</v>
      </c>
    </row>
    <row r="347" spans="1:5">
      <c r="A347" s="2978">
        <v>346</v>
      </c>
      <c r="B347" s="2978">
        <v>20</v>
      </c>
      <c r="C347" s="2978">
        <v>2</v>
      </c>
      <c r="D347" s="2978">
        <v>2704</v>
      </c>
      <c r="E347" s="2978">
        <v>92.66</v>
      </c>
    </row>
    <row r="348" spans="1:5">
      <c r="A348" s="2978">
        <v>347</v>
      </c>
      <c r="B348" s="2978">
        <v>20</v>
      </c>
      <c r="C348" s="2978">
        <v>2</v>
      </c>
      <c r="D348" s="2978">
        <v>2804</v>
      </c>
      <c r="E348" s="2978">
        <v>92.66</v>
      </c>
    </row>
    <row r="349" spans="1:5">
      <c r="A349" s="2978">
        <v>348</v>
      </c>
      <c r="B349" s="2978">
        <v>20</v>
      </c>
      <c r="C349" s="2978">
        <v>2</v>
      </c>
      <c r="D349" s="2978">
        <v>3004</v>
      </c>
      <c r="E349" s="2978">
        <v>92.66</v>
      </c>
    </row>
    <row r="350" spans="1:5">
      <c r="A350" s="2978">
        <v>349</v>
      </c>
      <c r="B350" s="2978">
        <v>20</v>
      </c>
      <c r="C350" s="2978">
        <v>2</v>
      </c>
      <c r="D350" s="2978">
        <v>3104</v>
      </c>
      <c r="E350" s="2978">
        <v>92.66</v>
      </c>
    </row>
    <row r="351" spans="1:5">
      <c r="A351" s="2978">
        <v>350</v>
      </c>
      <c r="B351" s="2978">
        <v>20</v>
      </c>
      <c r="C351" s="2978">
        <v>1</v>
      </c>
      <c r="D351" s="2978">
        <v>204</v>
      </c>
      <c r="E351" s="2978">
        <v>93.91</v>
      </c>
    </row>
    <row r="352" spans="1:5">
      <c r="A352" s="2978">
        <v>351</v>
      </c>
      <c r="B352" s="2978">
        <v>20</v>
      </c>
      <c r="C352" s="2978">
        <v>1</v>
      </c>
      <c r="D352" s="2978">
        <v>304</v>
      </c>
      <c r="E352" s="2978">
        <v>93.91</v>
      </c>
    </row>
    <row r="353" spans="1:5">
      <c r="A353" s="2978">
        <v>352</v>
      </c>
      <c r="B353" s="2978">
        <v>20</v>
      </c>
      <c r="C353" s="2978">
        <v>1</v>
      </c>
      <c r="D353" s="2978">
        <v>504</v>
      </c>
      <c r="E353" s="2978">
        <v>93.91</v>
      </c>
    </row>
    <row r="354" spans="1:5">
      <c r="A354" s="2978">
        <v>353</v>
      </c>
      <c r="B354" s="2978">
        <v>20</v>
      </c>
      <c r="C354" s="2978">
        <v>1</v>
      </c>
      <c r="D354" s="2978">
        <v>604</v>
      </c>
      <c r="E354" s="2978">
        <v>93.91</v>
      </c>
    </row>
    <row r="355" spans="1:5">
      <c r="A355" s="2978">
        <v>354</v>
      </c>
      <c r="B355" s="2978">
        <v>20</v>
      </c>
      <c r="C355" s="2978">
        <v>1</v>
      </c>
      <c r="D355" s="2978">
        <v>704</v>
      </c>
      <c r="E355" s="2978">
        <v>93.91</v>
      </c>
    </row>
    <row r="356" spans="1:5">
      <c r="A356" s="2978">
        <v>355</v>
      </c>
      <c r="B356" s="2978">
        <v>20</v>
      </c>
      <c r="C356" s="2978">
        <v>1</v>
      </c>
      <c r="D356" s="2978">
        <v>804</v>
      </c>
      <c r="E356" s="2978">
        <v>93.91</v>
      </c>
    </row>
    <row r="357" spans="1:5">
      <c r="A357" s="2978">
        <v>356</v>
      </c>
      <c r="B357" s="2978">
        <v>20</v>
      </c>
      <c r="C357" s="2978">
        <v>1</v>
      </c>
      <c r="D357" s="2978">
        <v>904</v>
      </c>
      <c r="E357" s="2978">
        <v>93.91</v>
      </c>
    </row>
    <row r="358" spans="1:5">
      <c r="A358" s="2978">
        <v>357</v>
      </c>
      <c r="B358" s="2978">
        <v>20</v>
      </c>
      <c r="C358" s="2978">
        <v>1</v>
      </c>
      <c r="D358" s="2978">
        <v>1004</v>
      </c>
      <c r="E358" s="2978">
        <v>93.91</v>
      </c>
    </row>
    <row r="359" spans="1:5">
      <c r="A359" s="2978">
        <v>358</v>
      </c>
      <c r="B359" s="2978">
        <v>20</v>
      </c>
      <c r="C359" s="2978">
        <v>1</v>
      </c>
      <c r="D359" s="2978">
        <v>1104</v>
      </c>
      <c r="E359" s="2978">
        <v>93.91</v>
      </c>
    </row>
    <row r="360" spans="1:5">
      <c r="A360" s="2978">
        <v>359</v>
      </c>
      <c r="B360" s="2978">
        <v>20</v>
      </c>
      <c r="C360" s="2978">
        <v>1</v>
      </c>
      <c r="D360" s="2978">
        <v>1204</v>
      </c>
      <c r="E360" s="2978">
        <v>93.91</v>
      </c>
    </row>
    <row r="361" spans="1:5">
      <c r="A361" s="2978">
        <v>360</v>
      </c>
      <c r="B361" s="2978">
        <v>20</v>
      </c>
      <c r="C361" s="2978">
        <v>1</v>
      </c>
      <c r="D361" s="2978">
        <v>1504</v>
      </c>
      <c r="E361" s="2978">
        <v>93.91</v>
      </c>
    </row>
    <row r="362" spans="1:5">
      <c r="A362" s="2978">
        <v>361</v>
      </c>
      <c r="B362" s="2978">
        <v>20</v>
      </c>
      <c r="C362" s="2978">
        <v>1</v>
      </c>
      <c r="D362" s="2978">
        <v>1604</v>
      </c>
      <c r="E362" s="2978">
        <v>93.91</v>
      </c>
    </row>
    <row r="363" spans="1:5">
      <c r="A363" s="2978">
        <v>362</v>
      </c>
      <c r="B363" s="2978">
        <v>20</v>
      </c>
      <c r="C363" s="2978">
        <v>1</v>
      </c>
      <c r="D363" s="2978">
        <v>1804</v>
      </c>
      <c r="E363" s="2978">
        <v>93.91</v>
      </c>
    </row>
    <row r="364" spans="1:5">
      <c r="A364" s="2978">
        <v>363</v>
      </c>
      <c r="B364" s="2978">
        <v>20</v>
      </c>
      <c r="C364" s="2978">
        <v>1</v>
      </c>
      <c r="D364" s="2978">
        <v>2004</v>
      </c>
      <c r="E364" s="2978">
        <v>93.91</v>
      </c>
    </row>
    <row r="365" spans="1:5">
      <c r="A365" s="2978">
        <v>364</v>
      </c>
      <c r="B365" s="2978">
        <v>20</v>
      </c>
      <c r="C365" s="2978">
        <v>1</v>
      </c>
      <c r="D365" s="2978">
        <v>2104</v>
      </c>
      <c r="E365" s="2978">
        <v>93.91</v>
      </c>
    </row>
    <row r="366" spans="1:5">
      <c r="A366" s="2978">
        <v>365</v>
      </c>
      <c r="B366" s="2978">
        <v>20</v>
      </c>
      <c r="C366" s="2978">
        <v>1</v>
      </c>
      <c r="D366" s="2978">
        <v>2204</v>
      </c>
      <c r="E366" s="2978">
        <v>93.91</v>
      </c>
    </row>
    <row r="367" spans="1:5">
      <c r="A367" s="2978">
        <v>366</v>
      </c>
      <c r="B367" s="2978">
        <v>20</v>
      </c>
      <c r="C367" s="2978">
        <v>1</v>
      </c>
      <c r="D367" s="2978">
        <v>2504</v>
      </c>
      <c r="E367" s="2978">
        <v>93.91</v>
      </c>
    </row>
    <row r="368" spans="1:5">
      <c r="A368" s="2978">
        <v>367</v>
      </c>
      <c r="B368" s="2978">
        <v>20</v>
      </c>
      <c r="C368" s="2978">
        <v>1</v>
      </c>
      <c r="D368" s="2978">
        <v>2704</v>
      </c>
      <c r="E368" s="2978">
        <v>93.91</v>
      </c>
    </row>
    <row r="369" spans="1:5">
      <c r="A369" s="2978">
        <v>368</v>
      </c>
      <c r="B369" s="2978">
        <v>20</v>
      </c>
      <c r="C369" s="2978">
        <v>1</v>
      </c>
      <c r="D369" s="2978">
        <v>2804</v>
      </c>
      <c r="E369" s="2978">
        <v>93.91</v>
      </c>
    </row>
    <row r="370" spans="1:5">
      <c r="A370" s="2978">
        <v>369</v>
      </c>
      <c r="B370" s="2978">
        <v>20</v>
      </c>
      <c r="C370" s="2978">
        <v>1</v>
      </c>
      <c r="D370" s="2978">
        <v>2904</v>
      </c>
      <c r="E370" s="2978">
        <v>93.91</v>
      </c>
    </row>
    <row r="371" spans="1:5">
      <c r="A371" s="2978">
        <v>370</v>
      </c>
      <c r="B371" s="2978">
        <v>20</v>
      </c>
      <c r="C371" s="2978">
        <v>1</v>
      </c>
      <c r="D371" s="2978">
        <v>3004</v>
      </c>
      <c r="E371" s="2978">
        <v>93.91</v>
      </c>
    </row>
    <row r="372" spans="1:5">
      <c r="A372" s="2978">
        <v>371</v>
      </c>
      <c r="B372" s="2978">
        <v>20</v>
      </c>
      <c r="C372" s="2978">
        <v>1</v>
      </c>
      <c r="D372" s="2978">
        <v>3104</v>
      </c>
      <c r="E372" s="2978">
        <v>93.91</v>
      </c>
    </row>
    <row r="373" spans="1:5">
      <c r="A373" s="2978">
        <v>372</v>
      </c>
      <c r="B373" s="2978">
        <v>20</v>
      </c>
      <c r="C373" s="2978">
        <v>2</v>
      </c>
      <c r="D373" s="2978">
        <v>201</v>
      </c>
      <c r="E373" s="2978">
        <v>93.91</v>
      </c>
    </row>
    <row r="374" spans="1:5">
      <c r="A374" s="2978">
        <v>373</v>
      </c>
      <c r="B374" s="2978">
        <v>20</v>
      </c>
      <c r="C374" s="2978">
        <v>2</v>
      </c>
      <c r="D374" s="2978">
        <v>301</v>
      </c>
      <c r="E374" s="2978">
        <v>93.91</v>
      </c>
    </row>
    <row r="375" spans="1:5">
      <c r="A375" s="2978">
        <v>374</v>
      </c>
      <c r="B375" s="2978">
        <v>20</v>
      </c>
      <c r="C375" s="2978">
        <v>2</v>
      </c>
      <c r="D375" s="2978">
        <v>501</v>
      </c>
      <c r="E375" s="2978">
        <v>93.91</v>
      </c>
    </row>
    <row r="376" spans="1:5">
      <c r="A376" s="2978">
        <v>375</v>
      </c>
      <c r="B376" s="2978">
        <v>20</v>
      </c>
      <c r="C376" s="2978">
        <v>2</v>
      </c>
      <c r="D376" s="2978">
        <v>601</v>
      </c>
      <c r="E376" s="2978">
        <v>93.91</v>
      </c>
    </row>
    <row r="377" spans="1:5">
      <c r="A377" s="2978">
        <v>376</v>
      </c>
      <c r="B377" s="2978">
        <v>20</v>
      </c>
      <c r="C377" s="2978">
        <v>2</v>
      </c>
      <c r="D377" s="2978">
        <v>701</v>
      </c>
      <c r="E377" s="2978">
        <v>93.91</v>
      </c>
    </row>
    <row r="378" spans="1:5">
      <c r="A378" s="2978">
        <v>377</v>
      </c>
      <c r="B378" s="2978">
        <v>20</v>
      </c>
      <c r="C378" s="2978">
        <v>2</v>
      </c>
      <c r="D378" s="2978">
        <v>801</v>
      </c>
      <c r="E378" s="2978">
        <v>93.91</v>
      </c>
    </row>
    <row r="379" spans="1:5">
      <c r="A379" s="2978">
        <v>378</v>
      </c>
      <c r="B379" s="2978">
        <v>20</v>
      </c>
      <c r="C379" s="2978">
        <v>2</v>
      </c>
      <c r="D379" s="2978">
        <v>901</v>
      </c>
      <c r="E379" s="2978">
        <v>93.91</v>
      </c>
    </row>
    <row r="380" spans="1:5">
      <c r="A380" s="2978">
        <v>379</v>
      </c>
      <c r="B380" s="2978">
        <v>20</v>
      </c>
      <c r="C380" s="2978">
        <v>2</v>
      </c>
      <c r="D380" s="2978">
        <v>1901</v>
      </c>
      <c r="E380" s="2978">
        <v>93.91</v>
      </c>
    </row>
    <row r="381" spans="1:5">
      <c r="A381" s="2978">
        <v>380</v>
      </c>
      <c r="B381" s="2978">
        <v>20</v>
      </c>
      <c r="C381" s="2978">
        <v>2</v>
      </c>
      <c r="D381" s="2978">
        <v>2001</v>
      </c>
      <c r="E381" s="2978">
        <v>93.91</v>
      </c>
    </row>
    <row r="382" spans="1:5">
      <c r="A382" s="2978">
        <v>381</v>
      </c>
      <c r="B382" s="2978">
        <v>20</v>
      </c>
      <c r="C382" s="2978">
        <v>2</v>
      </c>
      <c r="D382" s="2978">
        <v>2101</v>
      </c>
      <c r="E382" s="2978">
        <v>93.91</v>
      </c>
    </row>
    <row r="383" spans="1:5">
      <c r="A383" s="2978">
        <v>382</v>
      </c>
      <c r="B383" s="2978">
        <v>20</v>
      </c>
      <c r="C383" s="2978">
        <v>2</v>
      </c>
      <c r="D383" s="2978">
        <v>2201</v>
      </c>
      <c r="E383" s="2978">
        <v>93.91</v>
      </c>
    </row>
    <row r="384" spans="1:5">
      <c r="A384" s="2978">
        <v>383</v>
      </c>
      <c r="B384" s="2978">
        <v>20</v>
      </c>
      <c r="C384" s="2978">
        <v>2</v>
      </c>
      <c r="D384" s="2978">
        <v>2301</v>
      </c>
      <c r="E384" s="2978">
        <v>93.91</v>
      </c>
    </row>
    <row r="385" spans="1:5">
      <c r="A385" s="2978">
        <v>384</v>
      </c>
      <c r="B385" s="2978">
        <v>20</v>
      </c>
      <c r="C385" s="2978">
        <v>2</v>
      </c>
      <c r="D385" s="2978">
        <v>2501</v>
      </c>
      <c r="E385" s="2978">
        <v>93.91</v>
      </c>
    </row>
    <row r="386" spans="1:5">
      <c r="A386" s="2978">
        <v>385</v>
      </c>
      <c r="B386" s="2978">
        <v>20</v>
      </c>
      <c r="C386" s="2978">
        <v>2</v>
      </c>
      <c r="D386" s="2978">
        <v>2601</v>
      </c>
      <c r="E386" s="2978">
        <v>93.91</v>
      </c>
    </row>
    <row r="387" spans="1:5">
      <c r="A387" s="2978">
        <v>386</v>
      </c>
      <c r="B387" s="2978">
        <v>20</v>
      </c>
      <c r="C387" s="2978">
        <v>2</v>
      </c>
      <c r="D387" s="2978">
        <v>2701</v>
      </c>
      <c r="E387" s="2978">
        <v>93.91</v>
      </c>
    </row>
    <row r="388" spans="1:5">
      <c r="A388" s="2978">
        <v>387</v>
      </c>
      <c r="B388" s="2978">
        <v>20</v>
      </c>
      <c r="C388" s="2978">
        <v>2</v>
      </c>
      <c r="D388" s="2978">
        <v>2801</v>
      </c>
      <c r="E388" s="2978">
        <v>93.91</v>
      </c>
    </row>
    <row r="389" spans="1:5">
      <c r="A389" s="2978">
        <v>388</v>
      </c>
      <c r="B389" s="2978">
        <v>20</v>
      </c>
      <c r="C389" s="2978">
        <v>2</v>
      </c>
      <c r="D389" s="2978">
        <v>2901</v>
      </c>
      <c r="E389" s="2978">
        <v>93.91</v>
      </c>
    </row>
    <row r="390" spans="1:5">
      <c r="A390" s="2978">
        <v>389</v>
      </c>
      <c r="B390" s="2978">
        <v>20</v>
      </c>
      <c r="C390" s="2978">
        <v>2</v>
      </c>
      <c r="D390" s="2978">
        <v>3001</v>
      </c>
      <c r="E390" s="2978">
        <v>93.91</v>
      </c>
    </row>
    <row r="391" spans="1:5">
      <c r="A391" s="2978">
        <v>390</v>
      </c>
      <c r="B391" s="2978">
        <v>20</v>
      </c>
      <c r="C391" s="2978">
        <v>2</v>
      </c>
      <c r="D391" s="2978">
        <v>3101</v>
      </c>
      <c r="E391" s="2978">
        <v>93.91</v>
      </c>
    </row>
    <row r="392" spans="1:5">
      <c r="E392" s="2981">
        <f>SUM(E2:E391)</f>
        <v>39021.710000000188</v>
      </c>
    </row>
    <row r="395" spans="1:5">
      <c r="A395" s="2982" t="s">
        <v>3100</v>
      </c>
      <c r="B395" s="2982" t="s">
        <v>3101</v>
      </c>
      <c r="C395" s="2983" t="s">
        <v>3102</v>
      </c>
      <c r="D395" s="2983" t="s">
        <v>3103</v>
      </c>
    </row>
    <row r="396" spans="1:5">
      <c r="A396" s="2984">
        <v>1</v>
      </c>
      <c r="B396" s="2984" t="s">
        <v>3120</v>
      </c>
      <c r="C396" s="2984">
        <v>1</v>
      </c>
      <c r="D396" s="2984">
        <v>36709.54</v>
      </c>
    </row>
    <row r="397" spans="1:5">
      <c r="A397" s="2984">
        <v>2</v>
      </c>
      <c r="B397" s="2984" t="s">
        <v>3119</v>
      </c>
      <c r="C397" s="2986">
        <v>2</v>
      </c>
      <c r="D397" s="2984">
        <v>21470.54</v>
      </c>
    </row>
    <row r="398" spans="1:5">
      <c r="A398" s="2984">
        <v>3</v>
      </c>
      <c r="B398" s="2984" t="s">
        <v>3115</v>
      </c>
      <c r="C398" s="2986">
        <v>3</v>
      </c>
      <c r="D398" s="2984">
        <v>32689.05</v>
      </c>
    </row>
    <row r="399" spans="1:5">
      <c r="A399" s="2984">
        <v>4</v>
      </c>
      <c r="B399" s="2984" t="s">
        <v>3117</v>
      </c>
      <c r="C399" s="2984">
        <v>4</v>
      </c>
      <c r="D399" s="2984">
        <v>18371.88</v>
      </c>
    </row>
    <row r="400" spans="1:5">
      <c r="A400" s="2984">
        <v>5</v>
      </c>
      <c r="B400" s="2984" t="s">
        <v>3118</v>
      </c>
      <c r="C400" s="2986">
        <v>5</v>
      </c>
      <c r="D400" s="2984">
        <v>18372.419999999998</v>
      </c>
    </row>
    <row r="401" spans="1:4">
      <c r="A401" s="2984">
        <v>6</v>
      </c>
      <c r="B401" s="2984" t="s">
        <v>3113</v>
      </c>
      <c r="C401" s="2986">
        <v>6</v>
      </c>
      <c r="D401" s="2984">
        <v>18372.419999999998</v>
      </c>
    </row>
    <row r="402" spans="1:4">
      <c r="A402" s="2984">
        <v>7</v>
      </c>
      <c r="B402" s="2984" t="s">
        <v>3112</v>
      </c>
      <c r="C402" s="2986">
        <v>12</v>
      </c>
      <c r="D402" s="2984">
        <v>17366.150000000001</v>
      </c>
    </row>
    <row r="403" spans="1:4">
      <c r="A403" s="2984">
        <v>8</v>
      </c>
      <c r="B403" s="2984" t="s">
        <v>3111</v>
      </c>
      <c r="C403" s="2984">
        <v>13</v>
      </c>
      <c r="D403" s="2984">
        <v>18696.060000000001</v>
      </c>
    </row>
    <row r="404" spans="1:4">
      <c r="A404" s="2984">
        <v>9</v>
      </c>
      <c r="B404" s="2984" t="s">
        <v>3105</v>
      </c>
      <c r="C404" s="2984">
        <v>14</v>
      </c>
      <c r="D404" s="2984">
        <v>17984.73</v>
      </c>
    </row>
    <row r="405" spans="1:4">
      <c r="A405" s="2984">
        <v>10</v>
      </c>
      <c r="B405" s="2984" t="s">
        <v>3110</v>
      </c>
      <c r="C405" s="2986">
        <v>15</v>
      </c>
      <c r="D405" s="2984">
        <v>1739043</v>
      </c>
    </row>
    <row r="406" spans="1:4">
      <c r="A406" s="2984">
        <v>11</v>
      </c>
      <c r="B406" s="2984" t="s">
        <v>3109</v>
      </c>
      <c r="C406" s="2986">
        <v>16</v>
      </c>
      <c r="D406" s="2984">
        <v>16019.62</v>
      </c>
    </row>
    <row r="407" spans="1:4">
      <c r="A407" s="2984">
        <v>12</v>
      </c>
      <c r="B407" s="2984" t="s">
        <v>3108</v>
      </c>
      <c r="C407" s="2986">
        <v>17</v>
      </c>
      <c r="D407" s="2984">
        <v>16364.16</v>
      </c>
    </row>
    <row r="408" spans="1:4">
      <c r="A408" s="2984">
        <v>13</v>
      </c>
      <c r="B408" s="2984" t="s">
        <v>3107</v>
      </c>
      <c r="C408" s="2986">
        <v>18</v>
      </c>
      <c r="D408" s="2984">
        <v>17700.8</v>
      </c>
    </row>
    <row r="409" spans="1:4">
      <c r="A409" s="2984">
        <v>14</v>
      </c>
      <c r="B409" s="2984" t="s">
        <v>3106</v>
      </c>
      <c r="C409" s="2986">
        <v>20</v>
      </c>
      <c r="D409" s="2984">
        <v>17034.5</v>
      </c>
    </row>
    <row r="410" spans="1:4">
      <c r="A410" s="2984">
        <v>15</v>
      </c>
      <c r="B410" s="2984" t="s">
        <v>3114</v>
      </c>
      <c r="C410" s="2984">
        <v>22</v>
      </c>
      <c r="D410" s="2984">
        <v>16511.04</v>
      </c>
    </row>
    <row r="411" spans="1:4">
      <c r="A411" s="2984">
        <v>16</v>
      </c>
      <c r="B411" s="2984" t="s">
        <v>3104</v>
      </c>
      <c r="C411" s="2984">
        <v>23</v>
      </c>
      <c r="D411" s="2984">
        <v>16488.96</v>
      </c>
    </row>
    <row r="412" spans="1:4">
      <c r="A412" s="2984">
        <v>17</v>
      </c>
      <c r="B412" s="2984" t="s">
        <v>3116</v>
      </c>
      <c r="C412" s="2984">
        <v>24</v>
      </c>
      <c r="D412" s="2984">
        <v>15494.88</v>
      </c>
    </row>
    <row r="413" spans="1:4">
      <c r="A413" s="1948"/>
      <c r="B413" s="1948"/>
      <c r="C413" s="1948"/>
      <c r="D413" s="1948">
        <f>SUM(D396:D412)</f>
        <v>2054689.75</v>
      </c>
    </row>
    <row r="414" spans="1:4">
      <c r="A414" s="1948"/>
      <c r="B414" s="2985" t="s">
        <v>3121</v>
      </c>
      <c r="C414" s="1948"/>
      <c r="D414" s="1948">
        <v>117297.49</v>
      </c>
    </row>
    <row r="415" spans="1:4">
      <c r="D415" s="2981">
        <f>ROUND(E392/D413*D414,2)</f>
        <v>2227.66</v>
      </c>
    </row>
  </sheetData>
  <autoFilter ref="A1:J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8" t="str">
        <f>IF(项目基本情况!B9="房地产市场价值","估价结果一览表","结果表-2")</f>
        <v>估价结果一览表</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在建建筑物价值</v>
      </c>
      <c r="G2" s="2999"/>
      <c r="H2" s="2999" t="str">
        <f>IF(项目基本情况!B9="房地产市场价值","房地产市场价值","房地产价值")</f>
        <v>房地产市场价值</v>
      </c>
      <c r="I2" s="2999"/>
    </row>
    <row r="3" spans="1:9" ht="15">
      <c r="A3" s="3000"/>
      <c r="B3" s="3000"/>
      <c r="C3" s="3000"/>
      <c r="D3" s="1047" t="s">
        <v>1638</v>
      </c>
      <c r="E3" s="1047" t="s">
        <v>1644</v>
      </c>
      <c r="F3" s="1047" t="s">
        <v>1638</v>
      </c>
      <c r="G3" s="1047" t="s">
        <v>1639</v>
      </c>
      <c r="H3" s="1047" t="s">
        <v>1638</v>
      </c>
      <c r="I3" s="1047" t="s">
        <v>1639</v>
      </c>
    </row>
    <row r="4" spans="1:9" ht="15">
      <c r="A4" s="1976" t="str">
        <f>项目基本情况!S2</f>
        <v>北京市海淀区八家嘉苑房地产</v>
      </c>
      <c r="B4" s="1047">
        <f>项目基本情况!C17</f>
        <v>39021.709999999977</v>
      </c>
      <c r="C4" s="1047">
        <f>项目基本情况!C18</f>
        <v>2227.66</v>
      </c>
      <c r="D4" s="1047" t="e">
        <f ca="1">结果表!D118</f>
        <v>#REF!</v>
      </c>
      <c r="E4" s="1047" t="e">
        <f ca="1">结果表!E118</f>
        <v>#REF!</v>
      </c>
      <c r="F4" s="1047" t="e">
        <f ca="1">结果表!F118</f>
        <v>#REF!</v>
      </c>
      <c r="G4" s="1047" t="e">
        <f ca="1">结果表!G118</f>
        <v>#REF!</v>
      </c>
      <c r="H4" s="1047">
        <f ca="1">结果表!H118</f>
        <v>45557</v>
      </c>
      <c r="I4" s="1047">
        <f ca="1">结果表!I118</f>
        <v>11675</v>
      </c>
    </row>
    <row r="5" spans="1:9" ht="30" customHeight="1">
      <c r="A5" s="3000" t="s">
        <v>1640</v>
      </c>
      <c r="B5" s="3000"/>
      <c r="C5" s="3000"/>
      <c r="D5" s="3001" t="e">
        <f ca="1">结果表!D119</f>
        <v>#REF!</v>
      </c>
      <c r="E5" s="3001"/>
      <c r="F5" s="3001" t="e">
        <f ca="1">结果表!F119</f>
        <v>#REF!</v>
      </c>
      <c r="G5" s="3001"/>
      <c r="H5" s="3001" t="str">
        <f ca="1">结果表!H119</f>
        <v>肆亿伍仟伍佰伍拾柒万元整</v>
      </c>
      <c r="I5" s="3001"/>
    </row>
    <row r="6" spans="1:9" ht="15.75">
      <c r="A6" s="3002" t="str">
        <f>结果表!A120</f>
        <v/>
      </c>
      <c r="B6" s="3002"/>
      <c r="C6" s="3002"/>
      <c r="D6" s="3002">
        <f>结果表!D120</f>
        <v>0</v>
      </c>
      <c r="E6" s="3002"/>
      <c r="F6" s="3002"/>
      <c r="G6" s="3002"/>
      <c r="H6" s="3002"/>
      <c r="I6" s="3002"/>
    </row>
    <row r="7" spans="1:9" ht="15">
      <c r="A7" s="3000" t="s">
        <v>1640</v>
      </c>
      <c r="B7" s="3000"/>
      <c r="C7" s="3000"/>
      <c r="D7" s="3003" t="str">
        <f>结果表!D121</f>
        <v>零元整</v>
      </c>
      <c r="E7" s="3004"/>
      <c r="F7" s="3004"/>
      <c r="G7" s="3004"/>
      <c r="H7" s="3004"/>
      <c r="I7" s="3005"/>
    </row>
    <row r="8" spans="1:9" ht="15.75">
      <c r="A8" s="3002" t="str">
        <f>结果表!A122</f>
        <v/>
      </c>
      <c r="B8" s="3002"/>
      <c r="C8" s="3002"/>
      <c r="D8" s="3002">
        <f ca="1">结果表!D122</f>
        <v>45557</v>
      </c>
      <c r="E8" s="3002"/>
      <c r="F8" s="3002"/>
      <c r="G8" s="3002"/>
      <c r="H8" s="3002"/>
      <c r="I8" s="3002"/>
    </row>
    <row r="9" spans="1:9" ht="15">
      <c r="A9" s="3000" t="s">
        <v>1640</v>
      </c>
      <c r="B9" s="3000"/>
      <c r="C9" s="3000"/>
      <c r="D9" s="3001" t="str">
        <f ca="1">结果表!D123</f>
        <v>肆亿伍仟伍佰伍拾柒万元整</v>
      </c>
      <c r="E9" s="3001"/>
      <c r="F9" s="3001"/>
      <c r="G9" s="3001"/>
      <c r="H9" s="3001"/>
      <c r="I9" s="3001"/>
    </row>
    <row r="10" spans="1:9" ht="15.75">
      <c r="A10" s="3002" t="str">
        <f>结果表!A124</f>
        <v/>
      </c>
      <c r="B10" s="3002"/>
      <c r="C10" s="3002"/>
      <c r="D10" s="3002" t="str">
        <f>结果表!D124</f>
        <v>——</v>
      </c>
      <c r="E10" s="3002"/>
      <c r="F10" s="3002"/>
      <c r="G10" s="3002"/>
      <c r="H10" s="3002"/>
      <c r="I10" s="3002"/>
    </row>
    <row r="11" spans="1:9" ht="15">
      <c r="A11" s="3000" t="s">
        <v>1640</v>
      </c>
      <c r="B11" s="3000"/>
      <c r="C11" s="3000"/>
      <c r="D11" s="3001" t="e">
        <f>结果表!D125</f>
        <v>#VALUE!</v>
      </c>
      <c r="E11" s="3001"/>
      <c r="F11" s="3001"/>
      <c r="G11" s="3001"/>
      <c r="H11" s="3001"/>
      <c r="I11" s="3001"/>
    </row>
    <row r="12" spans="1:9" ht="15.75">
      <c r="A12" s="3002" t="str">
        <f>结果表!A126</f>
        <v/>
      </c>
      <c r="B12" s="3002"/>
      <c r="C12" s="3002"/>
      <c r="D12" s="3002" t="str">
        <f>结果表!D126</f>
        <v>——</v>
      </c>
      <c r="E12" s="3002"/>
      <c r="F12" s="3002"/>
      <c r="G12" s="3002"/>
      <c r="H12" s="3002"/>
      <c r="I12" s="3002"/>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9" t="s">
        <v>1662</v>
      </c>
      <c r="B1" s="3009"/>
      <c r="C1" s="3009"/>
      <c r="D1" s="3009"/>
    </row>
    <row r="2" spans="1:4" ht="18">
      <c r="A2" s="3010" t="s">
        <v>1646</v>
      </c>
      <c r="B2" s="3010"/>
      <c r="C2" s="3010"/>
      <c r="D2" s="3010"/>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李立</v>
      </c>
      <c r="B5" s="1982">
        <f ca="1">项目基本情况!E4</f>
        <v>1119970074</v>
      </c>
      <c r="C5" s="1985"/>
      <c r="D5" s="1984" t="s">
        <v>1651</v>
      </c>
    </row>
    <row r="6" spans="1:4" ht="18">
      <c r="A6" s="3010" t="s">
        <v>1652</v>
      </c>
      <c r="B6" s="3010"/>
      <c r="C6" s="3010"/>
      <c r="D6" s="301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1"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5" t="s">
        <v>1656</v>
      </c>
      <c r="B16" s="3015"/>
      <c r="C16" s="3015"/>
      <c r="D16" s="3015"/>
    </row>
    <row r="17" spans="1:4" ht="144" customHeight="1">
      <c r="A17" s="3015" t="s">
        <v>1657</v>
      </c>
      <c r="B17" s="3015"/>
      <c r="C17" s="3015"/>
      <c r="D17" s="3015"/>
    </row>
    <row r="18" spans="1:4" ht="15.75" customHeight="1">
      <c r="A18" s="3012" t="str">
        <f>IF(项目基本情况!B8="抵押",结果表!K120,"——")</f>
        <v>故，本次评估不存在</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1658</v>
      </c>
      <c r="B22" s="3017"/>
      <c r="C22" s="3017"/>
      <c r="D22" s="301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3" t="s">
        <v>1669</v>
      </c>
      <c r="B15" s="3018" t="s">
        <v>136</v>
      </c>
      <c r="C15" s="3019"/>
    </row>
    <row r="16" spans="1:7" ht="13.5">
      <c r="A16" s="3024"/>
      <c r="B16" s="3018" t="s">
        <v>69</v>
      </c>
      <c r="C16" s="3019"/>
    </row>
    <row r="17" spans="1:3" ht="13.5">
      <c r="A17" s="3024"/>
      <c r="B17" s="3021" t="s">
        <v>1670</v>
      </c>
      <c r="C17" s="2003" t="s">
        <v>1669</v>
      </c>
    </row>
    <row r="18" spans="1:3" ht="13.5">
      <c r="A18" s="3024"/>
      <c r="B18" s="3021"/>
      <c r="C18" s="2003" t="s">
        <v>1671</v>
      </c>
    </row>
    <row r="19" spans="1:3" ht="13.5">
      <c r="A19" s="3024"/>
      <c r="B19" s="3021"/>
      <c r="C19" s="2003" t="s">
        <v>1672</v>
      </c>
    </row>
    <row r="20" spans="1:3" ht="13.5">
      <c r="A20" s="3025"/>
      <c r="B20" s="3020" t="s">
        <v>1673</v>
      </c>
      <c r="C20" s="3019"/>
    </row>
    <row r="21" spans="1:3" ht="13.5">
      <c r="A21" s="2004" t="s">
        <v>1674</v>
      </c>
      <c r="B21" s="2005"/>
      <c r="C21" s="2006"/>
    </row>
    <row r="22" spans="1:3" ht="13.5">
      <c r="A22" s="3022" t="s">
        <v>1675</v>
      </c>
      <c r="B22" s="3020" t="s">
        <v>1676</v>
      </c>
      <c r="C22" s="3019"/>
    </row>
    <row r="23" spans="1:3" ht="13.5">
      <c r="A23" s="3022"/>
      <c r="B23" s="3020" t="s">
        <v>1677</v>
      </c>
      <c r="C23" s="3019"/>
    </row>
    <row r="24" spans="1:3" ht="13.5">
      <c r="A24" s="3022"/>
      <c r="B24" s="3020" t="s">
        <v>1678</v>
      </c>
      <c r="C24" s="3019"/>
    </row>
    <row r="25" spans="1:3" ht="13.5">
      <c r="A25" s="3022"/>
      <c r="B25" s="3021" t="s">
        <v>1679</v>
      </c>
      <c r="C25" s="2003" t="s">
        <v>1680</v>
      </c>
    </row>
    <row r="26" spans="1:3" ht="13.5">
      <c r="A26" s="3022"/>
      <c r="B26" s="3021"/>
      <c r="C26" s="2003" t="s">
        <v>1681</v>
      </c>
    </row>
    <row r="27" spans="1:3" ht="13.5">
      <c r="A27" s="3022"/>
      <c r="B27" s="3021"/>
      <c r="C27" s="2003" t="s">
        <v>1682</v>
      </c>
    </row>
    <row r="28" spans="1:3" ht="13.5">
      <c r="A28" s="3022"/>
      <c r="B28" s="3021"/>
      <c r="C28" s="2003" t="s">
        <v>1683</v>
      </c>
    </row>
    <row r="29" spans="1:3" ht="13.5">
      <c r="A29" s="3022"/>
      <c r="B29" s="3021"/>
      <c r="C29" s="2003" t="s">
        <v>1684</v>
      </c>
    </row>
    <row r="30" spans="1:3" ht="13.5">
      <c r="A30" s="3022"/>
      <c r="B30" s="3021"/>
      <c r="C30" s="2003" t="s">
        <v>1685</v>
      </c>
    </row>
    <row r="31" spans="1:3" ht="13.5">
      <c r="A31" s="3022"/>
      <c r="B31" s="3021"/>
      <c r="C31" s="2003" t="s">
        <v>1686</v>
      </c>
    </row>
    <row r="32" spans="1:3" ht="13.5">
      <c r="A32" s="3022"/>
      <c r="B32" s="3021"/>
      <c r="C32" s="2003" t="s">
        <v>1687</v>
      </c>
    </row>
    <row r="33" spans="1:3" ht="13.5">
      <c r="A33" s="3022"/>
      <c r="B33" s="302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t="str">
        <f ca="1">IF(C7&lt;B2,"已过期",1120050019)</f>
        <v>已过期</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3052</v>
      </c>
      <c r="B12" s="1025">
        <v>1120110054</v>
      </c>
      <c r="C12" s="2945">
        <v>43937</v>
      </c>
      <c r="D12" s="1705" t="s">
        <v>3052</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t="str">
        <f ca="1">IF(C22&lt;B2,"已过期",1120020033)</f>
        <v>已过期</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26" t="s">
        <v>846</v>
      </c>
      <c r="B25" s="3026"/>
      <c r="C25" s="3026"/>
      <c r="D25" s="3026"/>
      <c r="E25" s="3026"/>
      <c r="F25" s="3026"/>
      <c r="G25" s="3026"/>
    </row>
    <row r="26" spans="1:7" s="1028" customFormat="1" ht="24" customHeight="1">
      <c r="A26" s="3027" t="s">
        <v>847</v>
      </c>
      <c r="B26" s="3027"/>
      <c r="C26" s="3028"/>
      <c r="D26" s="3029" t="s">
        <v>848</v>
      </c>
      <c r="E26" s="3027"/>
      <c r="F26" s="3027"/>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报告用面积表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2018-10-22T02:24:46Z</dcterms:modified>
</cp:coreProperties>
</file>