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清单" sheetId="78"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年期修正系数" sheetId="81" r:id="rId23"/>
    <sheet name="假设开发法" sheetId="12" r:id="rId24"/>
    <sheet name="收益法" sheetId="15" state="hidden" r:id="rId25"/>
    <sheet name="收益法 (元)" sheetId="67" state="hidden" r:id="rId26"/>
    <sheet name="收益法（汇总）" sheetId="70" state="hidden" r:id="rId27"/>
    <sheet name="酒店收入计算" sheetId="66" state="hidden" r:id="rId28"/>
    <sheet name="比较法-住宅" sheetId="21"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Sheet1" sheetId="77" state="hidden" r:id="rId35"/>
    <sheet name="土地比较法-工业" sheetId="40"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 name="Sheet2" sheetId="79" r:id="rId48"/>
    <sheet name="商业" sheetId="80" r:id="rId49"/>
  </sheets>
  <externalReferences>
    <externalReference r:id="rId50"/>
    <externalReference r:id="rId51"/>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1" hidden="1">'数据-基础表'!$A$12:$AT$587</definedName>
    <definedName name="_xlnm._FilterDatabase" localSheetId="35"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4">收益法!$A$1:$AK$69</definedName>
    <definedName name="_xlnm.Print_Area" localSheetId="25">'收益法 (元)'!$A$1:$AK$69</definedName>
    <definedName name="_xlnm.Print_Area" localSheetId="14">'数据-汇总表'!$A$1:$I$32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 localSheetId="22">[1]定义!$F$2:$F$4</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H10" i="81" l="1"/>
  <c r="I10" i="81"/>
  <c r="J10" i="81" s="1"/>
  <c r="F10" i="21" s="1"/>
  <c r="H10" i="21" l="1"/>
  <c r="J10" i="21"/>
  <c r="I46" i="39"/>
  <c r="G46" i="39"/>
  <c r="E46" i="39"/>
  <c r="D10" i="81"/>
  <c r="F10" i="81"/>
  <c r="D9" i="81"/>
  <c r="F9" i="81"/>
  <c r="E3" i="81"/>
  <c r="B3" i="81"/>
  <c r="B1" i="81"/>
  <c r="C5" i="81"/>
  <c r="D5" i="81"/>
  <c r="C4" i="81"/>
  <c r="D4" i="81"/>
  <c r="C16" i="81"/>
  <c r="C13" i="81"/>
  <c r="C3" i="81"/>
  <c r="D3" i="81"/>
  <c r="B13" i="81"/>
  <c r="B16" i="81"/>
  <c r="I38" i="39"/>
  <c r="G38" i="39"/>
  <c r="E38" i="39"/>
  <c r="I7" i="39"/>
  <c r="I5" i="39"/>
  <c r="F17" i="80"/>
  <c r="G7" i="39"/>
  <c r="E7" i="39"/>
  <c r="G5" i="39"/>
  <c r="E5" i="39"/>
  <c r="O16" i="80"/>
  <c r="O15" i="80"/>
  <c r="O14" i="80"/>
  <c r="O13" i="80"/>
  <c r="O12" i="80"/>
  <c r="O11" i="80"/>
  <c r="O10" i="80"/>
  <c r="O9" i="80"/>
  <c r="O8" i="80"/>
  <c r="O6" i="80"/>
  <c r="O4" i="80"/>
  <c r="O3" i="80"/>
  <c r="O2" i="80"/>
  <c r="E717" i="78"/>
  <c r="I704" i="78"/>
  <c r="H705" i="78"/>
  <c r="E708" i="78"/>
  <c r="F706" i="78"/>
  <c r="E706" i="78"/>
  <c r="A3" i="3"/>
  <c r="I13" i="3"/>
  <c r="H694" i="78"/>
  <c r="B15" i="74"/>
  <c r="C38" i="39"/>
  <c r="M697" i="78"/>
  <c r="L697" i="78"/>
  <c r="H700" i="78"/>
  <c r="H693" i="78"/>
  <c r="F19" i="6"/>
  <c r="I693" i="78"/>
  <c r="E71" i="39"/>
  <c r="F71" i="39"/>
  <c r="G71" i="39"/>
  <c r="H71" i="39"/>
  <c r="I71" i="39"/>
  <c r="J71" i="39"/>
  <c r="K71" i="39"/>
  <c r="L71" i="39"/>
  <c r="M71" i="39"/>
  <c r="N71" i="39"/>
  <c r="O71" i="39"/>
  <c r="D71" i="39"/>
  <c r="F16" i="77"/>
  <c r="F15" i="77"/>
  <c r="F14" i="77"/>
  <c r="F13" i="77"/>
  <c r="F12" i="77"/>
  <c r="F11" i="77"/>
  <c r="F10" i="77"/>
  <c r="F9" i="77"/>
  <c r="F8" i="77"/>
  <c r="F7" i="77"/>
  <c r="F6" i="77"/>
  <c r="F5" i="77"/>
  <c r="F4" i="77"/>
  <c r="F3" i="77"/>
  <c r="F2" i="77"/>
  <c r="D3" i="4"/>
  <c r="AD5" i="71"/>
  <c r="AH5" i="71"/>
  <c r="AG5" i="71"/>
  <c r="AE5" i="71"/>
  <c r="AF5" i="71"/>
  <c r="Q5" i="71"/>
  <c r="P5" i="71"/>
  <c r="O5" i="71"/>
  <c r="N5" i="71"/>
  <c r="G20" i="43"/>
  <c r="E41" i="43"/>
  <c r="C41" i="43"/>
  <c r="L3" i="71"/>
  <c r="AH3" i="71"/>
  <c r="K3" i="71"/>
  <c r="J3" i="71"/>
  <c r="AE3" i="71"/>
  <c r="I3" i="71"/>
  <c r="AH6" i="71"/>
  <c r="AG6" i="71"/>
  <c r="AE6" i="71"/>
  <c r="AF6" i="71"/>
  <c r="AD6" i="71"/>
  <c r="Q6" i="71"/>
  <c r="Q7" i="71"/>
  <c r="P6" i="71"/>
  <c r="P7" i="71"/>
  <c r="O6" i="71"/>
  <c r="O7" i="71"/>
  <c r="N6" i="71"/>
  <c r="N7" i="71"/>
  <c r="N8" i="71"/>
  <c r="AH7" i="71"/>
  <c r="AG7" i="71"/>
  <c r="AE7" i="71"/>
  <c r="AF7" i="71"/>
  <c r="AD7" i="71"/>
  <c r="Q8" i="71"/>
  <c r="P8" i="71"/>
  <c r="O8" i="71"/>
  <c r="M19" i="43"/>
  <c r="D10" i="71"/>
  <c r="AH8" i="71"/>
  <c r="AG8" i="71"/>
  <c r="AE8" i="71"/>
  <c r="AF8" i="71"/>
  <c r="AD8" i="71"/>
  <c r="AD9" i="71"/>
  <c r="AG9" i="71"/>
  <c r="AH9" i="71"/>
  <c r="AE9" i="71"/>
  <c r="AF9" i="71"/>
  <c r="N9" i="71"/>
  <c r="Q9" i="71"/>
  <c r="P9" i="71"/>
  <c r="O9" i="71"/>
  <c r="C9" i="71"/>
  <c r="C8" i="71"/>
  <c r="Q10" i="71"/>
  <c r="F9" i="71"/>
  <c r="F8" i="71"/>
  <c r="F7" i="71"/>
  <c r="P10" i="71"/>
  <c r="E9" i="71"/>
  <c r="E8" i="71"/>
  <c r="E7" i="71"/>
  <c r="O10" i="71"/>
  <c r="N10" i="71"/>
  <c r="B9" i="71"/>
  <c r="B8" i="71"/>
  <c r="B7" i="71"/>
  <c r="B6" i="71"/>
  <c r="B5" i="71"/>
  <c r="V9"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A19" i="62"/>
  <c r="A12" i="62"/>
  <c r="B58" i="72"/>
  <c r="A120" i="9"/>
  <c r="H2" i="52"/>
  <c r="A1" i="52"/>
  <c r="A3" i="53"/>
  <c r="Q11" i="71"/>
  <c r="P11" i="71"/>
  <c r="O11" i="71"/>
  <c r="N11" i="71"/>
  <c r="A15" i="51"/>
  <c r="B12" i="72"/>
  <c r="C76" i="9"/>
  <c r="I107" i="40"/>
  <c r="K6" i="4"/>
  <c r="M56" i="9"/>
  <c r="B22" i="31"/>
  <c r="N56" i="9"/>
  <c r="K56" i="9"/>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B74" i="72"/>
  <c r="Y12" i="43"/>
  <c r="Y10" i="43"/>
  <c r="AJ9" i="43"/>
  <c r="AJ12" i="43"/>
  <c r="AI9" i="43"/>
  <c r="AI12" i="43"/>
  <c r="AH9" i="43"/>
  <c r="AG9" i="43"/>
  <c r="AF9" i="43"/>
  <c r="AF12" i="43"/>
  <c r="AE9" i="43"/>
  <c r="AD9" i="43"/>
  <c r="AC9" i="43"/>
  <c r="AB9" i="43"/>
  <c r="AB12" i="43"/>
  <c r="AA9" i="43"/>
  <c r="AA12" i="43"/>
  <c r="Z9" i="43"/>
  <c r="AA10" i="43"/>
  <c r="AB10" i="43"/>
  <c r="AF10" i="43"/>
  <c r="AJ10" i="43"/>
  <c r="K49" i="9"/>
  <c r="E107" i="9"/>
  <c r="A122" i="9"/>
  <c r="A8" i="52"/>
  <c r="E111" i="9"/>
  <c r="A126" i="9"/>
  <c r="E109" i="9"/>
  <c r="A124" i="9"/>
  <c r="B44" i="72"/>
  <c r="B42" i="72"/>
  <c r="B69" i="72"/>
  <c r="B68" i="72"/>
  <c r="B63" i="72"/>
  <c r="B62" i="72"/>
  <c r="B16" i="72"/>
  <c r="B65" i="72"/>
  <c r="B60" i="72"/>
  <c r="B59" i="72"/>
  <c r="B67" i="72"/>
  <c r="B66" i="72"/>
  <c r="B10" i="72"/>
  <c r="C53" i="10"/>
  <c r="B51" i="10"/>
  <c r="B19" i="72"/>
  <c r="A18" i="51"/>
  <c r="B13" i="72"/>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E53" i="71"/>
  <c r="P53" i="71"/>
  <c r="C53" i="71"/>
  <c r="B53" i="71"/>
  <c r="S53"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C44" i="71"/>
  <c r="N42" i="71"/>
  <c r="B43" i="71"/>
  <c r="B44" i="71"/>
  <c r="B45" i="71"/>
  <c r="S45" i="71"/>
  <c r="D42" i="71"/>
  <c r="Q41" i="71"/>
  <c r="P41" i="71"/>
  <c r="O41" i="71"/>
  <c r="N41" i="71"/>
  <c r="Q40" i="71"/>
  <c r="P40" i="71"/>
  <c r="O40" i="71"/>
  <c r="N40" i="71"/>
  <c r="Q39" i="71"/>
  <c r="P39" i="71"/>
  <c r="O39" i="71"/>
  <c r="N39" i="71"/>
  <c r="Q38" i="71"/>
  <c r="F39" i="71"/>
  <c r="F40" i="71"/>
  <c r="F41" i="71"/>
  <c r="V41" i="71"/>
  <c r="P38" i="71"/>
  <c r="E39" i="71"/>
  <c r="O38" i="71"/>
  <c r="C39" i="71"/>
  <c r="C40" i="71"/>
  <c r="N38" i="71"/>
  <c r="B39" i="71"/>
  <c r="B40" i="71"/>
  <c r="B41" i="71"/>
  <c r="S41" i="71"/>
  <c r="D38" i="71"/>
  <c r="Q37" i="71"/>
  <c r="P37" i="71"/>
  <c r="O37" i="71"/>
  <c r="N37" i="71"/>
  <c r="Q36" i="71"/>
  <c r="P36" i="71"/>
  <c r="O36" i="71"/>
  <c r="N36" i="71"/>
  <c r="Q35" i="71"/>
  <c r="P35" i="71"/>
  <c r="O35" i="71"/>
  <c r="N35" i="71"/>
  <c r="Q34" i="71"/>
  <c r="F35" i="71"/>
  <c r="F36" i="71"/>
  <c r="P34" i="71"/>
  <c r="E35" i="71"/>
  <c r="E36" i="71"/>
  <c r="E37" i="71"/>
  <c r="U37" i="71"/>
  <c r="O34" i="71"/>
  <c r="C35" i="71"/>
  <c r="C36" i="71"/>
  <c r="N34" i="71"/>
  <c r="B35" i="71"/>
  <c r="B36" i="71"/>
  <c r="B37" i="71"/>
  <c r="S37" i="71"/>
  <c r="D34" i="71"/>
  <c r="T33" i="71"/>
  <c r="Q33" i="71"/>
  <c r="P33" i="71"/>
  <c r="O33" i="71"/>
  <c r="N33" i="71"/>
  <c r="D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Q26" i="71"/>
  <c r="F27" i="71"/>
  <c r="F28" i="71"/>
  <c r="F29" i="71"/>
  <c r="V29" i="71"/>
  <c r="P26" i="71"/>
  <c r="E27" i="71"/>
  <c r="E28" i="71"/>
  <c r="E29" i="71"/>
  <c r="U29" i="71"/>
  <c r="O26" i="71"/>
  <c r="C27" i="71"/>
  <c r="D27" i="71"/>
  <c r="N26" i="71"/>
  <c r="B27" i="71"/>
  <c r="B28" i="71"/>
  <c r="B29" i="71"/>
  <c r="S29" i="71"/>
  <c r="D26" i="71"/>
  <c r="Q25" i="71"/>
  <c r="P25" i="71"/>
  <c r="O25" i="71"/>
  <c r="N25" i="71"/>
  <c r="AB24" i="71"/>
  <c r="Q24" i="71"/>
  <c r="P24" i="71"/>
  <c r="O24" i="71"/>
  <c r="Y24" i="71"/>
  <c r="Z24" i="71"/>
  <c r="N24" i="71"/>
  <c r="X24" i="71"/>
  <c r="Q23" i="71"/>
  <c r="AB23" i="71"/>
  <c r="P23" i="71"/>
  <c r="O23" i="71"/>
  <c r="N23" i="71"/>
  <c r="Q22" i="71"/>
  <c r="F23" i="71"/>
  <c r="F24" i="71"/>
  <c r="F25" i="71"/>
  <c r="V25" i="71"/>
  <c r="P22" i="71"/>
  <c r="O22" i="71"/>
  <c r="C23" i="71"/>
  <c r="D23" i="71"/>
  <c r="N22" i="71"/>
  <c r="D22" i="71"/>
  <c r="Q21" i="71"/>
  <c r="AB21" i="71"/>
  <c r="P21" i="71"/>
  <c r="O21" i="71"/>
  <c r="Y21" i="71"/>
  <c r="Z21" i="71"/>
  <c r="N21" i="71"/>
  <c r="Q20" i="71"/>
  <c r="P20" i="71"/>
  <c r="AA20" i="71"/>
  <c r="O20" i="71"/>
  <c r="Y20" i="71"/>
  <c r="Z20" i="71"/>
  <c r="N20" i="71"/>
  <c r="Q19" i="71"/>
  <c r="P19" i="71"/>
  <c r="O19" i="71"/>
  <c r="N19" i="71"/>
  <c r="Q18" i="71"/>
  <c r="F19" i="71"/>
  <c r="F20" i="71"/>
  <c r="F21" i="71"/>
  <c r="V21" i="71"/>
  <c r="P18" i="71"/>
  <c r="O18" i="71"/>
  <c r="C19" i="71"/>
  <c r="N18" i="71"/>
  <c r="D18" i="71"/>
  <c r="Q17" i="71"/>
  <c r="AB17" i="71"/>
  <c r="P17" i="71"/>
  <c r="O17" i="71"/>
  <c r="Y17" i="71"/>
  <c r="Z17" i="71"/>
  <c r="N17" i="71"/>
  <c r="Q16" i="71"/>
  <c r="P16" i="71"/>
  <c r="AA10" i="71"/>
  <c r="O16" i="71"/>
  <c r="Y16" i="71"/>
  <c r="Z16" i="71"/>
  <c r="N16" i="71"/>
  <c r="X14" i="71"/>
  <c r="Q15" i="71"/>
  <c r="P15" i="71"/>
  <c r="O15" i="71"/>
  <c r="N15" i="71"/>
  <c r="Q14" i="71"/>
  <c r="AB14" i="71"/>
  <c r="P14" i="71"/>
  <c r="O14" i="71"/>
  <c r="Y11" i="71"/>
  <c r="Z11" i="71"/>
  <c r="N14" i="71"/>
  <c r="D14" i="71"/>
  <c r="O13" i="71"/>
  <c r="N13" i="71"/>
  <c r="X13" i="71"/>
  <c r="B15" i="71"/>
  <c r="B16" i="71"/>
  <c r="B17" i="71"/>
  <c r="S17" i="71"/>
  <c r="E15" i="71"/>
  <c r="E16" i="71"/>
  <c r="E17" i="71"/>
  <c r="U17" i="71"/>
  <c r="AA14" i="71"/>
  <c r="B19" i="71"/>
  <c r="B20" i="71"/>
  <c r="B21" i="71"/>
  <c r="S21" i="71"/>
  <c r="B23" i="71"/>
  <c r="B24" i="71"/>
  <c r="B25" i="71"/>
  <c r="S25" i="71"/>
  <c r="X22" i="71"/>
  <c r="E23" i="71"/>
  <c r="E24" i="71"/>
  <c r="E25" i="71"/>
  <c r="U25" i="71"/>
  <c r="N53" i="71"/>
  <c r="E19" i="71"/>
  <c r="E20" i="71"/>
  <c r="E21" i="71"/>
  <c r="U21" i="71"/>
  <c r="C15" i="71"/>
  <c r="C16" i="71"/>
  <c r="C17" i="71"/>
  <c r="X15" i="71"/>
  <c r="X16" i="71"/>
  <c r="X17" i="71"/>
  <c r="Y18" i="71"/>
  <c r="Z18" i="71"/>
  <c r="AA19" i="71"/>
  <c r="X21" i="71"/>
  <c r="AA21" i="71"/>
  <c r="Y22" i="71"/>
  <c r="Z22" i="71"/>
  <c r="X23" i="71"/>
  <c r="AA23" i="71"/>
  <c r="F37" i="71"/>
  <c r="V37" i="71"/>
  <c r="C13" i="71"/>
  <c r="Y10" i="71"/>
  <c r="Z10" i="71"/>
  <c r="Y12" i="71"/>
  <c r="Z12" i="71"/>
  <c r="B13" i="71"/>
  <c r="B12" i="71"/>
  <c r="B11" i="71"/>
  <c r="X11" i="71"/>
  <c r="D15" i="71"/>
  <c r="C28" i="71"/>
  <c r="C29" i="71"/>
  <c r="C32" i="71"/>
  <c r="D32" i="71"/>
  <c r="D31" i="71"/>
  <c r="D35" i="71"/>
  <c r="P13" i="71"/>
  <c r="E40" i="71"/>
  <c r="E41" i="71"/>
  <c r="U41" i="71"/>
  <c r="E44" i="71"/>
  <c r="E45" i="71"/>
  <c r="U45" i="71"/>
  <c r="E48" i="71"/>
  <c r="E49" i="71"/>
  <c r="U49" i="71"/>
  <c r="U53" i="71"/>
  <c r="E52" i="71"/>
  <c r="Q13" i="71"/>
  <c r="AB10" i="71"/>
  <c r="D39" i="71"/>
  <c r="D43" i="71"/>
  <c r="C48" i="71"/>
  <c r="D47" i="71"/>
  <c r="N52" i="71"/>
  <c r="B51" i="71"/>
  <c r="N51" i="71"/>
  <c r="T53" i="71"/>
  <c r="O53" i="71"/>
  <c r="D53" i="71"/>
  <c r="C52" i="71"/>
  <c r="Q53" i="71"/>
  <c r="C56" i="71"/>
  <c r="E56" i="71"/>
  <c r="E55" i="71"/>
  <c r="D57" i="71"/>
  <c r="C60" i="71"/>
  <c r="E60" i="71"/>
  <c r="E59" i="71"/>
  <c r="D61" i="71"/>
  <c r="C64" i="71"/>
  <c r="E64" i="71"/>
  <c r="E63" i="71"/>
  <c r="D65" i="71"/>
  <c r="C68" i="71"/>
  <c r="C72" i="71"/>
  <c r="C71" i="71"/>
  <c r="D71" i="71"/>
  <c r="T13" i="71"/>
  <c r="C12" i="71"/>
  <c r="C11" i="71"/>
  <c r="D11" i="71"/>
  <c r="F13" i="71"/>
  <c r="F12" i="71"/>
  <c r="F11" i="71"/>
  <c r="AB11" i="71"/>
  <c r="AB13" i="71"/>
  <c r="E13" i="71"/>
  <c r="E12" i="71"/>
  <c r="E11" i="71"/>
  <c r="AA3" i="71"/>
  <c r="AA11" i="71"/>
  <c r="AA13" i="71"/>
  <c r="D13" i="71"/>
  <c r="U13" i="71"/>
  <c r="C51" i="71"/>
  <c r="O52" i="71"/>
  <c r="D52" i="71"/>
  <c r="C49" i="71"/>
  <c r="D49" i="71"/>
  <c r="D48" i="71"/>
  <c r="D68" i="71"/>
  <c r="C67" i="71"/>
  <c r="D67" i="71"/>
  <c r="D60" i="71"/>
  <c r="C59" i="71"/>
  <c r="D59" i="71"/>
  <c r="N50" i="71"/>
  <c r="D72" i="71"/>
  <c r="D64" i="71"/>
  <c r="C63" i="71"/>
  <c r="D63" i="71"/>
  <c r="D56" i="71"/>
  <c r="C55" i="71"/>
  <c r="D55" i="71"/>
  <c r="P52" i="71"/>
  <c r="E51" i="71"/>
  <c r="P50" i="71"/>
  <c r="D28" i="71"/>
  <c r="D16" i="71"/>
  <c r="V13" i="71"/>
  <c r="P51" i="71"/>
  <c r="O51" i="71"/>
  <c r="D51" i="71"/>
  <c r="O50" i="71"/>
  <c r="T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103" i="39"/>
  <c r="G103" i="39"/>
  <c r="F29" i="39"/>
  <c r="AA29" i="39"/>
  <c r="Q18" i="36"/>
  <c r="Z18" i="36"/>
  <c r="D66" i="36"/>
  <c r="E66" i="36"/>
  <c r="F66" i="36"/>
  <c r="G66" i="36"/>
  <c r="H18" i="36"/>
  <c r="AB18" i="36"/>
  <c r="F18" i="36"/>
  <c r="AA18" i="36"/>
  <c r="C18" i="36"/>
  <c r="Q18" i="35"/>
  <c r="Z18" i="35"/>
  <c r="D68" i="35"/>
  <c r="E68" i="35"/>
  <c r="F18" i="35"/>
  <c r="AA18" i="35"/>
  <c r="C18" i="35"/>
  <c r="Q21" i="37"/>
  <c r="Z21" i="37"/>
  <c r="D77" i="37"/>
  <c r="E77" i="37"/>
  <c r="C21" i="37"/>
  <c r="Z21" i="34"/>
  <c r="Q21" i="34"/>
  <c r="D84" i="34"/>
  <c r="E84" i="34"/>
  <c r="F84" i="34"/>
  <c r="G84" i="34"/>
  <c r="F21" i="34"/>
  <c r="AA21" i="34"/>
  <c r="C21" i="34"/>
  <c r="Q21" i="33"/>
  <c r="Z21" i="33"/>
  <c r="D83" i="33"/>
  <c r="E83" i="33"/>
  <c r="C21" i="33"/>
  <c r="C21" i="21"/>
  <c r="Q21" i="21"/>
  <c r="Z21" i="21"/>
  <c r="D81" i="21"/>
  <c r="H19" i="21"/>
  <c r="D83" i="21"/>
  <c r="F21" i="21"/>
  <c r="AA21" i="21"/>
  <c r="G20" i="20"/>
  <c r="B86" i="43"/>
  <c r="C22" i="20"/>
  <c r="B75" i="43"/>
  <c r="B55" i="43"/>
  <c r="B66" i="43"/>
  <c r="C25" i="40"/>
  <c r="C29" i="39"/>
  <c r="S25" i="40"/>
  <c r="S18" i="36"/>
  <c r="U18" i="36"/>
  <c r="S21" i="34"/>
  <c r="F94" i="40"/>
  <c r="H25" i="40"/>
  <c r="G94" i="40"/>
  <c r="J25" i="40"/>
  <c r="H29" i="39"/>
  <c r="AB29" i="39"/>
  <c r="J29" i="39"/>
  <c r="AC29" i="39"/>
  <c r="J18" i="36"/>
  <c r="AC18" i="36"/>
  <c r="F68" i="35"/>
  <c r="H18" i="35"/>
  <c r="AB18" i="35"/>
  <c r="S18" i="35"/>
  <c r="G68" i="35"/>
  <c r="J18" i="35"/>
  <c r="F77" i="37"/>
  <c r="G77" i="37"/>
  <c r="H21" i="37"/>
  <c r="F21" i="37"/>
  <c r="AA21" i="37"/>
  <c r="H21" i="34"/>
  <c r="AB21" i="34"/>
  <c r="F83" i="33"/>
  <c r="H21" i="33"/>
  <c r="U21" i="33"/>
  <c r="F21" i="33"/>
  <c r="E83" i="21"/>
  <c r="F83" i="21"/>
  <c r="G83" i="21"/>
  <c r="H1" i="69"/>
  <c r="AC25" i="40"/>
  <c r="W25" i="40"/>
  <c r="AB25" i="40"/>
  <c r="U25" i="40"/>
  <c r="W18" i="36"/>
  <c r="AB21" i="37"/>
  <c r="U21" i="37"/>
  <c r="S21" i="37"/>
  <c r="U21" i="34"/>
  <c r="AB21" i="33"/>
  <c r="AA21" i="33"/>
  <c r="S21" i="33"/>
  <c r="U18" i="35"/>
  <c r="AC18" i="35"/>
  <c r="W18" i="35"/>
  <c r="J21" i="37"/>
  <c r="W21" i="37"/>
  <c r="J21" i="34"/>
  <c r="W21" i="34"/>
  <c r="G83" i="33"/>
  <c r="J21" i="33"/>
  <c r="W21" i="33"/>
  <c r="H21" i="21"/>
  <c r="U21" i="21"/>
  <c r="F38" i="69"/>
  <c r="E37" i="69"/>
  <c r="F36" i="69"/>
  <c r="F35" i="69"/>
  <c r="F21" i="69"/>
  <c r="C21" i="69"/>
  <c r="F20" i="69"/>
  <c r="E10" i="69"/>
  <c r="E9" i="69"/>
  <c r="F7" i="69"/>
  <c r="C7" i="69"/>
  <c r="AC21" i="37"/>
  <c r="AC21" i="34"/>
  <c r="AC21" i="33"/>
  <c r="J21" i="21"/>
  <c r="AC21" i="21"/>
  <c r="F38" i="68"/>
  <c r="E37" i="68"/>
  <c r="F36" i="68"/>
  <c r="F35" i="68"/>
  <c r="F21" i="68"/>
  <c r="C21" i="68"/>
  <c r="F20" i="68"/>
  <c r="E10" i="68"/>
  <c r="E9" i="68"/>
  <c r="F7" i="68"/>
  <c r="W21" i="21"/>
  <c r="C40" i="68"/>
  <c r="Q72" i="67"/>
  <c r="Q59" i="67"/>
  <c r="Q58" i="67"/>
  <c r="Q51" i="67"/>
  <c r="J50" i="67"/>
  <c r="M47" i="67"/>
  <c r="J53" i="67"/>
  <c r="Q52" i="67"/>
  <c r="D46" i="67"/>
  <c r="F33" i="67"/>
  <c r="F61" i="67"/>
  <c r="F23" i="67"/>
  <c r="D24" i="67"/>
  <c r="F21" i="67"/>
  <c r="F20" i="67"/>
  <c r="M19" i="67"/>
  <c r="F18" i="67"/>
  <c r="F17" i="67"/>
  <c r="F15" i="67"/>
  <c r="S2" i="4"/>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J53" i="15"/>
  <c r="F1"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B11" i="1"/>
  <c r="A12" i="1"/>
  <c r="A13" i="1"/>
  <c r="A6" i="1"/>
  <c r="E11" i="1"/>
  <c r="K10" i="1"/>
  <c r="M10" i="1"/>
  <c r="B13" i="1"/>
  <c r="E13" i="1"/>
  <c r="K13" i="1"/>
  <c r="M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I15" i="4"/>
  <c r="H15" i="4"/>
  <c r="G15" i="4"/>
  <c r="E15" i="4"/>
  <c r="F6" i="1"/>
  <c r="D15" i="4"/>
  <c r="C10" i="39"/>
  <c r="F7" i="1"/>
  <c r="L21" i="4"/>
  <c r="F19" i="4"/>
  <c r="F2" i="52"/>
  <c r="B50" i="72"/>
  <c r="D2" i="52"/>
  <c r="B46" i="72"/>
  <c r="B8" i="53"/>
  <c r="B23" i="72"/>
  <c r="L4" i="9"/>
  <c r="B17" i="72"/>
  <c r="B15" i="72"/>
  <c r="A3" i="51"/>
  <c r="C8" i="11"/>
  <c r="B2" i="49"/>
  <c r="B15" i="49" s="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B22"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C7" i="12"/>
  <c r="E20" i="6"/>
  <c r="E21" i="6"/>
  <c r="K8" i="1"/>
  <c r="M8" i="1"/>
  <c r="O8" i="1"/>
  <c r="P8" i="1"/>
  <c r="F23" i="15"/>
  <c r="D24" i="15"/>
  <c r="E22" i="6"/>
  <c r="E23" i="6"/>
  <c r="E24" i="6"/>
  <c r="E25" i="6"/>
  <c r="E26" i="6"/>
  <c r="BB13" i="3"/>
  <c r="BA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C17" i="9"/>
  <c r="D17" i="9"/>
  <c r="C18" i="9"/>
  <c r="D18" i="9"/>
  <c r="I55" i="9"/>
  <c r="F55" i="9"/>
  <c r="O53" i="9"/>
  <c r="D89" i="9"/>
  <c r="C89" i="9"/>
  <c r="C87" i="9"/>
  <c r="G12" i="1"/>
  <c r="J55" i="9"/>
  <c r="B31" i="1"/>
  <c r="E19" i="69"/>
  <c r="B52"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P550" i="3"/>
  <c r="BQ550" i="3"/>
  <c r="BL550" i="3"/>
  <c r="BR550" i="3"/>
  <c r="BS550" i="3"/>
  <c r="BT550" i="3"/>
  <c r="H551" i="3"/>
  <c r="G551" i="3"/>
  <c r="AC551" i="3"/>
  <c r="BB551" i="3"/>
  <c r="BC551" i="3"/>
  <c r="BD551" i="3"/>
  <c r="BE551" i="3"/>
  <c r="BF551" i="3"/>
  <c r="BA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G107" i="39"/>
  <c r="D105" i="39"/>
  <c r="E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B99" i="35"/>
  <c r="B97" i="35"/>
  <c r="B77" i="35"/>
  <c r="B75" i="35"/>
  <c r="J24" i="35"/>
  <c r="AC24" i="35"/>
  <c r="B73" i="35"/>
  <c r="H23" i="35"/>
  <c r="U23" i="35"/>
  <c r="B57" i="35"/>
  <c r="B61" i="35"/>
  <c r="B59" i="35"/>
  <c r="J12" i="35"/>
  <c r="W12" i="35"/>
  <c r="B131" i="34"/>
  <c r="B129" i="34"/>
  <c r="B127" i="34"/>
  <c r="B99" i="34"/>
  <c r="B97" i="34"/>
  <c r="B95" i="34"/>
  <c r="B93" i="34"/>
  <c r="B75" i="34"/>
  <c r="B73" i="34"/>
  <c r="B71" i="34"/>
  <c r="F12" i="34"/>
  <c r="S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H12" i="35"/>
  <c r="U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F9" i="34"/>
  <c r="AA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H12" i="34"/>
  <c r="Q11" i="34"/>
  <c r="Z11" i="34"/>
  <c r="Q10" i="34"/>
  <c r="Z10" i="34"/>
  <c r="F10" i="34"/>
  <c r="AA10" i="34"/>
  <c r="Q9" i="34"/>
  <c r="Z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s="1"/>
  <c r="I54" i="21"/>
  <c r="J54" i="21"/>
  <c r="G54" i="21"/>
  <c r="H54" i="21" s="1"/>
  <c r="D125" i="21"/>
  <c r="E125" i="21"/>
  <c r="F125" i="21"/>
  <c r="G125" i="21"/>
  <c r="D123" i="21"/>
  <c r="E123" i="21"/>
  <c r="F123" i="21"/>
  <c r="G123" i="21"/>
  <c r="H123" i="21"/>
  <c r="I123" i="21"/>
  <c r="J123" i="21"/>
  <c r="K123" i="21"/>
  <c r="L123" i="21"/>
  <c r="M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s="1"/>
  <c r="D66" i="21"/>
  <c r="E66" i="21"/>
  <c r="F66" i="21"/>
  <c r="G66" i="21"/>
  <c r="H66" i="21"/>
  <c r="I66" i="21"/>
  <c r="D111" i="21"/>
  <c r="E111" i="21"/>
  <c r="F111" i="21"/>
  <c r="C111" i="21"/>
  <c r="D79" i="21"/>
  <c r="E79" i="21"/>
  <c r="F79" i="21"/>
  <c r="G79" i="21"/>
  <c r="D85" i="21"/>
  <c r="F19" i="21"/>
  <c r="AA19" i="21"/>
  <c r="E81" i="21"/>
  <c r="F81" i="21"/>
  <c r="G81" i="21"/>
  <c r="D77" i="21"/>
  <c r="E77" i="21" s="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BB12" i="3"/>
  <c r="F7" i="12"/>
  <c r="D7" i="12"/>
  <c r="E7" i="12"/>
  <c r="G7" i="12"/>
  <c r="K5" i="3"/>
  <c r="I4" i="6"/>
  <c r="G3" i="43"/>
  <c r="E22" i="43"/>
  <c r="J5" i="3"/>
  <c r="BE10" i="3"/>
  <c r="BB585" i="3"/>
  <c r="BC585" i="3"/>
  <c r="BD585" i="3"/>
  <c r="BE585" i="3"/>
  <c r="BF585" i="3"/>
  <c r="BG585" i="3"/>
  <c r="BH585" i="3"/>
  <c r="BI585" i="3"/>
  <c r="BJ585" i="3"/>
  <c r="BK585" i="3"/>
  <c r="BM585" i="3"/>
  <c r="BN585" i="3"/>
  <c r="BO585" i="3"/>
  <c r="BP585" i="3"/>
  <c r="BQ585" i="3"/>
  <c r="BR585" i="3"/>
  <c r="BS585" i="3"/>
  <c r="BT585" i="3"/>
  <c r="BL585" i="3"/>
  <c r="BB586" i="3"/>
  <c r="BC586" i="3"/>
  <c r="BD586" i="3"/>
  <c r="BE586" i="3"/>
  <c r="BF586" i="3"/>
  <c r="BG586" i="3"/>
  <c r="BH586" i="3"/>
  <c r="BI586" i="3"/>
  <c r="BJ586" i="3"/>
  <c r="BK586" i="3"/>
  <c r="BM586" i="3"/>
  <c r="BN586" i="3"/>
  <c r="BO586" i="3"/>
  <c r="BL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AB10" i="21"/>
  <c r="H39" i="21"/>
  <c r="U39" i="21"/>
  <c r="J34" i="21"/>
  <c r="W34" i="21"/>
  <c r="H36" i="21"/>
  <c r="U36" i="21"/>
  <c r="F35" i="21"/>
  <c r="AA35" i="21"/>
  <c r="AC10" i="21"/>
  <c r="H26" i="21"/>
  <c r="AB26" i="21"/>
  <c r="AB19" i="21"/>
  <c r="J19" i="21"/>
  <c r="W19"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S30" i="36"/>
  <c r="AA31" i="36"/>
  <c r="AC31" i="36"/>
  <c r="W31" i="36"/>
  <c r="U31" i="36"/>
  <c r="J33" i="36"/>
  <c r="W33" i="36"/>
  <c r="H22" i="35"/>
  <c r="AB22" i="35"/>
  <c r="AC27" i="35"/>
  <c r="W28" i="35"/>
  <c r="U31" i="35"/>
  <c r="S31" i="35"/>
  <c r="F36" i="34"/>
  <c r="J35" i="34"/>
  <c r="S34" i="34"/>
  <c r="U34" i="34"/>
  <c r="H39" i="33"/>
  <c r="AB39" i="33"/>
  <c r="F26" i="33"/>
  <c r="AA26" i="33"/>
  <c r="U33" i="33"/>
  <c r="S40"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E101" i="39"/>
  <c r="F101" i="39"/>
  <c r="G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H27" i="39"/>
  <c r="U27" i="39"/>
  <c r="J19" i="39"/>
  <c r="AC19" i="39"/>
  <c r="J17" i="39"/>
  <c r="J27" i="39"/>
  <c r="AC27" i="39"/>
  <c r="F27" i="39"/>
  <c r="S40" i="21"/>
  <c r="U34" i="21"/>
  <c r="C25" i="39"/>
  <c r="C27" i="39"/>
  <c r="C21" i="39"/>
  <c r="H11" i="39"/>
  <c r="U11" i="39"/>
  <c r="S40" i="39"/>
  <c r="C15" i="39"/>
  <c r="H32" i="33"/>
  <c r="AB32" i="33"/>
  <c r="H37" i="40"/>
  <c r="U37" i="40"/>
  <c r="H36" i="40"/>
  <c r="AB36" i="40"/>
  <c r="F35" i="40"/>
  <c r="AA35" i="40"/>
  <c r="H23" i="40"/>
  <c r="AB23" i="40"/>
  <c r="H17" i="40"/>
  <c r="U17" i="40"/>
  <c r="J15" i="40"/>
  <c r="W15" i="40"/>
  <c r="J11" i="40"/>
  <c r="AB12" i="33"/>
  <c r="AA12" i="34"/>
  <c r="AB12" i="35"/>
  <c r="AB12" i="36"/>
  <c r="W32" i="40"/>
  <c r="S44" i="39"/>
  <c r="F37" i="39"/>
  <c r="AA37" i="39"/>
  <c r="J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AA12" i="36"/>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c r="H101" i="37"/>
  <c r="I101" i="37"/>
  <c r="J101" i="37"/>
  <c r="K101" i="37"/>
  <c r="L101" i="37"/>
  <c r="M101" i="37"/>
  <c r="J34" i="37"/>
  <c r="W34" i="37"/>
  <c r="S10" i="37"/>
  <c r="AB34" i="37"/>
  <c r="J33" i="37"/>
  <c r="AC33" i="37"/>
  <c r="U42" i="34"/>
  <c r="H40" i="34"/>
  <c r="U40" i="34"/>
  <c r="E114" i="34"/>
  <c r="F114" i="34"/>
  <c r="H36" i="34"/>
  <c r="U36" i="34"/>
  <c r="F37" i="34"/>
  <c r="AA37" i="34"/>
  <c r="S35" i="34"/>
  <c r="F28" i="34"/>
  <c r="F27" i="34"/>
  <c r="AA27" i="34"/>
  <c r="F25" i="34"/>
  <c r="S25" i="34"/>
  <c r="H23" i="34"/>
  <c r="J23" i="34"/>
  <c r="F19" i="34"/>
  <c r="H17" i="34"/>
  <c r="U17" i="34"/>
  <c r="F15" i="34"/>
  <c r="AA15" i="34"/>
  <c r="J15" i="34"/>
  <c r="H15" i="34"/>
  <c r="AB15" i="34"/>
  <c r="S9" i="34"/>
  <c r="W8" i="34"/>
  <c r="J28" i="34"/>
  <c r="W28" i="34"/>
  <c r="F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S12" i="36"/>
  <c r="AB30" i="36"/>
  <c r="U30" i="35"/>
  <c r="F29" i="35"/>
  <c r="S29" i="35"/>
  <c r="H29" i="35"/>
  <c r="AB29" i="35"/>
  <c r="H33" i="37"/>
  <c r="AB33" i="37"/>
  <c r="F33" i="37"/>
  <c r="AA33" i="37"/>
  <c r="U34" i="37"/>
  <c r="W33" i="37"/>
  <c r="S34" i="37"/>
  <c r="AA34" i="37"/>
  <c r="J43" i="34"/>
  <c r="AB42" i="34"/>
  <c r="J40" i="34"/>
  <c r="G114" i="34"/>
  <c r="H114" i="34"/>
  <c r="I114" i="34"/>
  <c r="J114" i="34"/>
  <c r="K114" i="34"/>
  <c r="L114" i="34"/>
  <c r="M114" i="34"/>
  <c r="H38" i="34"/>
  <c r="AB38" i="34"/>
  <c r="J36" i="34"/>
  <c r="W36" i="34"/>
  <c r="H37" i="34"/>
  <c r="U37" i="34"/>
  <c r="H25" i="34"/>
  <c r="AB25" i="34"/>
  <c r="J25" i="34"/>
  <c r="AC25" i="34"/>
  <c r="F23" i="34"/>
  <c r="AA23" i="34"/>
  <c r="J19" i="34"/>
  <c r="AC19" i="34"/>
  <c r="F17" i="34"/>
  <c r="AA17" i="34"/>
  <c r="J17" i="34"/>
  <c r="W17" i="34"/>
  <c r="AB17" i="34"/>
  <c r="S15" i="34"/>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U23" i="40"/>
  <c r="J42" i="21"/>
  <c r="AC42" i="21"/>
  <c r="H42" i="21"/>
  <c r="U42" i="21" s="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AB11" i="35"/>
  <c r="J10" i="36"/>
  <c r="AC10" i="36"/>
  <c r="AB26" i="33"/>
  <c r="AB30" i="21"/>
  <c r="AA14" i="37"/>
  <c r="AC13" i="36"/>
  <c r="W13" i="36"/>
  <c r="S11" i="36"/>
  <c r="W11" i="36"/>
  <c r="W11" i="35"/>
  <c r="AB46" i="34"/>
  <c r="AC30" i="34"/>
  <c r="AA14" i="34"/>
  <c r="S45" i="33"/>
  <c r="AB45" i="33"/>
  <c r="AB31" i="33"/>
  <c r="U31" i="33"/>
  <c r="W29" i="33"/>
  <c r="U13" i="33"/>
  <c r="AC28" i="21"/>
  <c r="S44" i="34"/>
  <c r="BA586" i="3"/>
  <c r="BA585" i="3"/>
  <c r="AZ585" i="3"/>
  <c r="F17" i="21"/>
  <c r="AA17" i="21"/>
  <c r="H17" i="21"/>
  <c r="AB17"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AZ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AZ579" i="3"/>
  <c r="BA577" i="3"/>
  <c r="BA575" i="3"/>
  <c r="AZ575" i="3"/>
  <c r="BA573" i="3"/>
  <c r="BA571" i="3"/>
  <c r="AZ571" i="3"/>
  <c r="BA569" i="3"/>
  <c r="BA567" i="3"/>
  <c r="AZ567" i="3"/>
  <c r="BA565" i="3"/>
  <c r="BA563" i="3"/>
  <c r="BA561" i="3"/>
  <c r="BA559" i="3"/>
  <c r="BA555" i="3"/>
  <c r="BA553" i="3"/>
  <c r="BA549" i="3"/>
  <c r="BA547" i="3"/>
  <c r="BA545" i="3"/>
  <c r="BA543" i="3"/>
  <c r="BA541" i="3"/>
  <c r="BA539" i="3"/>
  <c r="BA537" i="3"/>
  <c r="BA535" i="3"/>
  <c r="BA533" i="3"/>
  <c r="BA531" i="3"/>
  <c r="BA529" i="3"/>
  <c r="BA527" i="3"/>
  <c r="BA525" i="3"/>
  <c r="BA523" i="3"/>
  <c r="BA519" i="3"/>
  <c r="BA517" i="3"/>
  <c r="AZ517" i="3"/>
  <c r="BA515" i="3"/>
  <c r="BA513" i="3"/>
  <c r="AZ513" i="3"/>
  <c r="BA511" i="3"/>
  <c r="BA507" i="3"/>
  <c r="BA505" i="3"/>
  <c r="BA503" i="3"/>
  <c r="BA501" i="3"/>
  <c r="BA499" i="3"/>
  <c r="BA497" i="3"/>
  <c r="BA495" i="3"/>
  <c r="AZ495" i="3"/>
  <c r="BA493" i="3"/>
  <c r="AZ560" i="3"/>
  <c r="G583" i="3"/>
  <c r="G581" i="3"/>
  <c r="G579" i="3"/>
  <c r="G577" i="3"/>
  <c r="G575" i="3"/>
  <c r="G573" i="3"/>
  <c r="G571" i="3"/>
  <c r="G569" i="3"/>
  <c r="G567" i="3"/>
  <c r="G565" i="3"/>
  <c r="G563" i="3"/>
  <c r="G561" i="3"/>
  <c r="BL558" i="3"/>
  <c r="BA557" i="3"/>
  <c r="AC557" i="3"/>
  <c r="G557" i="3"/>
  <c r="BQ557" i="3"/>
  <c r="BL557" i="3"/>
  <c r="BQ583" i="3"/>
  <c r="BL583" i="3"/>
  <c r="AZ583" i="3"/>
  <c r="BQ581" i="3"/>
  <c r="BL581" i="3"/>
  <c r="BQ579" i="3"/>
  <c r="BL579" i="3"/>
  <c r="BQ577" i="3"/>
  <c r="BL577" i="3"/>
  <c r="AZ577" i="3"/>
  <c r="BQ575" i="3"/>
  <c r="BL575" i="3"/>
  <c r="BQ573" i="3"/>
  <c r="BL573" i="3"/>
  <c r="AZ573" i="3"/>
  <c r="BQ571" i="3"/>
  <c r="BL571" i="3"/>
  <c r="BQ569" i="3"/>
  <c r="BL569" i="3"/>
  <c r="AZ569" i="3"/>
  <c r="BQ567" i="3"/>
  <c r="BL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AZ521" i="3"/>
  <c r="BL520" i="3"/>
  <c r="AZ520" i="3"/>
  <c r="G519" i="3"/>
  <c r="G517" i="3"/>
  <c r="G515" i="3"/>
  <c r="G513" i="3"/>
  <c r="G511" i="3"/>
  <c r="BQ519" i="3"/>
  <c r="BL519" i="3"/>
  <c r="AZ519" i="3"/>
  <c r="BQ517" i="3"/>
  <c r="BL517" i="3"/>
  <c r="BQ515" i="3"/>
  <c r="BL515" i="3"/>
  <c r="AZ515" i="3"/>
  <c r="BQ513" i="3"/>
  <c r="BL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c r="F25" i="21"/>
  <c r="S25" i="21"/>
  <c r="J25" i="21"/>
  <c r="AC25" i="21"/>
  <c r="E125" i="33"/>
  <c r="F125" i="33"/>
  <c r="G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c r="J107" i="37"/>
  <c r="K107" i="37"/>
  <c r="L107" i="37"/>
  <c r="M107"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H37" i="39"/>
  <c r="AB37" i="39"/>
  <c r="AC37" i="39"/>
  <c r="W37" i="39"/>
  <c r="H25" i="39"/>
  <c r="AB25" i="39"/>
  <c r="J25" i="39"/>
  <c r="F25" i="39"/>
  <c r="AA25" i="39"/>
  <c r="H41" i="39"/>
  <c r="AB41" i="39"/>
  <c r="AB34" i="39"/>
  <c r="U40" i="39"/>
  <c r="W14" i="39"/>
  <c r="AA41" i="39"/>
  <c r="W9" i="39"/>
  <c r="J19" i="40"/>
  <c r="AC19" i="40"/>
  <c r="J50" i="40"/>
  <c r="B54" i="72"/>
  <c r="H103" i="9"/>
  <c r="D8" i="53"/>
  <c r="B16" i="53"/>
  <c r="B33" i="72"/>
  <c r="C7" i="37"/>
  <c r="C52" i="37"/>
  <c r="C7" i="34"/>
  <c r="C7" i="36"/>
  <c r="W35" i="40"/>
  <c r="A118" i="9"/>
  <c r="A4" i="52"/>
  <c r="B41" i="72"/>
  <c r="J11" i="39"/>
  <c r="W11" i="39"/>
  <c r="F11" i="39"/>
  <c r="AA11" i="39"/>
  <c r="A12" i="52"/>
  <c r="B56" i="72"/>
  <c r="G4" i="4"/>
  <c r="I4" i="4"/>
  <c r="K5" i="4"/>
  <c r="B47" i="48"/>
  <c r="A2" i="9"/>
  <c r="N2" i="43"/>
  <c r="F59" i="43"/>
  <c r="AZ20" i="3"/>
  <c r="AZ24" i="3"/>
  <c r="AZ28" i="3"/>
  <c r="AZ32" i="3"/>
  <c r="AZ497" i="3"/>
  <c r="BL549" i="3"/>
  <c r="AZ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AZ327" i="3"/>
  <c r="G335" i="3"/>
  <c r="BL336" i="3"/>
  <c r="G337" i="3"/>
  <c r="BL338" i="3"/>
  <c r="BA340" i="3"/>
  <c r="AZ340" i="3"/>
  <c r="BA341" i="3"/>
  <c r="BL341" i="3"/>
  <c r="BA343" i="3"/>
  <c r="BA345" i="3"/>
  <c r="BL355" i="3"/>
  <c r="G356" i="3"/>
  <c r="BL357" i="3"/>
  <c r="BA359" i="3"/>
  <c r="AZ359" i="3"/>
  <c r="BA360" i="3"/>
  <c r="AZ360" i="3"/>
  <c r="BL360" i="3"/>
  <c r="G361" i="3"/>
  <c r="BA362" i="3"/>
  <c r="G370" i="3"/>
  <c r="BL371" i="3"/>
  <c r="G372" i="3"/>
  <c r="BL373" i="3"/>
  <c r="BA375" i="3"/>
  <c r="AZ375" i="3"/>
  <c r="BA376" i="3"/>
  <c r="BL376" i="3"/>
  <c r="G377" i="3"/>
  <c r="BA378" i="3"/>
  <c r="AZ378" i="3"/>
  <c r="BL378" i="3"/>
  <c r="G379" i="3"/>
  <c r="BA380" i="3"/>
  <c r="AZ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AZ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AZ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AZ335" i="3"/>
  <c r="G336" i="3"/>
  <c r="BA338" i="3"/>
  <c r="AZ338" i="3"/>
  <c r="BL339" i="3"/>
  <c r="AZ339" i="3"/>
  <c r="G340" i="3"/>
  <c r="BL343" i="3"/>
  <c r="G344" i="3"/>
  <c r="G348" i="3"/>
  <c r="G355" i="3"/>
  <c r="AZ209" i="3"/>
  <c r="AZ214" i="3"/>
  <c r="AZ218" i="3"/>
  <c r="AZ222" i="3"/>
  <c r="AZ319" i="3"/>
  <c r="G342" i="3"/>
  <c r="BL345" i="3"/>
  <c r="AZ345" i="3"/>
  <c r="G346" i="3"/>
  <c r="AZ348" i="3"/>
  <c r="BL349" i="3"/>
  <c r="AZ349" i="3"/>
  <c r="BL352" i="3"/>
  <c r="G353" i="3"/>
  <c r="BA357" i="3"/>
  <c r="AZ357" i="3"/>
  <c r="BL358" i="3"/>
  <c r="AZ358" i="3"/>
  <c r="G359" i="3"/>
  <c r="BA361" i="3"/>
  <c r="AZ361" i="3"/>
  <c r="BL362" i="3"/>
  <c r="AZ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c r="E28" i="6"/>
  <c r="AC5" i="3"/>
  <c r="AZ506" i="3"/>
  <c r="AZ496" i="3"/>
  <c r="G548" i="3"/>
  <c r="G538" i="3"/>
  <c r="G520" i="3"/>
  <c r="G502" i="3"/>
  <c r="BS5" i="3"/>
  <c r="BP5" i="3"/>
  <c r="BN5" i="3"/>
  <c r="G29" i="6"/>
  <c r="G30" i="6"/>
  <c r="G31" i="6"/>
  <c r="AZ343" i="3"/>
  <c r="BK5" i="3"/>
  <c r="BI5" i="3"/>
  <c r="BG5" i="3"/>
  <c r="BE5" i="3"/>
  <c r="BC5" i="3"/>
  <c r="G17" i="3"/>
  <c r="BA17" i="3"/>
  <c r="BT5" i="3"/>
  <c r="AZ350" i="3"/>
  <c r="AZ352" i="3"/>
  <c r="AZ356" i="3"/>
  <c r="AZ364" i="3"/>
  <c r="AZ368" i="3"/>
  <c r="BA15" i="3"/>
  <c r="AZ15" i="3"/>
  <c r="BB5" i="3"/>
  <c r="E15" i="6"/>
  <c r="E60" i="40"/>
  <c r="BR5" i="3"/>
  <c r="G28" i="6"/>
  <c r="AZ384" i="3"/>
  <c r="AZ388" i="3"/>
  <c r="AZ392" i="3"/>
  <c r="AZ396" i="3"/>
  <c r="AZ394" i="3"/>
  <c r="AZ499" i="3"/>
  <c r="AZ509" i="3"/>
  <c r="E8" i="6"/>
  <c r="E56" i="39"/>
  <c r="G509" i="3"/>
  <c r="BL493" i="3"/>
  <c r="AZ493" i="3"/>
  <c r="AZ491" i="3"/>
  <c r="AZ376" i="3"/>
  <c r="AZ382" i="3"/>
  <c r="U36" i="40"/>
  <c r="N4" i="43"/>
  <c r="F36" i="43"/>
  <c r="F81" i="43"/>
  <c r="H83" i="43"/>
  <c r="H113" i="43"/>
  <c r="F48" i="43"/>
  <c r="H52" i="43"/>
  <c r="N7" i="43"/>
  <c r="F70" i="43"/>
  <c r="H73" i="43"/>
  <c r="M6" i="43"/>
  <c r="M11" i="43"/>
  <c r="E17" i="43"/>
  <c r="F39" i="43"/>
  <c r="I17" i="43"/>
  <c r="F35" i="43"/>
  <c r="J17" i="43"/>
  <c r="U17" i="39"/>
  <c r="S14" i="35"/>
  <c r="U35" i="21"/>
  <c r="AC35" i="21"/>
  <c r="U10" i="21"/>
  <c r="G10"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9" i="43"/>
  <c r="H48"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H86" i="43"/>
  <c r="H82" i="43"/>
  <c r="H87" i="43"/>
  <c r="K9" i="1"/>
  <c r="M9" i="1"/>
  <c r="O9" i="1"/>
  <c r="P9" i="1"/>
  <c r="AE9" i="1"/>
  <c r="K6" i="1"/>
  <c r="M6" i="1"/>
  <c r="O6" i="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c r="R12" i="1"/>
  <c r="B12" i="1"/>
  <c r="E12" i="1"/>
  <c r="S10" i="1"/>
  <c r="AQ10" i="1"/>
  <c r="R10" i="1"/>
  <c r="B10" i="1"/>
  <c r="E10" i="1"/>
  <c r="D1" i="66"/>
  <c r="E10" i="66"/>
  <c r="AZ80" i="3"/>
  <c r="AZ84" i="3"/>
  <c r="AZ88" i="3"/>
  <c r="AZ107" i="3"/>
  <c r="AZ111" i="3"/>
  <c r="K12" i="1"/>
  <c r="M12" i="1"/>
  <c r="S13" i="1"/>
  <c r="R13" i="1"/>
  <c r="S11" i="1"/>
  <c r="AQ11" i="1"/>
  <c r="R11" i="1"/>
  <c r="S9" i="1"/>
  <c r="AR9" i="1"/>
  <c r="R9" i="1"/>
  <c r="J51" i="67"/>
  <c r="C42" i="1"/>
  <c r="C77" i="9"/>
  <c r="C74" i="9"/>
  <c r="H100" i="43"/>
  <c r="C30" i="66"/>
  <c r="E26" i="66"/>
  <c r="AC34" i="33"/>
  <c r="AA34" i="3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U25" i="39"/>
  <c r="AB27" i="39"/>
  <c r="S25" i="39"/>
  <c r="J21" i="39"/>
  <c r="F21" i="39"/>
  <c r="AA21" i="39"/>
  <c r="G95" i="39"/>
  <c r="H21" i="39"/>
  <c r="AB21" i="39"/>
  <c r="W19" i="39"/>
  <c r="U19" i="39"/>
  <c r="S17"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S39" i="21"/>
  <c r="AA38" i="21"/>
  <c r="AA36" i="21"/>
  <c r="AC40" i="21"/>
  <c r="E85" i="21"/>
  <c r="F85" i="21"/>
  <c r="AA14" i="21"/>
  <c r="AB8" i="21"/>
  <c r="S8" i="21"/>
  <c r="M3" i="43"/>
  <c r="N10" i="43"/>
  <c r="M1" i="43"/>
  <c r="M8" i="43"/>
  <c r="N8" i="43"/>
  <c r="N9" i="43"/>
  <c r="D120" i="9"/>
  <c r="F34" i="67"/>
  <c r="F62" i="67"/>
  <c r="M20" i="67"/>
  <c r="F34" i="15"/>
  <c r="F62" i="15"/>
  <c r="G13" i="3"/>
  <c r="G5" i="3"/>
  <c r="B3" i="3"/>
  <c r="E10" i="6"/>
  <c r="BL17" i="3"/>
  <c r="AZ17" i="3"/>
  <c r="BL13" i="3"/>
  <c r="J56" i="9"/>
  <c r="J57" i="9"/>
  <c r="A24" i="51"/>
  <c r="B18" i="72"/>
  <c r="U29" i="34"/>
  <c r="E5" i="6"/>
  <c r="D9" i="11"/>
  <c r="C9" i="11"/>
  <c r="E32" i="6"/>
  <c r="G1" i="68"/>
  <c r="K1" i="12"/>
  <c r="AQ12" i="1"/>
  <c r="E1" i="73"/>
  <c r="G41" i="69"/>
  <c r="G22" i="69"/>
  <c r="G41" i="68"/>
  <c r="G22" i="68"/>
  <c r="G27" i="12"/>
  <c r="G26" i="12"/>
  <c r="G41" i="11"/>
  <c r="G22" i="11"/>
  <c r="G25" i="12"/>
  <c r="C100" i="43"/>
  <c r="E11" i="43"/>
  <c r="E10" i="43"/>
  <c r="E9" i="43"/>
  <c r="E8" i="43"/>
  <c r="C7" i="43"/>
  <c r="E81" i="43"/>
  <c r="B79" i="43"/>
  <c r="E48" i="43"/>
  <c r="B46" i="43"/>
  <c r="E70" i="43"/>
  <c r="B68" i="43"/>
  <c r="F100" i="43"/>
  <c r="H17" i="43"/>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 i="35"/>
  <c r="C48" i="35"/>
  <c r="C7" i="33"/>
  <c r="C58" i="33"/>
  <c r="C7" i="21"/>
  <c r="C7" i="40"/>
  <c r="C63" i="40"/>
  <c r="M47" i="9"/>
  <c r="G19" i="43"/>
  <c r="T35" i="4"/>
  <c r="A19" i="51"/>
  <c r="B14" i="72"/>
  <c r="C46" i="36"/>
  <c r="D46" i="36"/>
  <c r="C59" i="34"/>
  <c r="D59" i="34"/>
  <c r="E59" i="34"/>
  <c r="F59" i="34"/>
  <c r="G59" i="34"/>
  <c r="A4" i="51"/>
  <c r="B6" i="72"/>
  <c r="C94" i="9"/>
  <c r="C92" i="9"/>
  <c r="H62" i="43"/>
  <c r="H66" i="43"/>
  <c r="H61" i="43"/>
  <c r="H65" i="43"/>
  <c r="H60" i="43"/>
  <c r="H64" i="43"/>
  <c r="H59" i="43"/>
  <c r="H63" i="43"/>
  <c r="H67" i="43"/>
  <c r="H55" i="43"/>
  <c r="H51" i="43"/>
  <c r="H56" i="43"/>
  <c r="H76" i="43"/>
  <c r="H72" i="43"/>
  <c r="H77" i="43"/>
  <c r="L20" i="6"/>
  <c r="B6" i="1"/>
  <c r="E6" i="1"/>
  <c r="S8" i="1"/>
  <c r="AR8" i="1"/>
  <c r="K11" i="1"/>
  <c r="M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B23" i="39"/>
  <c r="W25" i="39"/>
  <c r="AC25" i="39"/>
  <c r="U13" i="39"/>
  <c r="AB13" i="39"/>
  <c r="AA13" i="39"/>
  <c r="S13" i="39"/>
  <c r="S14" i="39"/>
  <c r="AA14" i="39"/>
  <c r="U43" i="39"/>
  <c r="AB43" i="39"/>
  <c r="AA27" i="39"/>
  <c r="S27" i="39"/>
  <c r="W17" i="39"/>
  <c r="AC17" i="39"/>
  <c r="S23" i="39"/>
  <c r="AA45" i="39"/>
  <c r="W34"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S33" i="21"/>
  <c r="J33" i="21"/>
  <c r="W33" i="21"/>
  <c r="H33" i="21"/>
  <c r="AB33" i="21"/>
  <c r="F37" i="21"/>
  <c r="AA37" i="21"/>
  <c r="AA26" i="21"/>
  <c r="AB14" i="21"/>
  <c r="AB46" i="21"/>
  <c r="U40" i="21"/>
  <c r="AB31" i="21"/>
  <c r="U31" i="21"/>
  <c r="U13" i="21"/>
  <c r="AB13" i="21"/>
  <c r="W8" i="21"/>
  <c r="S35" i="21"/>
  <c r="J37" i="21"/>
  <c r="W37" i="21"/>
  <c r="J17" i="21"/>
  <c r="AC17" i="21"/>
  <c r="AC19" i="21"/>
  <c r="W39" i="21"/>
  <c r="AC14" i="21"/>
  <c r="W30" i="21"/>
  <c r="S46" i="21"/>
  <c r="H45" i="21"/>
  <c r="U45" i="21"/>
  <c r="F29" i="21"/>
  <c r="S29" i="21"/>
  <c r="F13" i="21"/>
  <c r="AA13" i="21"/>
  <c r="AC38" i="21"/>
  <c r="H32" i="21"/>
  <c r="AB32" i="21"/>
  <c r="H9" i="21"/>
  <c r="AB9" i="21" s="1"/>
  <c r="J9" i="21"/>
  <c r="W9" i="21" s="1"/>
  <c r="J32" i="21"/>
  <c r="AC32" i="21" s="1"/>
  <c r="F32" i="21"/>
  <c r="AA32" i="21" s="1"/>
  <c r="AA31" i="21"/>
  <c r="U17" i="21"/>
  <c r="W29" i="21"/>
  <c r="S19" i="21"/>
  <c r="S9" i="21"/>
  <c r="AA9" i="21"/>
  <c r="K141" i="21"/>
  <c r="K144" i="21"/>
  <c r="K143" i="21"/>
  <c r="U27" i="21"/>
  <c r="AB25" i="21"/>
  <c r="AB44" i="21"/>
  <c r="AA30" i="21"/>
  <c r="W13" i="21"/>
  <c r="W42" i="21"/>
  <c r="AC45" i="21"/>
  <c r="S10" i="21"/>
  <c r="K145" i="21"/>
  <c r="W25" i="21"/>
  <c r="AA29" i="21"/>
  <c r="W31" i="21"/>
  <c r="S27" i="21"/>
  <c r="S17" i="21"/>
  <c r="AC27" i="21"/>
  <c r="AC26" i="21"/>
  <c r="AB29" i="21"/>
  <c r="S28" i="21"/>
  <c r="AC34" i="21"/>
  <c r="W10" i="21"/>
  <c r="AB36" i="21"/>
  <c r="W30" i="40"/>
  <c r="C19" i="39"/>
  <c r="C15" i="40"/>
  <c r="C17" i="40"/>
  <c r="C23" i="40"/>
  <c r="C21" i="40"/>
  <c r="U30" i="40"/>
  <c r="B54" i="43"/>
  <c r="B65" i="43"/>
  <c r="B49" i="43"/>
  <c r="B52" i="43"/>
  <c r="B56" i="43"/>
  <c r="B60" i="43"/>
  <c r="B63" i="43"/>
  <c r="B67" i="43"/>
  <c r="D23" i="15"/>
  <c r="F30" i="68"/>
  <c r="C30" i="68"/>
  <c r="F30" i="11"/>
  <c r="C48" i="11"/>
  <c r="F28" i="67"/>
  <c r="C28" i="67"/>
  <c r="F31" i="12"/>
  <c r="F52" i="9"/>
  <c r="M18" i="67"/>
  <c r="F32" i="67"/>
  <c r="F60" i="67"/>
  <c r="F30" i="69"/>
  <c r="F32" i="15"/>
  <c r="F60" i="15"/>
  <c r="M18" i="15"/>
  <c r="F28" i="15"/>
  <c r="D9" i="69"/>
  <c r="C9" i="69" s="1"/>
  <c r="AR11" i="1"/>
  <c r="D9" i="68"/>
  <c r="C9" i="68" s="1"/>
  <c r="B29" i="1" s="1"/>
  <c r="C8" i="68" s="1"/>
  <c r="S7" i="1"/>
  <c r="AR7" i="1"/>
  <c r="E7" i="70"/>
  <c r="AA39" i="40"/>
  <c r="S39" i="40"/>
  <c r="S12" i="33"/>
  <c r="AA12" i="33"/>
  <c r="C16" i="43"/>
  <c r="C5" i="43"/>
  <c r="D68" i="9"/>
  <c r="F54" i="9"/>
  <c r="AC21" i="39"/>
  <c r="W21" i="39"/>
  <c r="S26" i="35"/>
  <c r="U9" i="35"/>
  <c r="AB9" i="35"/>
  <c r="AA9" i="35"/>
  <c r="S9" i="35"/>
  <c r="AC26" i="35"/>
  <c r="W26" i="35"/>
  <c r="AB26" i="35"/>
  <c r="U26" i="35"/>
  <c r="AC17" i="37"/>
  <c r="S17" i="37"/>
  <c r="J19" i="37"/>
  <c r="G75" i="37"/>
  <c r="S19" i="37"/>
  <c r="AA19" i="37"/>
  <c r="AA23" i="37"/>
  <c r="J23" i="37"/>
  <c r="AC23" i="37"/>
  <c r="G79" i="37"/>
  <c r="J10" i="37"/>
  <c r="W10" i="37"/>
  <c r="I60" i="37"/>
  <c r="G63" i="37"/>
  <c r="H11" i="37"/>
  <c r="AB10" i="37"/>
  <c r="U10" i="37"/>
  <c r="G70" i="34"/>
  <c r="H70" i="34"/>
  <c r="I70" i="34"/>
  <c r="J70" i="34"/>
  <c r="K70" i="34"/>
  <c r="L70" i="34"/>
  <c r="M70" i="34"/>
  <c r="H11" i="34"/>
  <c r="AB10" i="34"/>
  <c r="U10" i="34"/>
  <c r="J10" i="34"/>
  <c r="AC10" i="34"/>
  <c r="I67" i="34"/>
  <c r="AB41" i="33"/>
  <c r="U41" i="33"/>
  <c r="W35" i="33"/>
  <c r="AC35" i="33"/>
  <c r="H111" i="33"/>
  <c r="I111" i="33"/>
  <c r="J111" i="33"/>
  <c r="K111" i="33"/>
  <c r="L111" i="33"/>
  <c r="M111" i="33"/>
  <c r="J36" i="33"/>
  <c r="W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S23" i="33"/>
  <c r="G85" i="33"/>
  <c r="AC23" i="33"/>
  <c r="W23" i="33"/>
  <c r="AA19" i="33"/>
  <c r="H19" i="33"/>
  <c r="G81" i="33"/>
  <c r="G79" i="33"/>
  <c r="H17" i="33"/>
  <c r="AB17" i="33"/>
  <c r="F17" i="33"/>
  <c r="W17" i="33"/>
  <c r="AC17" i="33"/>
  <c r="U10" i="33"/>
  <c r="AB10" i="33"/>
  <c r="AC10" i="33"/>
  <c r="W10" i="33"/>
  <c r="S37" i="21"/>
  <c r="S13" i="21"/>
  <c r="D6" i="52"/>
  <c r="D121" i="9"/>
  <c r="D7" i="52"/>
  <c r="K120" i="9"/>
  <c r="J59" i="9"/>
  <c r="J61" i="9"/>
  <c r="AQ8" i="1"/>
  <c r="R22" i="31"/>
  <c r="B21" i="31"/>
  <c r="O19" i="43"/>
  <c r="AP7" i="1"/>
  <c r="M7" i="1"/>
  <c r="O7" i="1"/>
  <c r="AB45" i="21"/>
  <c r="AC33" i="21"/>
  <c r="W32" i="21"/>
  <c r="C30" i="11"/>
  <c r="E6" i="70"/>
  <c r="A18" i="62"/>
  <c r="B64" i="72"/>
  <c r="W19" i="37"/>
  <c r="AC19" i="37"/>
  <c r="W23" i="37"/>
  <c r="AB11" i="37"/>
  <c r="U11" i="37"/>
  <c r="H63" i="37"/>
  <c r="I63" i="37"/>
  <c r="J63" i="37"/>
  <c r="K63" i="37"/>
  <c r="L63" i="37"/>
  <c r="M63" i="37"/>
  <c r="J11" i="37"/>
  <c r="AC11" i="37"/>
  <c r="AC10" i="37"/>
  <c r="U11" i="34"/>
  <c r="AB11" i="34"/>
  <c r="W10" i="34"/>
  <c r="J11" i="34"/>
  <c r="AC36" i="33"/>
  <c r="U36" i="33"/>
  <c r="AB36" i="33"/>
  <c r="W27" i="33"/>
  <c r="AC27" i="33"/>
  <c r="W25" i="33"/>
  <c r="AC25" i="33"/>
  <c r="AA23" i="33"/>
  <c r="AB19" i="33"/>
  <c r="U19" i="33"/>
  <c r="AA17" i="33"/>
  <c r="S17" i="33"/>
  <c r="U17" i="33"/>
  <c r="H59" i="34"/>
  <c r="I59" i="34"/>
  <c r="J59" i="34"/>
  <c r="K59" i="34"/>
  <c r="L59" i="34"/>
  <c r="F1" i="67"/>
  <c r="W11" i="37"/>
  <c r="W11" i="34"/>
  <c r="AC11" i="34"/>
  <c r="R7" i="1"/>
  <c r="R8" i="1"/>
  <c r="AE7" i="1"/>
  <c r="AE8" i="1"/>
  <c r="AE6" i="1"/>
  <c r="AG6" i="1"/>
  <c r="H109" i="9"/>
  <c r="H110" i="9"/>
  <c r="D18" i="53"/>
  <c r="B35" i="72"/>
  <c r="H112" i="9"/>
  <c r="D21" i="53"/>
  <c r="B39" i="72"/>
  <c r="H111" i="9"/>
  <c r="D126" i="9"/>
  <c r="D19" i="53"/>
  <c r="D59" i="9"/>
  <c r="M55" i="9"/>
  <c r="B38" i="72"/>
  <c r="D20" i="53"/>
  <c r="B40" i="72"/>
  <c r="AD3" i="71"/>
  <c r="G85" i="21"/>
  <c r="J23" i="21"/>
  <c r="W23" i="21"/>
  <c r="F23" i="21"/>
  <c r="S23" i="21"/>
  <c r="H23" i="21"/>
  <c r="AB23" i="21"/>
  <c r="U29" i="39"/>
  <c r="AB39" i="39"/>
  <c r="W29" i="39"/>
  <c r="W27" i="39"/>
  <c r="S21" i="39"/>
  <c r="S42" i="39"/>
  <c r="J32" i="39"/>
  <c r="H107" i="39"/>
  <c r="I107" i="39"/>
  <c r="J107" i="39"/>
  <c r="K107" i="39"/>
  <c r="L107" i="39"/>
  <c r="M107" i="39"/>
  <c r="H32" i="39"/>
  <c r="U32" i="39"/>
  <c r="F32" i="39"/>
  <c r="AA32" i="39"/>
  <c r="F105" i="39"/>
  <c r="G105" i="39"/>
  <c r="H105" i="39"/>
  <c r="I105" i="39"/>
  <c r="J105" i="39"/>
  <c r="K105" i="39"/>
  <c r="L105" i="39"/>
  <c r="M105" i="39"/>
  <c r="F31" i="39"/>
  <c r="H31" i="39"/>
  <c r="J31" i="39"/>
  <c r="U21" i="39"/>
  <c r="G89" i="39"/>
  <c r="H15" i="39"/>
  <c r="F15" i="39"/>
  <c r="AA15" i="39"/>
  <c r="J15" i="39"/>
  <c r="S29" i="39"/>
  <c r="S19" i="39"/>
  <c r="S15" i="39"/>
  <c r="U42" i="39"/>
  <c r="U41" i="39"/>
  <c r="AC41" i="39"/>
  <c r="AA39" i="39"/>
  <c r="AC37" i="21"/>
  <c r="AB37" i="21"/>
  <c r="AC23" i="21"/>
  <c r="S42" i="21"/>
  <c r="AA33" i="21"/>
  <c r="AA23" i="21"/>
  <c r="AB21" i="21"/>
  <c r="AA43" i="21"/>
  <c r="U43" i="21"/>
  <c r="U23" i="21"/>
  <c r="S21" i="21"/>
  <c r="D48" i="35"/>
  <c r="E48" i="35"/>
  <c r="F48" i="35"/>
  <c r="G48" i="35"/>
  <c r="H48" i="35"/>
  <c r="I48" i="35"/>
  <c r="J48" i="35"/>
  <c r="K48" i="35"/>
  <c r="L48" i="35"/>
  <c r="M48" i="35"/>
  <c r="N48" i="35"/>
  <c r="O48" i="35"/>
  <c r="F7" i="35"/>
  <c r="C58" i="21"/>
  <c r="G7" i="21"/>
  <c r="I7" i="21"/>
  <c r="E7" i="21"/>
  <c r="C30" i="69"/>
  <c r="AA10" i="21"/>
  <c r="AB39" i="21"/>
  <c r="U32" i="21"/>
  <c r="S32" i="21"/>
  <c r="AR10" i="1"/>
  <c r="L19" i="6"/>
  <c r="C40" i="69"/>
  <c r="L27" i="6"/>
  <c r="Q52" i="15"/>
  <c r="D19" i="12"/>
  <c r="C19" i="12" s="1"/>
  <c r="G7" i="1"/>
  <c r="G6" i="1"/>
  <c r="G8" i="1"/>
  <c r="D93" i="9"/>
  <c r="C48" i="69"/>
  <c r="E19" i="68"/>
  <c r="E19" i="11"/>
  <c r="D22" i="15"/>
  <c r="D22" i="67"/>
  <c r="G11" i="1"/>
  <c r="G9" i="1"/>
  <c r="AQ7" i="1"/>
  <c r="T10" i="1"/>
  <c r="T12" i="1"/>
  <c r="AC38" i="39"/>
  <c r="H16" i="1"/>
  <c r="BA5" i="3"/>
  <c r="AZ13" i="3"/>
  <c r="E2" i="70"/>
  <c r="T7" i="1"/>
  <c r="T11" i="1"/>
  <c r="Z7" i="43"/>
  <c r="E13" i="6"/>
  <c r="E58" i="40"/>
  <c r="K14" i="1"/>
  <c r="M14" i="1"/>
  <c r="O14" i="1"/>
  <c r="P7" i="1"/>
  <c r="Q16" i="1"/>
  <c r="T8" i="1"/>
  <c r="T9" i="1"/>
  <c r="AQ9" i="1"/>
  <c r="AE11" i="43"/>
  <c r="AF11" i="43"/>
  <c r="AF13" i="43"/>
  <c r="I101" i="43"/>
  <c r="I102" i="43"/>
  <c r="AR13" i="1"/>
  <c r="T13" i="1"/>
  <c r="F27" i="6"/>
  <c r="E51" i="40"/>
  <c r="B113" i="43"/>
  <c r="K101" i="43"/>
  <c r="N101" i="43"/>
  <c r="G101" i="43"/>
  <c r="C101" i="43"/>
  <c r="J101" i="43"/>
  <c r="N104" i="46"/>
  <c r="L101" i="43"/>
  <c r="H101" i="43"/>
  <c r="M101" i="43"/>
  <c r="E101" i="43"/>
  <c r="S2" i="43"/>
  <c r="AH11" i="43"/>
  <c r="AD11" i="43"/>
  <c r="Z11" i="43"/>
  <c r="S5" i="43"/>
  <c r="AG11" i="43"/>
  <c r="AC11" i="43"/>
  <c r="Y11" i="43"/>
  <c r="Y13" i="43"/>
  <c r="C23" i="43"/>
  <c r="C21" i="43"/>
  <c r="S4" i="43"/>
  <c r="S7" i="43"/>
  <c r="J22" i="43"/>
  <c r="E12" i="6"/>
  <c r="E11" i="6"/>
  <c r="E14" i="6"/>
  <c r="O10" i="1"/>
  <c r="P10" i="1"/>
  <c r="I105" i="43"/>
  <c r="S3" i="43"/>
  <c r="S6" i="43"/>
  <c r="AQ13" i="1"/>
  <c r="C36" i="69"/>
  <c r="AA11" i="43"/>
  <c r="AA13" i="43"/>
  <c r="AI11" i="43"/>
  <c r="AI13" i="43"/>
  <c r="AB11" i="43"/>
  <c r="AB13" i="43"/>
  <c r="AJ11" i="43"/>
  <c r="AJ13" i="43"/>
  <c r="G22" i="43"/>
  <c r="D101" i="43"/>
  <c r="H22" i="43"/>
  <c r="E65" i="39"/>
  <c r="F101" i="43"/>
  <c r="F22" i="43"/>
  <c r="U38" i="39"/>
  <c r="S11" i="39"/>
  <c r="AB11" i="39"/>
  <c r="W8" i="39"/>
  <c r="AB8" i="39"/>
  <c r="C65" i="40"/>
  <c r="D63" i="40"/>
  <c r="J7" i="37"/>
  <c r="D52" i="37"/>
  <c r="E52" i="37"/>
  <c r="F52" i="37"/>
  <c r="G52" i="37"/>
  <c r="H52" i="37"/>
  <c r="I52" i="37"/>
  <c r="J52" i="37"/>
  <c r="K52" i="37"/>
  <c r="L52" i="37"/>
  <c r="M52" i="37"/>
  <c r="N52" i="37"/>
  <c r="O52" i="37"/>
  <c r="C24" i="12"/>
  <c r="C48" i="68"/>
  <c r="C28" i="15"/>
  <c r="M59" i="34"/>
  <c r="N59" i="34"/>
  <c r="O59" i="34"/>
  <c r="F7" i="34"/>
  <c r="I14" i="74"/>
  <c r="B8" i="74"/>
  <c r="D127" i="9"/>
  <c r="D13" i="52"/>
  <c r="D12" i="52"/>
  <c r="D16" i="53"/>
  <c r="H7" i="35"/>
  <c r="D58" i="21"/>
  <c r="O12" i="1"/>
  <c r="P12" i="1"/>
  <c r="F30" i="6"/>
  <c r="E29" i="6"/>
  <c r="AZ557" i="3"/>
  <c r="M49" i="9"/>
  <c r="D124" i="9"/>
  <c r="AA7" i="35"/>
  <c r="R38" i="35"/>
  <c r="S7" i="35"/>
  <c r="O16" i="1"/>
  <c r="P6" i="1"/>
  <c r="C13" i="12"/>
  <c r="P11" i="1"/>
  <c r="O11" i="1"/>
  <c r="J7" i="35"/>
  <c r="E46" i="36"/>
  <c r="D58" i="33"/>
  <c r="E58" i="33"/>
  <c r="F58" i="33"/>
  <c r="G58" i="33"/>
  <c r="H58" i="33"/>
  <c r="I58" i="33"/>
  <c r="J58" i="33"/>
  <c r="K58" i="33"/>
  <c r="L58" i="33"/>
  <c r="M58" i="33"/>
  <c r="N58" i="33"/>
  <c r="O58" i="33"/>
  <c r="D68" i="39"/>
  <c r="C70" i="39"/>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55" i="3"/>
  <c r="E579" i="3"/>
  <c r="E569" i="3"/>
  <c r="E410" i="3"/>
  <c r="E359" i="3"/>
  <c r="E337" i="3"/>
  <c r="E285" i="3"/>
  <c r="E229" i="3"/>
  <c r="E201" i="3"/>
  <c r="E151" i="3"/>
  <c r="E353" i="3"/>
  <c r="E385" i="3"/>
  <c r="E495" i="3"/>
  <c r="E518" i="3"/>
  <c r="E16" i="3"/>
  <c r="E586" i="3"/>
  <c r="E578" i="3"/>
  <c r="E402" i="3"/>
  <c r="E423" i="3"/>
  <c r="E350" i="3"/>
  <c r="E382" i="3"/>
  <c r="E303" i="3"/>
  <c r="E263" i="3"/>
  <c r="E301" i="3"/>
  <c r="E262" i="3"/>
  <c r="E196" i="3"/>
  <c r="E136" i="3"/>
  <c r="E156" i="3"/>
  <c r="E236" i="3"/>
  <c r="E148" i="3"/>
  <c r="E269" i="3"/>
  <c r="E122" i="3"/>
  <c r="E89" i="3"/>
  <c r="E459" i="3"/>
  <c r="I3" i="6"/>
  <c r="E558" i="3"/>
  <c r="E505" i="3"/>
  <c r="E500" i="3"/>
  <c r="E554" i="3"/>
  <c r="E582" i="3"/>
  <c r="E517" i="3"/>
  <c r="E413" i="3"/>
  <c r="E435" i="3"/>
  <c r="E460" i="3"/>
  <c r="E491" i="3"/>
  <c r="E520" i="3"/>
  <c r="E417" i="3"/>
  <c r="E436" i="3"/>
  <c r="E479" i="3"/>
  <c r="E39" i="3"/>
  <c r="E56" i="3"/>
  <c r="E90" i="3"/>
  <c r="E37" i="3"/>
  <c r="E57" i="3"/>
  <c r="E95" i="3"/>
  <c r="E131" i="3"/>
  <c r="E152" i="3"/>
  <c r="E182" i="3"/>
  <c r="E126" i="3"/>
  <c r="E166" i="3"/>
  <c r="E186" i="3"/>
  <c r="E211" i="3"/>
  <c r="E272" i="3"/>
  <c r="E295" i="3"/>
  <c r="E210" i="3"/>
  <c r="E273" i="3"/>
  <c r="E291" i="3"/>
  <c r="E316" i="3"/>
  <c r="E348" i="3"/>
  <c r="E363" i="3"/>
  <c r="E378" i="3"/>
  <c r="E349" i="3"/>
  <c r="E375" i="3"/>
  <c r="E389" i="3"/>
  <c r="E504" i="3"/>
  <c r="E30" i="3"/>
  <c r="E44" i="3"/>
  <c r="E109" i="3"/>
  <c r="E110" i="3"/>
  <c r="E59" i="3"/>
  <c r="E441" i="3"/>
  <c r="E484" i="3"/>
  <c r="E425" i="3"/>
  <c r="E467" i="3"/>
  <c r="E64" i="3"/>
  <c r="E98" i="3"/>
  <c r="E65" i="3"/>
  <c r="E138" i="3"/>
  <c r="E195" i="3"/>
  <c r="E163" i="3"/>
  <c r="E248" i="3"/>
  <c r="E209" i="3"/>
  <c r="E266" i="3"/>
  <c r="E307" i="3"/>
  <c r="E386" i="3"/>
  <c r="E354" i="3"/>
  <c r="E584" i="3"/>
  <c r="E66" i="3"/>
  <c r="E24" i="3"/>
  <c r="E48" i="3"/>
  <c r="E87" i="3"/>
  <c r="E127" i="3"/>
  <c r="E184" i="3"/>
  <c r="E233" i="3"/>
  <c r="E355" i="3"/>
  <c r="E381" i="3"/>
  <c r="E51" i="3"/>
  <c r="E19" i="3"/>
  <c r="E154" i="3"/>
  <c r="E179" i="3"/>
  <c r="E222" i="3"/>
  <c r="E283" i="3"/>
  <c r="E309" i="3"/>
  <c r="E513" i="3"/>
  <c r="E21" i="3"/>
  <c r="E516" i="3"/>
  <c r="E574" i="3"/>
  <c r="E431" i="3"/>
  <c r="E396" i="3"/>
  <c r="E247" i="3"/>
  <c r="E143" i="3"/>
  <c r="E97" i="3"/>
  <c r="E397" i="3"/>
  <c r="E314" i="3"/>
  <c r="E568" i="3"/>
  <c r="E511" i="3"/>
  <c r="I6" i="3"/>
  <c r="AN6" i="3"/>
  <c r="AI6" i="3"/>
  <c r="E536" i="3"/>
  <c r="AK6" i="3"/>
  <c r="E549" i="3"/>
  <c r="E434" i="3"/>
  <c r="E453" i="3"/>
  <c r="E306" i="3"/>
  <c r="E368" i="3"/>
  <c r="E296" i="3"/>
  <c r="E244" i="3"/>
  <c r="E245" i="3"/>
  <c r="E159" i="3"/>
  <c r="E191" i="3"/>
  <c r="E99" i="3"/>
  <c r="E188" i="3"/>
  <c r="E228" i="3"/>
  <c r="E181" i="3"/>
  <c r="E157"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77" i="3"/>
  <c r="E255" i="3"/>
  <c r="E345" i="3"/>
  <c r="E374" i="3"/>
  <c r="E367" i="3"/>
  <c r="E566" i="3"/>
  <c r="AP6" i="3"/>
  <c r="E547" i="3"/>
  <c r="E581" i="3"/>
  <c r="AS6" i="3"/>
  <c r="E531" i="3"/>
  <c r="E403" i="3"/>
  <c r="E444" i="3"/>
  <c r="E476" i="3"/>
  <c r="E489" i="3"/>
  <c r="E546" i="3"/>
  <c r="E404" i="3"/>
  <c r="E447" i="3"/>
  <c r="E28" i="3"/>
  <c r="E71" i="3"/>
  <c r="E88" i="3"/>
  <c r="E27" i="3"/>
  <c r="E70" i="3"/>
  <c r="E92" i="3"/>
  <c r="E121" i="3"/>
  <c r="E162" i="3"/>
  <c r="E187" i="3"/>
  <c r="E132" i="3"/>
  <c r="E155" i="3"/>
  <c r="E192" i="3"/>
  <c r="E240" i="3"/>
  <c r="E258" i="3"/>
  <c r="E297" i="3"/>
  <c r="E241" i="3"/>
  <c r="E259" i="3"/>
  <c r="E292" i="3"/>
  <c r="E331" i="3"/>
  <c r="E377" i="3"/>
  <c r="E317" i="3"/>
  <c r="E334" i="3"/>
  <c r="E384" i="3"/>
  <c r="E572" i="3"/>
  <c r="AM6" i="3"/>
  <c r="E544" i="3"/>
  <c r="E58" i="3"/>
  <c r="E76" i="3"/>
  <c r="E29" i="3"/>
  <c r="E480" i="3"/>
  <c r="E540" i="3"/>
  <c r="E462" i="3"/>
  <c r="E521" i="3"/>
  <c r="E446" i="3"/>
  <c r="E47" i="3"/>
  <c r="E46" i="3"/>
  <c r="E103" i="3"/>
  <c r="E160" i="3"/>
  <c r="E142" i="3"/>
  <c r="E200" i="3"/>
  <c r="E267" i="3"/>
  <c r="E249" i="3"/>
  <c r="E300" i="3"/>
  <c r="E371" i="3"/>
  <c r="E310" i="3"/>
  <c r="E492" i="3"/>
  <c r="E23" i="3"/>
  <c r="E84" i="3"/>
  <c r="E67" i="3"/>
  <c r="E33" i="3"/>
  <c r="E144" i="3"/>
  <c r="E250" i="3"/>
  <c r="E284" i="3"/>
  <c r="E341" i="3"/>
  <c r="Y6" i="3"/>
  <c r="E68" i="3"/>
  <c r="E63" i="3"/>
  <c r="E81" i="3"/>
  <c r="E118" i="3"/>
  <c r="E264" i="3"/>
  <c r="E323" i="3"/>
  <c r="E373" i="3"/>
  <c r="E82" i="3"/>
  <c r="D9" i="53"/>
  <c r="B25" i="72"/>
  <c r="B24" i="72"/>
  <c r="AZ503" i="3"/>
  <c r="BL5" i="3"/>
  <c r="E557" i="3"/>
  <c r="D5" i="43"/>
  <c r="W31" i="34"/>
  <c r="AA13" i="35"/>
  <c r="AA41" i="33"/>
  <c r="S41" i="33"/>
  <c r="U23" i="34"/>
  <c r="AB23" i="34"/>
  <c r="W34" i="36"/>
  <c r="AC34" i="36"/>
  <c r="W11" i="40"/>
  <c r="AC11" i="40"/>
  <c r="P14" i="1"/>
  <c r="C34" i="69"/>
  <c r="C38" i="69" s="1"/>
  <c r="H7" i="34"/>
  <c r="F27" i="11"/>
  <c r="J7" i="34"/>
  <c r="F7" i="37"/>
  <c r="H7" i="37"/>
  <c r="U33" i="21"/>
  <c r="W17" i="21"/>
  <c r="AA28" i="34"/>
  <c r="S28" i="34"/>
  <c r="AB33" i="35"/>
  <c r="U33" i="35"/>
  <c r="AA39" i="37"/>
  <c r="S34" i="21"/>
  <c r="W33" i="33"/>
  <c r="U35" i="33"/>
  <c r="S9" i="33"/>
  <c r="W22" i="35"/>
  <c r="W8" i="36"/>
  <c r="H12" i="21"/>
  <c r="J12" i="21"/>
  <c r="AC12" i="21" s="1"/>
  <c r="J12" i="34"/>
  <c r="F12" i="35"/>
  <c r="H36" i="35"/>
  <c r="J36" i="35"/>
  <c r="AZ424" i="3"/>
  <c r="AZ429" i="3"/>
  <c r="AZ439" i="3"/>
  <c r="AZ448" i="3"/>
  <c r="AZ452" i="3"/>
  <c r="AZ461" i="3"/>
  <c r="AZ463" i="3"/>
  <c r="AZ468" i="3"/>
  <c r="AZ470" i="3"/>
  <c r="AZ479" i="3"/>
  <c r="AZ485" i="3"/>
  <c r="J9" i="34"/>
  <c r="H9" i="34"/>
  <c r="J34" i="35"/>
  <c r="H34" i="35"/>
  <c r="F34" i="35"/>
  <c r="AZ398" i="3"/>
  <c r="AZ405" i="3"/>
  <c r="AZ407" i="3"/>
  <c r="AZ410" i="3"/>
  <c r="AZ415" i="3"/>
  <c r="AZ420" i="3"/>
  <c r="AZ426" i="3"/>
  <c r="AZ472" i="3"/>
  <c r="AZ475" i="3"/>
  <c r="AZ489" i="3"/>
  <c r="C20" i="43"/>
  <c r="AC31" i="35"/>
  <c r="AZ492" i="3"/>
  <c r="AZ395" i="3"/>
  <c r="AZ208" i="3"/>
  <c r="AZ211" i="3"/>
  <c r="AZ219" i="3"/>
  <c r="AZ236" i="3"/>
  <c r="AZ252" i="3"/>
  <c r="AZ260" i="3"/>
  <c r="AZ274" i="3"/>
  <c r="AZ285" i="3"/>
  <c r="AZ293" i="3"/>
  <c r="AZ298" i="3"/>
  <c r="AZ153" i="3"/>
  <c r="AZ185" i="3"/>
  <c r="AZ207" i="3"/>
  <c r="AZ22" i="3"/>
  <c r="AZ5" i="3"/>
  <c r="AZ54" i="3"/>
  <c r="AZ57" i="3"/>
  <c r="AZ70" i="3"/>
  <c r="AZ92" i="3"/>
  <c r="T29" i="71"/>
  <c r="D29" i="71"/>
  <c r="T17" i="71"/>
  <c r="D17" i="71"/>
  <c r="AZ112" i="3"/>
  <c r="F3" i="35"/>
  <c r="C20" i="71"/>
  <c r="D19" i="71"/>
  <c r="D36" i="71"/>
  <c r="C37" i="71"/>
  <c r="D40" i="71"/>
  <c r="C41" i="71"/>
  <c r="D44" i="71"/>
  <c r="C45" i="71"/>
  <c r="D12" i="71"/>
  <c r="AA12" i="71"/>
  <c r="AB12" i="71"/>
  <c r="S13" i="71"/>
  <c r="C24" i="71"/>
  <c r="Y13" i="71"/>
  <c r="Z13" i="71"/>
  <c r="AB22" i="71"/>
  <c r="AB18" i="71"/>
  <c r="Y15" i="71"/>
  <c r="Z15" i="71"/>
  <c r="AB15" i="71"/>
  <c r="AB16" i="71"/>
  <c r="Y19" i="71"/>
  <c r="Z19" i="71"/>
  <c r="AB19" i="71"/>
  <c r="X18" i="71"/>
  <c r="X19" i="71"/>
  <c r="X20" i="71"/>
  <c r="AB20" i="71"/>
  <c r="Y23" i="71"/>
  <c r="Z23" i="71"/>
  <c r="AA24" i="71"/>
  <c r="AA22" i="71"/>
  <c r="AC12" i="43"/>
  <c r="AC10" i="43"/>
  <c r="AE12" i="43"/>
  <c r="AE13" i="43"/>
  <c r="AE10" i="43"/>
  <c r="AG12" i="43"/>
  <c r="AG13" i="43"/>
  <c r="AG10" i="43"/>
  <c r="M100" i="43"/>
  <c r="I100" i="43"/>
  <c r="E100" i="43"/>
  <c r="D100" i="43"/>
  <c r="D23" i="67"/>
  <c r="X10" i="71"/>
  <c r="X12" i="71"/>
  <c r="Y14" i="71"/>
  <c r="Z14" i="71"/>
  <c r="Y3" i="71"/>
  <c r="Z3" i="71"/>
  <c r="F15" i="71"/>
  <c r="F16" i="71"/>
  <c r="F17" i="71"/>
  <c r="V17" i="71"/>
  <c r="AA15" i="71"/>
  <c r="AA16" i="71"/>
  <c r="AA18" i="71"/>
  <c r="AA17" i="71"/>
  <c r="AI10" i="43"/>
  <c r="V53" i="71"/>
  <c r="F52" i="71"/>
  <c r="Z12" i="43"/>
  <c r="Z10" i="43"/>
  <c r="AD12" i="43"/>
  <c r="AD10" i="43"/>
  <c r="AH12" i="43"/>
  <c r="AH10" i="43"/>
  <c r="J1" i="73"/>
  <c r="Y9" i="71"/>
  <c r="Z9" i="71"/>
  <c r="Y8" i="71"/>
  <c r="Z8" i="71"/>
  <c r="AA8" i="71"/>
  <c r="AB8" i="71"/>
  <c r="Y7" i="71"/>
  <c r="Z7" i="71"/>
  <c r="AB7" i="71"/>
  <c r="X8" i="71"/>
  <c r="C7" i="71"/>
  <c r="D7" i="71"/>
  <c r="D8" i="71"/>
  <c r="X7" i="71"/>
  <c r="X6" i="71"/>
  <c r="AA6" i="71"/>
  <c r="AA9" i="71"/>
  <c r="AB9" i="71"/>
  <c r="D9" i="71"/>
  <c r="U9" i="71"/>
  <c r="S9" i="71"/>
  <c r="T9" i="71"/>
  <c r="Y6" i="71"/>
  <c r="Z6" i="71"/>
  <c r="AB6" i="71"/>
  <c r="AB5" i="71"/>
  <c r="X9" i="71"/>
  <c r="AA7" i="71"/>
  <c r="X5" i="71"/>
  <c r="AA5" i="71"/>
  <c r="F6" i="71"/>
  <c r="F5" i="71"/>
  <c r="Y5" i="71"/>
  <c r="Z5" i="71"/>
  <c r="AB3" i="71"/>
  <c r="X3" i="71"/>
  <c r="C6" i="71"/>
  <c r="E6" i="71"/>
  <c r="E5" i="71"/>
  <c r="AF3" i="71"/>
  <c r="P24" i="43"/>
  <c r="B66" i="40"/>
  <c r="P23" i="43"/>
  <c r="B71" i="39"/>
  <c r="P21" i="43"/>
  <c r="P22" i="43"/>
  <c r="B8" i="49"/>
  <c r="G16" i="1"/>
  <c r="J10" i="40"/>
  <c r="E63" i="39"/>
  <c r="S32" i="39"/>
  <c r="AB32" i="39"/>
  <c r="W32" i="39"/>
  <c r="AC32" i="39"/>
  <c r="W31" i="39"/>
  <c r="AC31" i="39"/>
  <c r="AA31" i="39"/>
  <c r="S31" i="39"/>
  <c r="AB31" i="39"/>
  <c r="U31" i="39"/>
  <c r="W15" i="39"/>
  <c r="AC15" i="39"/>
  <c r="U15" i="39"/>
  <c r="AB15" i="39"/>
  <c r="AD13" i="43"/>
  <c r="H6" i="3"/>
  <c r="D22" i="43"/>
  <c r="AC13" i="43"/>
  <c r="M16" i="1"/>
  <c r="L16" i="1"/>
  <c r="AC6" i="3"/>
  <c r="E27" i="6"/>
  <c r="I103" i="43"/>
  <c r="I104" i="43"/>
  <c r="F27" i="69"/>
  <c r="C29" i="69" s="1"/>
  <c r="D27" i="69" s="1"/>
  <c r="F27" i="68"/>
  <c r="C29" i="68" s="1"/>
  <c r="D27" i="68" s="1"/>
  <c r="F28" i="12"/>
  <c r="B24" i="1"/>
  <c r="C29" i="12"/>
  <c r="D28" i="12" s="1"/>
  <c r="I107" i="43"/>
  <c r="I106" i="43"/>
  <c r="I109" i="43"/>
  <c r="D109" i="43"/>
  <c r="D105" i="43"/>
  <c r="D106" i="43"/>
  <c r="D102" i="43"/>
  <c r="D103" i="43"/>
  <c r="D104" i="43"/>
  <c r="D107" i="43"/>
  <c r="E56" i="40"/>
  <c r="E61" i="39"/>
  <c r="E16" i="6"/>
  <c r="E102" i="43"/>
  <c r="E106" i="43"/>
  <c r="E103" i="43"/>
  <c r="E109" i="43"/>
  <c r="E107" i="43"/>
  <c r="E104" i="43"/>
  <c r="E105" i="43"/>
  <c r="H102" i="43"/>
  <c r="H103" i="43"/>
  <c r="H104" i="43"/>
  <c r="H106" i="43"/>
  <c r="H109" i="43"/>
  <c r="H107" i="43"/>
  <c r="H105" i="43"/>
  <c r="C105" i="43"/>
  <c r="C106" i="43"/>
  <c r="C107" i="43"/>
  <c r="C104" i="43"/>
  <c r="C103" i="43"/>
  <c r="C102" i="43"/>
  <c r="C109" i="43"/>
  <c r="N102" i="43"/>
  <c r="N103" i="43"/>
  <c r="N106" i="43"/>
  <c r="N104" i="43"/>
  <c r="N109" i="43"/>
  <c r="N105" i="43"/>
  <c r="N107" i="43"/>
  <c r="D117" i="43"/>
  <c r="E117" i="43"/>
  <c r="F117" i="43"/>
  <c r="G117" i="43"/>
  <c r="H117" i="43"/>
  <c r="I118" i="43"/>
  <c r="J118" i="43"/>
  <c r="K118" i="43"/>
  <c r="L118" i="43"/>
  <c r="M118" i="43"/>
  <c r="G118" i="43"/>
  <c r="H118" i="43"/>
  <c r="B116" i="43"/>
  <c r="C116" i="43"/>
  <c r="B118" i="43"/>
  <c r="C118" i="43"/>
  <c r="I117" i="43"/>
  <c r="J117" i="43"/>
  <c r="K117" i="43"/>
  <c r="L117" i="43"/>
  <c r="M117" i="43"/>
  <c r="I115" i="43"/>
  <c r="J115" i="43"/>
  <c r="K115" i="43"/>
  <c r="L115" i="43"/>
  <c r="M115" i="43"/>
  <c r="D118" i="43"/>
  <c r="E118" i="43"/>
  <c r="F118" i="43"/>
  <c r="I116" i="43"/>
  <c r="J116" i="43"/>
  <c r="K116" i="43"/>
  <c r="L116" i="43"/>
  <c r="M116" i="43"/>
  <c r="B115" i="43"/>
  <c r="D116" i="43"/>
  <c r="E116" i="43"/>
  <c r="F116" i="43"/>
  <c r="G116" i="43"/>
  <c r="H116" i="43"/>
  <c r="B117" i="43"/>
  <c r="C117" i="43"/>
  <c r="D115" i="43"/>
  <c r="E115" i="43"/>
  <c r="F115" i="43"/>
  <c r="G115" i="43"/>
  <c r="H115" i="43"/>
  <c r="AH13" i="43"/>
  <c r="Z13" i="43"/>
  <c r="F10" i="39"/>
  <c r="S10" i="39"/>
  <c r="F31" i="6"/>
  <c r="F104" i="43"/>
  <c r="F107" i="43"/>
  <c r="F106" i="43"/>
  <c r="F105" i="43"/>
  <c r="F109" i="43"/>
  <c r="F103" i="43"/>
  <c r="F102" i="43"/>
  <c r="E59" i="40"/>
  <c r="E64" i="39"/>
  <c r="E57" i="40"/>
  <c r="E62" i="39"/>
  <c r="M109" i="43"/>
  <c r="M102" i="43"/>
  <c r="M106" i="43"/>
  <c r="M103" i="43"/>
  <c r="M104" i="43"/>
  <c r="M105" i="43"/>
  <c r="M107" i="43"/>
  <c r="L106" i="43"/>
  <c r="L107" i="43"/>
  <c r="L103" i="43"/>
  <c r="L109" i="43"/>
  <c r="L102" i="43"/>
  <c r="L105" i="43"/>
  <c r="L104" i="43"/>
  <c r="J105" i="43"/>
  <c r="J103" i="43"/>
  <c r="J109" i="43"/>
  <c r="J104" i="43"/>
  <c r="J102" i="43"/>
  <c r="J107" i="43"/>
  <c r="J106" i="43"/>
  <c r="G103" i="43"/>
  <c r="G106" i="43"/>
  <c r="G105" i="43"/>
  <c r="G104" i="43"/>
  <c r="G102" i="43"/>
  <c r="G107" i="43"/>
  <c r="G109" i="43"/>
  <c r="K103" i="43"/>
  <c r="K107" i="43"/>
  <c r="K104" i="43"/>
  <c r="K105" i="43"/>
  <c r="K109" i="43"/>
  <c r="K102" i="43"/>
  <c r="K106" i="43"/>
  <c r="J7" i="33"/>
  <c r="W7" i="37"/>
  <c r="AC7" i="37"/>
  <c r="V42" i="37"/>
  <c r="I42" i="37"/>
  <c r="I46" i="37"/>
  <c r="J46" i="37"/>
  <c r="E63" i="40"/>
  <c r="D65" i="40"/>
  <c r="H7" i="33"/>
  <c r="U7" i="33"/>
  <c r="H10" i="40"/>
  <c r="F10" i="40"/>
  <c r="J10" i="39"/>
  <c r="AY6" i="3"/>
  <c r="E3" i="6"/>
  <c r="T45" i="71"/>
  <c r="D45" i="71"/>
  <c r="T41" i="71"/>
  <c r="D41" i="71"/>
  <c r="T37" i="71"/>
  <c r="D37" i="71"/>
  <c r="AA34" i="35"/>
  <c r="S34" i="35"/>
  <c r="AC34" i="35"/>
  <c r="W34" i="35"/>
  <c r="AC9" i="34"/>
  <c r="W9" i="34"/>
  <c r="W36" i="35"/>
  <c r="AC36" i="35"/>
  <c r="S12" i="35"/>
  <c r="AA12" i="35"/>
  <c r="AB7" i="37"/>
  <c r="T42" i="37"/>
  <c r="G42" i="37"/>
  <c r="U7" i="37"/>
  <c r="AA7" i="37"/>
  <c r="R42" i="37"/>
  <c r="S7" i="37"/>
  <c r="W7" i="34"/>
  <c r="AC7" i="34"/>
  <c r="V49" i="34"/>
  <c r="I49" i="34"/>
  <c r="C47" i="11"/>
  <c r="D45" i="11"/>
  <c r="E6" i="3"/>
  <c r="F7" i="33"/>
  <c r="F46" i="36"/>
  <c r="P16" i="1"/>
  <c r="C11" i="12"/>
  <c r="C15" i="12" s="1"/>
  <c r="D10" i="52"/>
  <c r="D125" i="9"/>
  <c r="D11" i="52"/>
  <c r="H14" i="74"/>
  <c r="B7" i="74"/>
  <c r="E58" i="21"/>
  <c r="U7" i="35"/>
  <c r="AB7" i="35"/>
  <c r="T38" i="35"/>
  <c r="G38" i="35"/>
  <c r="F51" i="71"/>
  <c r="Q52" i="71"/>
  <c r="D24" i="71"/>
  <c r="C25" i="71"/>
  <c r="D20" i="71"/>
  <c r="C21" i="71"/>
  <c r="AB34" i="35"/>
  <c r="U34" i="35"/>
  <c r="AB9" i="34"/>
  <c r="U9" i="34"/>
  <c r="AB36" i="35"/>
  <c r="U36" i="35"/>
  <c r="W12" i="34"/>
  <c r="AC12" i="34"/>
  <c r="AB12" i="21"/>
  <c r="U12" i="21"/>
  <c r="AC10" i="40"/>
  <c r="W10" i="40"/>
  <c r="AB7" i="34"/>
  <c r="T49" i="34"/>
  <c r="G49" i="34"/>
  <c r="U7" i="34"/>
  <c r="D70" i="39"/>
  <c r="E68" i="39"/>
  <c r="W7" i="33"/>
  <c r="AC7" i="33"/>
  <c r="V48" i="33"/>
  <c r="I48" i="33"/>
  <c r="W7" i="35"/>
  <c r="AC7" i="35"/>
  <c r="V38" i="35"/>
  <c r="I38" i="35"/>
  <c r="R39" i="35"/>
  <c r="E38" i="35"/>
  <c r="L65" i="9"/>
  <c r="M65" i="9"/>
  <c r="L64" i="9"/>
  <c r="M64" i="9"/>
  <c r="L67" i="9"/>
  <c r="M67" i="9"/>
  <c r="L68" i="9"/>
  <c r="M68" i="9"/>
  <c r="L66" i="9"/>
  <c r="M66" i="9"/>
  <c r="L63" i="9"/>
  <c r="M63" i="9"/>
  <c r="M69" i="9"/>
  <c r="N69" i="9"/>
  <c r="E30" i="6"/>
  <c r="E31" i="6"/>
  <c r="K15" i="1"/>
  <c r="K16" i="1"/>
  <c r="B34" i="72"/>
  <c r="D17" i="53"/>
  <c r="B36" i="72"/>
  <c r="S7" i="34"/>
  <c r="AA7" i="34"/>
  <c r="R49" i="34"/>
  <c r="C5" i="71"/>
  <c r="D6" i="71"/>
  <c r="P25" i="43"/>
  <c r="AB7" i="33"/>
  <c r="T48" i="33"/>
  <c r="G48" i="33"/>
  <c r="H10" i="39"/>
  <c r="AA10" i="39"/>
  <c r="K26" i="6"/>
  <c r="M26" i="6"/>
  <c r="I26" i="6"/>
  <c r="S26" i="6"/>
  <c r="K20" i="6"/>
  <c r="M20" i="6"/>
  <c r="I20" i="6"/>
  <c r="S20" i="6"/>
  <c r="K19" i="6"/>
  <c r="S6" i="1"/>
  <c r="K24" i="6"/>
  <c r="M24" i="6"/>
  <c r="I24" i="6"/>
  <c r="S24" i="6"/>
  <c r="K23" i="6"/>
  <c r="M23" i="6"/>
  <c r="I23" i="6"/>
  <c r="S23" i="6"/>
  <c r="K21" i="6"/>
  <c r="M21" i="6"/>
  <c r="I21" i="6"/>
  <c r="S21" i="6"/>
  <c r="K25" i="6"/>
  <c r="M25" i="6"/>
  <c r="I25" i="6"/>
  <c r="S25" i="6"/>
  <c r="K22" i="6"/>
  <c r="M22" i="6"/>
  <c r="I22" i="6"/>
  <c r="S22" i="6"/>
  <c r="N16" i="1"/>
  <c r="C47" i="68"/>
  <c r="D45" i="68" s="1"/>
  <c r="C115" i="43"/>
  <c r="D113" i="43"/>
  <c r="E66" i="39"/>
  <c r="AA10" i="40"/>
  <c r="S10" i="40"/>
  <c r="F63" i="40"/>
  <c r="E65" i="40"/>
  <c r="AC10" i="39"/>
  <c r="W10" i="39"/>
  <c r="U10" i="40"/>
  <c r="AB10" i="40"/>
  <c r="E49" i="34"/>
  <c r="R50" i="34"/>
  <c r="E43" i="35"/>
  <c r="F43" i="35"/>
  <c r="E42" i="35"/>
  <c r="F42" i="35"/>
  <c r="I42" i="35"/>
  <c r="J42" i="35"/>
  <c r="I43" i="35"/>
  <c r="J43" i="35"/>
  <c r="I52" i="33"/>
  <c r="J52" i="33"/>
  <c r="G52" i="33"/>
  <c r="H52" i="33"/>
  <c r="G53" i="33"/>
  <c r="H53" i="33"/>
  <c r="F68" i="39"/>
  <c r="E70" i="39"/>
  <c r="Q51" i="71"/>
  <c r="Q50" i="71"/>
  <c r="AA7" i="33"/>
  <c r="R48" i="33"/>
  <c r="S7" i="33"/>
  <c r="R43" i="37"/>
  <c r="E42" i="37"/>
  <c r="G47" i="37"/>
  <c r="H47" i="37"/>
  <c r="G46" i="37"/>
  <c r="H46" i="37"/>
  <c r="D3" i="34"/>
  <c r="D3" i="33"/>
  <c r="E6" i="6"/>
  <c r="C17" i="4"/>
  <c r="B4" i="52"/>
  <c r="B43" i="72"/>
  <c r="L18" i="9"/>
  <c r="D3" i="37"/>
  <c r="D3" i="21"/>
  <c r="D19" i="11"/>
  <c r="C19" i="11"/>
  <c r="D37" i="11"/>
  <c r="D14" i="12"/>
  <c r="D17" i="12" s="1"/>
  <c r="C17" i="12" s="1"/>
  <c r="M18" i="9"/>
  <c r="B118" i="9"/>
  <c r="B14" i="74"/>
  <c r="B1" i="74"/>
  <c r="C39" i="35"/>
  <c r="C38" i="35"/>
  <c r="G53" i="34"/>
  <c r="H53" i="34"/>
  <c r="G54" i="34"/>
  <c r="H54" i="34"/>
  <c r="T21" i="71"/>
  <c r="D21" i="71"/>
  <c r="T25" i="71"/>
  <c r="D25" i="71"/>
  <c r="G42" i="35"/>
  <c r="H42" i="35"/>
  <c r="G43" i="35"/>
  <c r="H43" i="35"/>
  <c r="F58" i="21"/>
  <c r="G46" i="36"/>
  <c r="I53" i="34"/>
  <c r="J53" i="34"/>
  <c r="I54" i="34"/>
  <c r="J54" i="34"/>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29" i="3"/>
  <c r="AY244" i="3"/>
  <c r="AY212" i="3"/>
  <c r="AY390" i="3"/>
  <c r="AY379" i="3"/>
  <c r="AY355" i="3"/>
  <c r="AY343" i="3"/>
  <c r="AY311" i="3"/>
  <c r="AY326" i="3"/>
  <c r="AY481" i="3"/>
  <c r="AY478" i="3"/>
  <c r="AY447" i="3"/>
  <c r="AY436" i="3"/>
  <c r="AY404" i="3"/>
  <c r="AY417" i="3"/>
  <c r="AY535" i="3"/>
  <c r="AY557" i="3"/>
  <c r="AY562" i="3"/>
  <c r="AY573" i="3"/>
  <c r="AY540" i="3"/>
  <c r="BO6" i="3"/>
  <c r="AY539" i="3"/>
  <c r="AY555" i="3"/>
  <c r="AY105" i="3"/>
  <c r="AY89" i="3"/>
  <c r="AY100" i="3"/>
  <c r="AY69" i="3"/>
  <c r="AY53" i="3"/>
  <c r="AY84" i="3"/>
  <c r="AY52" i="3"/>
  <c r="AY36" i="3"/>
  <c r="AY20" i="3"/>
  <c r="AY198" i="3"/>
  <c r="AY193" i="3"/>
  <c r="AY178" i="3"/>
  <c r="AY146" i="3"/>
  <c r="AY157" i="3"/>
  <c r="AY126" i="3"/>
  <c r="AY117" i="3"/>
  <c r="AY302" i="3"/>
  <c r="AY271" i="3"/>
  <c r="AY239" i="3"/>
  <c r="AY254" i="3"/>
  <c r="AY238" i="3"/>
  <c r="AY227" i="3"/>
  <c r="AY384" i="3"/>
  <c r="AY373" i="3"/>
  <c r="AY368" i="3"/>
  <c r="AY507" i="3"/>
  <c r="BB6" i="3"/>
  <c r="AY88" i="3"/>
  <c r="AY72" i="3"/>
  <c r="AY40" i="3"/>
  <c r="AY186" i="3"/>
  <c r="AY150" i="3"/>
  <c r="AY161" i="3"/>
  <c r="AY121" i="3"/>
  <c r="AY275" i="3"/>
  <c r="AY258" i="3"/>
  <c r="AY215" i="3"/>
  <c r="AY370" i="3"/>
  <c r="AY341" i="3"/>
  <c r="AY309" i="3"/>
  <c r="AY340" i="3"/>
  <c r="AY308" i="3"/>
  <c r="AY467" i="3"/>
  <c r="AY464" i="3"/>
  <c r="AY449" i="3"/>
  <c r="AY438" i="3"/>
  <c r="AY406" i="3"/>
  <c r="AY419" i="3"/>
  <c r="AY403" i="3"/>
  <c r="AY525" i="3"/>
  <c r="AY516" i="3"/>
  <c r="BN6" i="3"/>
  <c r="AY536" i="3"/>
  <c r="AY269" i="3"/>
  <c r="AY574" i="3"/>
  <c r="AY85" i="3"/>
  <c r="AY68" i="3"/>
  <c r="AY25" i="3"/>
  <c r="AY182" i="3"/>
  <c r="AY162" i="3"/>
  <c r="AY173" i="3"/>
  <c r="AY141" i="3"/>
  <c r="AY134" i="3"/>
  <c r="AY291" i="3"/>
  <c r="AY286" i="3"/>
  <c r="AY255" i="3"/>
  <c r="AY270" i="3"/>
  <c r="AY222" i="3"/>
  <c r="AY211" i="3"/>
  <c r="AY389" i="3"/>
  <c r="AY365" i="3"/>
  <c r="BS6" i="3"/>
  <c r="BI6" i="3"/>
  <c r="AY93" i="3"/>
  <c r="AY57" i="3"/>
  <c r="AY29" i="3"/>
  <c r="AY181" i="3"/>
  <c r="AY130" i="3"/>
  <c r="AY279" i="3"/>
  <c r="AY243" i="3"/>
  <c r="AY226" i="3"/>
  <c r="AY393" i="3"/>
  <c r="AY356" i="3"/>
  <c r="AY325" i="3"/>
  <c r="AY324" i="3"/>
  <c r="AY483" i="3"/>
  <c r="AY480" i="3"/>
  <c r="AY454" i="3"/>
  <c r="AY422" i="3"/>
  <c r="AY435" i="3"/>
  <c r="AY503" i="3"/>
  <c r="AY580" i="3"/>
  <c r="AY572"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20" i="3"/>
  <c r="AY552"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5" i="71"/>
  <c r="M20" i="43"/>
  <c r="C19" i="43"/>
  <c r="AB10" i="39"/>
  <c r="U10" i="39"/>
  <c r="AQ6" i="1"/>
  <c r="AR6" i="1"/>
  <c r="T6" i="1"/>
  <c r="T16" i="1"/>
  <c r="S16" i="1"/>
  <c r="K27" i="6"/>
  <c r="M19" i="6"/>
  <c r="G63" i="40"/>
  <c r="F65" i="40"/>
  <c r="C20" i="11"/>
  <c r="E47" i="37"/>
  <c r="F47" i="37"/>
  <c r="E46" i="37"/>
  <c r="F46" i="37"/>
  <c r="I47" i="37"/>
  <c r="J47" i="37"/>
  <c r="R49" i="33"/>
  <c r="E48" i="33"/>
  <c r="G68" i="39"/>
  <c r="F70" i="39"/>
  <c r="E54" i="34"/>
  <c r="F54" i="34"/>
  <c r="E53" i="34"/>
  <c r="F53" i="34"/>
  <c r="D25" i="6"/>
  <c r="D15" i="6"/>
  <c r="D22" i="6"/>
  <c r="D21" i="6"/>
  <c r="D24" i="6"/>
  <c r="D20" i="6"/>
  <c r="D6" i="6"/>
  <c r="D9" i="6"/>
  <c r="D10" i="6"/>
  <c r="L19" i="9"/>
  <c r="D29" i="6"/>
  <c r="H25" i="6"/>
  <c r="H22" i="6"/>
  <c r="H21" i="6"/>
  <c r="H24" i="6"/>
  <c r="M19" i="9"/>
  <c r="C118" i="9"/>
  <c r="C14" i="74"/>
  <c r="B2" i="74"/>
  <c r="D26" i="6"/>
  <c r="D8" i="6"/>
  <c r="D14" i="6"/>
  <c r="D12" i="6"/>
  <c r="D13" i="6"/>
  <c r="E61" i="40"/>
  <c r="H23" i="6"/>
  <c r="H20" i="6"/>
  <c r="D19" i="6"/>
  <c r="C18" i="4"/>
  <c r="D23" i="6"/>
  <c r="D5" i="6"/>
  <c r="D11" i="6"/>
  <c r="D28" i="6"/>
  <c r="H26" i="6"/>
  <c r="H46" i="36"/>
  <c r="G58" i="21"/>
  <c r="D10" i="11"/>
  <c r="C10" i="11"/>
  <c r="D20" i="12"/>
  <c r="C20" i="12" s="1"/>
  <c r="D10" i="69"/>
  <c r="C10" i="69" s="1"/>
  <c r="D10" i="68"/>
  <c r="C43" i="37"/>
  <c r="C42" i="37"/>
  <c r="C49" i="34"/>
  <c r="C50" i="34"/>
  <c r="C37" i="43"/>
  <c r="C35" i="43"/>
  <c r="C34" i="43"/>
  <c r="C36" i="43"/>
  <c r="G36" i="43"/>
  <c r="I36" i="43"/>
  <c r="C38" i="43"/>
  <c r="E38" i="43"/>
  <c r="C33" i="43"/>
  <c r="C39" i="43"/>
  <c r="D30" i="6"/>
  <c r="C28" i="11"/>
  <c r="C27" i="11"/>
  <c r="B23" i="1"/>
  <c r="C29" i="11"/>
  <c r="D27" i="11"/>
  <c r="R23" i="6"/>
  <c r="D16" i="6"/>
  <c r="I19" i="6"/>
  <c r="M27" i="6"/>
  <c r="R25" i="6"/>
  <c r="H63" i="40"/>
  <c r="G65" i="40"/>
  <c r="H58" i="21"/>
  <c r="D27" i="6"/>
  <c r="D31" i="6"/>
  <c r="R24" i="6"/>
  <c r="R22" i="6"/>
  <c r="H68" i="39"/>
  <c r="G70" i="39"/>
  <c r="C48" i="33"/>
  <c r="C49" i="33"/>
  <c r="I46" i="36"/>
  <c r="A7" i="51"/>
  <c r="B7" i="72"/>
  <c r="C4" i="52"/>
  <c r="B45" i="72"/>
  <c r="A10" i="51"/>
  <c r="B9" i="72"/>
  <c r="R26" i="6"/>
  <c r="R20" i="6"/>
  <c r="R21" i="6"/>
  <c r="E53" i="33"/>
  <c r="F53" i="33"/>
  <c r="E52" i="33"/>
  <c r="F52" i="33"/>
  <c r="I53" i="33"/>
  <c r="J53" i="33"/>
  <c r="G33" i="43"/>
  <c r="I33" i="43"/>
  <c r="E33" i="43"/>
  <c r="G34" i="43"/>
  <c r="I34" i="43"/>
  <c r="E34" i="43"/>
  <c r="G39" i="43"/>
  <c r="I39" i="43"/>
  <c r="E39" i="43"/>
  <c r="G38" i="43"/>
  <c r="I38" i="43"/>
  <c r="G35" i="43"/>
  <c r="I35" i="43"/>
  <c r="E35" i="43"/>
  <c r="G37" i="43"/>
  <c r="I37" i="43"/>
  <c r="E37" i="43"/>
  <c r="F34" i="11"/>
  <c r="F11" i="12"/>
  <c r="F34" i="68"/>
  <c r="C36" i="68" s="1"/>
  <c r="F50" i="69"/>
  <c r="F50" i="68"/>
  <c r="F50" i="11"/>
  <c r="I27" i="6"/>
  <c r="H19" i="6"/>
  <c r="S19" i="6"/>
  <c r="S27" i="6"/>
  <c r="I63" i="40"/>
  <c r="H65" i="40"/>
  <c r="J46" i="36"/>
  <c r="C19" i="68"/>
  <c r="H70" i="39"/>
  <c r="I68" i="39"/>
  <c r="I6" i="6"/>
  <c r="I5" i="6"/>
  <c r="I58" i="21"/>
  <c r="C36" i="11"/>
  <c r="C34" i="11"/>
  <c r="C37" i="11"/>
  <c r="H27" i="6"/>
  <c r="R19" i="6"/>
  <c r="J63" i="40"/>
  <c r="I65" i="40"/>
  <c r="J68" i="39"/>
  <c r="I70" i="39"/>
  <c r="K46" i="36"/>
  <c r="J58" i="21"/>
  <c r="C38" i="11"/>
  <c r="C35" i="11"/>
  <c r="R27" i="6"/>
  <c r="R6" i="1"/>
  <c r="J65" i="40"/>
  <c r="K63" i="40"/>
  <c r="L46" i="36"/>
  <c r="K58" i="21"/>
  <c r="J70" i="39"/>
  <c r="K68" i="39"/>
  <c r="C33" i="11"/>
  <c r="C39" i="11"/>
  <c r="L63" i="40"/>
  <c r="K65" i="40"/>
  <c r="L68" i="39"/>
  <c r="K70" i="39"/>
  <c r="L58" i="21"/>
  <c r="M46" i="36"/>
  <c r="C46" i="11"/>
  <c r="C45" i="11"/>
  <c r="L65" i="40"/>
  <c r="M63" i="40"/>
  <c r="M58" i="21"/>
  <c r="N58" i="21"/>
  <c r="O58" i="21"/>
  <c r="N46" i="36"/>
  <c r="O46" i="36"/>
  <c r="L70" i="39"/>
  <c r="M68" i="39"/>
  <c r="H7" i="36"/>
  <c r="AB7" i="36"/>
  <c r="T36" i="36"/>
  <c r="G36" i="36"/>
  <c r="M65" i="40"/>
  <c r="N63" i="40"/>
  <c r="J7" i="21"/>
  <c r="AC7" i="21"/>
  <c r="U7" i="36"/>
  <c r="N68" i="39"/>
  <c r="M70" i="39"/>
  <c r="F7" i="36"/>
  <c r="J7" i="36"/>
  <c r="H7" i="21"/>
  <c r="F7" i="21"/>
  <c r="W7" i="21"/>
  <c r="N65" i="40"/>
  <c r="O63" i="40"/>
  <c r="O65" i="40"/>
  <c r="AB7" i="21"/>
  <c r="U7" i="21"/>
  <c r="AC7" i="36"/>
  <c r="V36" i="36"/>
  <c r="I36" i="36"/>
  <c r="G41" i="36"/>
  <c r="H41" i="36"/>
  <c r="W7" i="36"/>
  <c r="G40" i="36"/>
  <c r="H40" i="36"/>
  <c r="S7" i="21"/>
  <c r="AA7" i="21"/>
  <c r="S7" i="36"/>
  <c r="AA7" i="36"/>
  <c r="R36" i="36"/>
  <c r="N70" i="39"/>
  <c r="O68" i="39"/>
  <c r="O70" i="39"/>
  <c r="J7" i="40"/>
  <c r="H7" i="40"/>
  <c r="F7" i="40"/>
  <c r="J7" i="39"/>
  <c r="H7" i="39"/>
  <c r="F7" i="39"/>
  <c r="R37" i="36"/>
  <c r="E36" i="36"/>
  <c r="I40" i="36"/>
  <c r="J40" i="36"/>
  <c r="I41" i="36"/>
  <c r="J41" i="36"/>
  <c r="U7" i="40"/>
  <c r="AB7" i="40"/>
  <c r="T42" i="40"/>
  <c r="G42" i="40"/>
  <c r="S7" i="40"/>
  <c r="AA7" i="40"/>
  <c r="R42" i="40"/>
  <c r="W7" i="40"/>
  <c r="AC7" i="40"/>
  <c r="V42" i="40"/>
  <c r="I42" i="40"/>
  <c r="E40" i="36"/>
  <c r="F40" i="36"/>
  <c r="E41" i="36"/>
  <c r="F41" i="36"/>
  <c r="C37" i="36"/>
  <c r="C36" i="36"/>
  <c r="AB7" i="39"/>
  <c r="T47" i="39"/>
  <c r="G47" i="39"/>
  <c r="U7" i="39"/>
  <c r="S7" i="39"/>
  <c r="AA7" i="39"/>
  <c r="R47" i="39"/>
  <c r="AC7" i="39"/>
  <c r="V47" i="39"/>
  <c r="I47" i="39"/>
  <c r="I51" i="39"/>
  <c r="J51" i="39"/>
  <c r="W7" i="39"/>
  <c r="I46" i="40"/>
  <c r="J46" i="40"/>
  <c r="E42" i="40"/>
  <c r="I47" i="40"/>
  <c r="J47" i="40"/>
  <c r="R43" i="40"/>
  <c r="G46" i="40"/>
  <c r="H46" i="40"/>
  <c r="G47" i="40"/>
  <c r="H47" i="40"/>
  <c r="E47" i="39"/>
  <c r="C43" i="40"/>
  <c r="C42" i="40"/>
  <c r="E47" i="40"/>
  <c r="F47" i="40"/>
  <c r="E46" i="40"/>
  <c r="F46" i="40"/>
  <c r="B55" i="40"/>
  <c r="F55" i="40"/>
  <c r="B60" i="40"/>
  <c r="F60" i="40"/>
  <c r="B58" i="40"/>
  <c r="F58" i="40"/>
  <c r="B52" i="40"/>
  <c r="F52" i="40"/>
  <c r="B51" i="40"/>
  <c r="F51" i="40"/>
  <c r="B53" i="40"/>
  <c r="F53" i="40"/>
  <c r="B57" i="40"/>
  <c r="F57" i="40"/>
  <c r="B59" i="40"/>
  <c r="F59" i="40"/>
  <c r="B56" i="40"/>
  <c r="F56" i="40"/>
  <c r="B54" i="40"/>
  <c r="F54" i="40"/>
  <c r="F61" i="40"/>
  <c r="B2" i="40"/>
  <c r="B3" i="40"/>
  <c r="C15" i="74"/>
  <c r="I52" i="39"/>
  <c r="J52" i="39"/>
  <c r="G51" i="39"/>
  <c r="H51" i="39"/>
  <c r="G52" i="39"/>
  <c r="H52" i="39"/>
  <c r="R48" i="39"/>
  <c r="E51" i="39"/>
  <c r="F51" i="39"/>
  <c r="E52" i="39"/>
  <c r="F52" i="39"/>
  <c r="C8" i="74"/>
  <c r="C7" i="74"/>
  <c r="D7" i="74"/>
  <c r="D8" i="74"/>
  <c r="T14" i="43"/>
  <c r="V14" i="43"/>
  <c r="T13" i="43"/>
  <c r="V13" i="43"/>
  <c r="T4" i="43"/>
  <c r="V4" i="43"/>
  <c r="T8" i="43"/>
  <c r="V8" i="43"/>
  <c r="T11" i="43"/>
  <c r="V11" i="43"/>
  <c r="T7" i="43"/>
  <c r="V7" i="43"/>
  <c r="T5" i="43"/>
  <c r="V5" i="43"/>
  <c r="T9" i="43"/>
  <c r="V9" i="43"/>
  <c r="T6" i="43"/>
  <c r="V6" i="43"/>
  <c r="T15" i="43"/>
  <c r="V15" i="43"/>
  <c r="T3" i="43"/>
  <c r="V3" i="43"/>
  <c r="T16" i="43"/>
  <c r="V16" i="43"/>
  <c r="T10" i="43"/>
  <c r="V10" i="43"/>
  <c r="T2" i="43"/>
  <c r="V2" i="43"/>
  <c r="T12" i="43"/>
  <c r="V12" i="43"/>
  <c r="C29" i="43"/>
  <c r="E36" i="43"/>
  <c r="B10" i="49"/>
  <c r="E14" i="49"/>
  <c r="B22" i="49"/>
  <c r="E21" i="49"/>
  <c r="E16" i="49"/>
  <c r="C35" i="69"/>
  <c r="E7" i="49"/>
  <c r="B9" i="49"/>
  <c r="C4" i="4" s="1"/>
  <c r="E11" i="49"/>
  <c r="E5" i="49"/>
  <c r="E4" i="49"/>
  <c r="E13" i="49"/>
  <c r="C47" i="39"/>
  <c r="C48" i="39"/>
  <c r="E29" i="43"/>
  <c r="C26" i="43"/>
  <c r="C30" i="43"/>
  <c r="E30" i="43"/>
  <c r="C27" i="43"/>
  <c r="B61" i="39"/>
  <c r="F61" i="39"/>
  <c r="B59" i="39"/>
  <c r="F59" i="39"/>
  <c r="B63" i="39"/>
  <c r="F63" i="39"/>
  <c r="B58" i="39"/>
  <c r="F58" i="39"/>
  <c r="B57" i="39"/>
  <c r="F57" i="39"/>
  <c r="B56" i="39"/>
  <c r="F56" i="39"/>
  <c r="B65" i="39"/>
  <c r="F65" i="39"/>
  <c r="B60" i="39"/>
  <c r="F60" i="39"/>
  <c r="B64" i="39"/>
  <c r="F64" i="39"/>
  <c r="B62" i="39"/>
  <c r="F62" i="39"/>
  <c r="B2" i="43"/>
  <c r="F66" i="39"/>
  <c r="B2" i="39"/>
  <c r="B3" i="43"/>
  <c r="B3" i="39"/>
  <c r="C6" i="68"/>
  <c r="C7" i="68"/>
  <c r="C5" i="68"/>
  <c r="C20" i="68" s="1"/>
  <c r="M9" i="67"/>
  <c r="F43" i="15"/>
  <c r="E2" i="68"/>
  <c r="AO13" i="1"/>
  <c r="M26" i="15"/>
  <c r="M21" i="15"/>
  <c r="F42" i="67"/>
  <c r="AO10" i="1"/>
  <c r="F7" i="15"/>
  <c r="F3" i="73"/>
  <c r="F37" i="67"/>
  <c r="M26" i="67"/>
  <c r="F43" i="67"/>
  <c r="F7" i="73"/>
  <c r="B13" i="76"/>
  <c r="L47" i="67"/>
  <c r="F7" i="67"/>
  <c r="E7" i="76"/>
  <c r="M22" i="67"/>
  <c r="F6" i="73"/>
  <c r="F41" i="67"/>
  <c r="AO9" i="1"/>
  <c r="F42" i="15"/>
  <c r="AO6" i="1"/>
  <c r="B8" i="76"/>
  <c r="C14" i="15"/>
  <c r="F35" i="67"/>
  <c r="B9" i="76"/>
  <c r="D2" i="36"/>
  <c r="M8" i="15"/>
  <c r="F26" i="15"/>
  <c r="M23" i="67"/>
  <c r="L47" i="15"/>
  <c r="F6" i="67"/>
  <c r="F5" i="73"/>
  <c r="F6" i="15"/>
  <c r="M23" i="15"/>
  <c r="D3" i="73"/>
  <c r="D5" i="73"/>
  <c r="F9" i="15"/>
  <c r="F13" i="15"/>
  <c r="M8" i="67"/>
  <c r="M28" i="67"/>
  <c r="F8" i="15"/>
  <c r="D7" i="73"/>
  <c r="L48" i="15"/>
  <c r="F38" i="67"/>
  <c r="F37" i="15"/>
  <c r="M6" i="67"/>
  <c r="F16" i="67"/>
  <c r="E11" i="76"/>
  <c r="AO7" i="1"/>
  <c r="E6" i="76"/>
  <c r="M22" i="15"/>
  <c r="F20" i="31"/>
  <c r="F16" i="15"/>
  <c r="F4" i="73"/>
  <c r="B7" i="76"/>
  <c r="M27" i="15"/>
  <c r="L48" i="67"/>
  <c r="M24" i="15"/>
  <c r="M6" i="15"/>
  <c r="F9" i="67"/>
  <c r="F36" i="67"/>
  <c r="F40" i="15"/>
  <c r="AO11" i="1"/>
  <c r="E10" i="76"/>
  <c r="B11" i="76"/>
  <c r="M21" i="67"/>
  <c r="AO8" i="1"/>
  <c r="F8" i="67"/>
  <c r="E13" i="76"/>
  <c r="D2" i="21"/>
  <c r="E12" i="76"/>
  <c r="C76" i="67"/>
  <c r="D2" i="37"/>
  <c r="B10" i="76"/>
  <c r="M27" i="67"/>
  <c r="C76" i="15"/>
  <c r="D4" i="73"/>
  <c r="D2" i="35"/>
  <c r="E9" i="76"/>
  <c r="F35" i="15"/>
  <c r="E2" i="69"/>
  <c r="D2" i="34"/>
  <c r="M24" i="67"/>
  <c r="M9" i="15"/>
  <c r="F13" i="67"/>
  <c r="M29" i="67"/>
  <c r="AO12" i="1"/>
  <c r="F36" i="15"/>
  <c r="J15" i="15"/>
  <c r="D6" i="73"/>
  <c r="B12" i="76"/>
  <c r="F40" i="67"/>
  <c r="E8" i="76"/>
  <c r="B6" i="76"/>
  <c r="D2" i="33"/>
  <c r="J15" i="67"/>
  <c r="M28" i="15"/>
  <c r="F26" i="67"/>
  <c r="F41" i="15"/>
  <c r="F38" i="15"/>
  <c r="M29" i="15"/>
  <c r="F31" i="67"/>
  <c r="E9" i="49" l="1"/>
  <c r="B14" i="49"/>
  <c r="B5" i="49"/>
  <c r="E6" i="49"/>
  <c r="E22" i="49"/>
  <c r="B6" i="49"/>
  <c r="E17" i="49"/>
  <c r="E10" i="49"/>
  <c r="E8" i="49"/>
  <c r="B16" i="49"/>
  <c r="B7" i="49"/>
  <c r="B13" i="49"/>
  <c r="E4" i="4" s="1"/>
  <c r="B5" i="62" s="1"/>
  <c r="B73" i="72" s="1"/>
  <c r="B11" i="49"/>
  <c r="D19" i="68"/>
  <c r="D37" i="68" s="1"/>
  <c r="E15" i="49"/>
  <c r="B4" i="49"/>
  <c r="C10" i="68"/>
  <c r="F77" i="21"/>
  <c r="G77" i="21" s="1"/>
  <c r="J15" i="21"/>
  <c r="F15" i="21"/>
  <c r="F11" i="21"/>
  <c r="F69" i="21"/>
  <c r="W12" i="21"/>
  <c r="AA12" i="21"/>
  <c r="D19" i="69"/>
  <c r="C19" i="69" s="1"/>
  <c r="C14" i="12"/>
  <c r="R16" i="1"/>
  <c r="C34" i="68"/>
  <c r="C35" i="68" s="1"/>
  <c r="D37" i="69"/>
  <c r="C37" i="69" s="1"/>
  <c r="C33" i="69" s="1"/>
  <c r="C39" i="69" s="1"/>
  <c r="U9" i="21"/>
  <c r="AC9" i="21"/>
  <c r="C8" i="69"/>
  <c r="C5" i="69" s="1"/>
  <c r="C12" i="12"/>
  <c r="C47" i="69"/>
  <c r="D45" i="69" s="1"/>
  <c r="C37" i="68"/>
  <c r="B2" i="76"/>
  <c r="E2" i="76"/>
  <c r="F71" i="67"/>
  <c r="B8" i="70"/>
  <c r="F68" i="67"/>
  <c r="B7" i="70"/>
  <c r="J20" i="67"/>
  <c r="C6" i="15"/>
  <c r="F65" i="67"/>
  <c r="K1" i="73"/>
  <c r="C6" i="67"/>
  <c r="I1" i="73"/>
  <c r="B39" i="1" s="1"/>
  <c r="F64" i="15"/>
  <c r="L58" i="15"/>
  <c r="M59" i="15"/>
  <c r="L59" i="15"/>
  <c r="N59" i="15"/>
  <c r="B12" i="70"/>
  <c r="C27" i="15"/>
  <c r="F50" i="15"/>
  <c r="M7" i="15"/>
  <c r="F65" i="15"/>
  <c r="F66" i="15"/>
  <c r="B2" i="36"/>
  <c r="B3" i="36" s="1"/>
  <c r="B11" i="70"/>
  <c r="F66" i="67"/>
  <c r="B10" i="70"/>
  <c r="B2" i="34"/>
  <c r="B3" i="34" s="1"/>
  <c r="F69" i="15"/>
  <c r="F63" i="67"/>
  <c r="C62" i="67" s="1"/>
  <c r="C34" i="67"/>
  <c r="F68" i="15"/>
  <c r="F70" i="67"/>
  <c r="C18" i="15"/>
  <c r="C15" i="15"/>
  <c r="J57" i="15"/>
  <c r="J55" i="15" s="1"/>
  <c r="J58" i="15" s="1"/>
  <c r="Q50" i="15" s="1"/>
  <c r="I54" i="15"/>
  <c r="L56" i="15"/>
  <c r="F63" i="15"/>
  <c r="C62" i="15" s="1"/>
  <c r="C34" i="15"/>
  <c r="C27" i="67"/>
  <c r="F64" i="67"/>
  <c r="B6" i="70"/>
  <c r="J20" i="15"/>
  <c r="B2" i="35"/>
  <c r="B3" i="35" s="1"/>
  <c r="E20" i="43"/>
  <c r="B20" i="31"/>
  <c r="B9" i="70"/>
  <c r="F51" i="15"/>
  <c r="Q71" i="15"/>
  <c r="J6" i="15"/>
  <c r="F69" i="67"/>
  <c r="B13" i="70"/>
  <c r="B2" i="37"/>
  <c r="B3" i="37" s="1"/>
  <c r="Q71" i="67"/>
  <c r="F50" i="67"/>
  <c r="M7" i="67"/>
  <c r="J6" i="67" s="1"/>
  <c r="I54" i="67"/>
  <c r="J57" i="67"/>
  <c r="J55" i="67" s="1"/>
  <c r="J58" i="67" s="1"/>
  <c r="Q50" i="67" s="1"/>
  <c r="L56" i="67"/>
  <c r="L58" i="67"/>
  <c r="M59" i="67"/>
  <c r="N59" i="67"/>
  <c r="L59" i="67"/>
  <c r="B2" i="33"/>
  <c r="B3" i="33" s="1"/>
  <c r="F71" i="15"/>
  <c r="F51" i="67"/>
  <c r="B4" i="62"/>
  <c r="B71" i="72" s="1"/>
  <c r="K4" i="4"/>
  <c r="B46" i="48" s="1"/>
  <c r="B4" i="72" s="1"/>
  <c r="C28" i="68"/>
  <c r="C27" i="68" s="1"/>
  <c r="C18" i="12"/>
  <c r="F31" i="15"/>
  <c r="C16" i="67"/>
  <c r="C17" i="15"/>
  <c r="M17" i="15"/>
  <c r="M17" i="67"/>
  <c r="C16" i="15"/>
  <c r="F59" i="15"/>
  <c r="C17" i="67"/>
  <c r="G1" i="73"/>
  <c r="C14" i="67"/>
  <c r="F59" i="67"/>
  <c r="AA15" i="21" l="1"/>
  <c r="S15" i="21"/>
  <c r="H15" i="21"/>
  <c r="W15" i="21"/>
  <c r="AC15" i="21"/>
  <c r="G69" i="21"/>
  <c r="J11" i="21"/>
  <c r="AA11" i="21"/>
  <c r="S11" i="21"/>
  <c r="C46" i="69"/>
  <c r="C45" i="69" s="1"/>
  <c r="C20" i="69"/>
  <c r="C28" i="69" s="1"/>
  <c r="C27" i="69" s="1"/>
  <c r="C16" i="12"/>
  <c r="C21" i="12" s="1"/>
  <c r="C22" i="12" s="1"/>
  <c r="C38" i="68"/>
  <c r="C33" i="68" s="1"/>
  <c r="C39" i="68" s="1"/>
  <c r="C46" i="68" s="1"/>
  <c r="C45" i="68" s="1"/>
  <c r="C49" i="67"/>
  <c r="C49" i="15"/>
  <c r="B3" i="76"/>
  <c r="C19" i="15"/>
  <c r="C15" i="67"/>
  <c r="C18" i="67"/>
  <c r="B40" i="1"/>
  <c r="Q74" i="67"/>
  <c r="Q61" i="67"/>
  <c r="P17" i="43"/>
  <c r="O17" i="43"/>
  <c r="M17" i="43"/>
  <c r="N17" i="43"/>
  <c r="Q73" i="67"/>
  <c r="Q60" i="67"/>
  <c r="B2" i="70"/>
  <c r="B3" i="70" s="1"/>
  <c r="Q74" i="15"/>
  <c r="Q61" i="15"/>
  <c r="Q60" i="15"/>
  <c r="Q73" i="15"/>
  <c r="M11" i="67"/>
  <c r="J10" i="67" s="1"/>
  <c r="J5" i="67" s="1"/>
  <c r="M11" i="15"/>
  <c r="J10" i="15" s="1"/>
  <c r="J5" i="15" s="1"/>
  <c r="F11" i="67"/>
  <c r="F11" i="15"/>
  <c r="R48" i="21" l="1"/>
  <c r="E48" i="21" s="1"/>
  <c r="E52" i="21" s="1"/>
  <c r="F52" i="21" s="1"/>
  <c r="U15" i="21"/>
  <c r="AB15" i="21"/>
  <c r="AC11" i="21"/>
  <c r="V48" i="21" s="1"/>
  <c r="I48" i="21" s="1"/>
  <c r="W11" i="21"/>
  <c r="H69" i="21"/>
  <c r="I69" i="21" s="1"/>
  <c r="J69" i="21" s="1"/>
  <c r="K69" i="21" s="1"/>
  <c r="L69" i="21" s="1"/>
  <c r="M69" i="21" s="1"/>
  <c r="H11" i="21"/>
  <c r="C19" i="67"/>
  <c r="C20" i="67" s="1"/>
  <c r="C26" i="67" s="1"/>
  <c r="J24" i="15"/>
  <c r="J18" i="15"/>
  <c r="J26" i="15"/>
  <c r="J29" i="15" s="1"/>
  <c r="J24" i="67"/>
  <c r="J18" i="67"/>
  <c r="J26" i="67"/>
  <c r="J29" i="67" s="1"/>
  <c r="C53" i="67"/>
  <c r="C48" i="67" s="1"/>
  <c r="C10" i="67"/>
  <c r="C5" i="67" s="1"/>
  <c r="C53" i="15"/>
  <c r="C48" i="15" s="1"/>
  <c r="C10" i="15"/>
  <c r="C5" i="15" s="1"/>
  <c r="F24" i="67"/>
  <c r="C24" i="67" s="1"/>
  <c r="F22" i="68"/>
  <c r="F24" i="15"/>
  <c r="C24" i="15" s="1"/>
  <c r="F25" i="12"/>
  <c r="C26" i="12" s="1"/>
  <c r="D25" i="12" s="1"/>
  <c r="F22" i="11"/>
  <c r="F22" i="69"/>
  <c r="C20" i="15"/>
  <c r="C26" i="15" s="1"/>
  <c r="U11" i="21" l="1"/>
  <c r="AB11" i="21"/>
  <c r="T48" i="21" s="1"/>
  <c r="I53" i="21"/>
  <c r="J53" i="21" s="1"/>
  <c r="I52" i="21"/>
  <c r="J52" i="21" s="1"/>
  <c r="C23" i="15"/>
  <c r="C29" i="15" s="1"/>
  <c r="C44" i="69"/>
  <c r="D41" i="69" s="1"/>
  <c r="C26" i="69"/>
  <c r="D22" i="69" s="1"/>
  <c r="C43" i="69"/>
  <c r="C23" i="69"/>
  <c r="C42" i="69"/>
  <c r="C41" i="69" s="1"/>
  <c r="C24" i="69"/>
  <c r="C25" i="69"/>
  <c r="C24" i="68"/>
  <c r="C44" i="68"/>
  <c r="D41" i="68" s="1"/>
  <c r="C26" i="68"/>
  <c r="D22" i="68" s="1"/>
  <c r="C23" i="68"/>
  <c r="C25" i="68"/>
  <c r="C42" i="68"/>
  <c r="C43" i="68"/>
  <c r="C60" i="15"/>
  <c r="C66" i="15"/>
  <c r="C38" i="67"/>
  <c r="C32" i="67"/>
  <c r="C23" i="67"/>
  <c r="C29" i="67" s="1"/>
  <c r="C24" i="11"/>
  <c r="C42" i="11"/>
  <c r="C44" i="11"/>
  <c r="D41" i="11" s="1"/>
  <c r="C26" i="11"/>
  <c r="D22" i="11" s="1"/>
  <c r="C25" i="11"/>
  <c r="C23" i="11"/>
  <c r="C43" i="11"/>
  <c r="C38" i="15"/>
  <c r="C32" i="15"/>
  <c r="C66" i="67"/>
  <c r="C60" i="67"/>
  <c r="G48" i="21" l="1"/>
  <c r="R49" i="21"/>
  <c r="C49" i="69"/>
  <c r="C51" i="69" s="1"/>
  <c r="C13" i="67"/>
  <c r="Q49" i="67"/>
  <c r="J19" i="67"/>
  <c r="J17" i="67" s="1"/>
  <c r="C36" i="67"/>
  <c r="C57" i="67"/>
  <c r="C33" i="67"/>
  <c r="C31" i="67" s="1"/>
  <c r="J14" i="67"/>
  <c r="J59" i="67"/>
  <c r="J60" i="67" s="1"/>
  <c r="C22" i="11"/>
  <c r="C31" i="11" s="1"/>
  <c r="C41" i="11"/>
  <c r="C49" i="11" s="1"/>
  <c r="C51" i="11" s="1"/>
  <c r="C41" i="68"/>
  <c r="C49" i="68" s="1"/>
  <c r="C51" i="68" s="1"/>
  <c r="C22" i="68"/>
  <c r="C31" i="68" s="1"/>
  <c r="C22" i="69"/>
  <c r="C31" i="69" s="1"/>
  <c r="C36" i="15"/>
  <c r="J14" i="15"/>
  <c r="C33" i="15"/>
  <c r="C31" i="15" s="1"/>
  <c r="J19" i="15"/>
  <c r="J17" i="15" s="1"/>
  <c r="C57" i="15"/>
  <c r="Q49" i="15"/>
  <c r="C13" i="15"/>
  <c r="J59" i="15"/>
  <c r="J60" i="15" s="1"/>
  <c r="C52" i="69" l="1"/>
  <c r="B2" i="69" s="1"/>
  <c r="B3" i="69" s="1"/>
  <c r="C49" i="21"/>
  <c r="C48" i="21"/>
  <c r="G52" i="21"/>
  <c r="H52" i="21" s="1"/>
  <c r="G53" i="21"/>
  <c r="H53" i="21" s="1"/>
  <c r="E53" i="21"/>
  <c r="F53" i="21" s="1"/>
  <c r="C52" i="68"/>
  <c r="B2" i="68" s="1"/>
  <c r="B3" i="68" s="1"/>
  <c r="C52" i="11"/>
  <c r="B2" i="11" s="1"/>
  <c r="B3" i="11" s="1"/>
  <c r="Q70" i="15"/>
  <c r="C37" i="15"/>
  <c r="C56" i="15"/>
  <c r="C65" i="15" s="1"/>
  <c r="C75" i="15"/>
  <c r="C61" i="15"/>
  <c r="C59" i="15" s="1"/>
  <c r="C64" i="15"/>
  <c r="C57" i="69"/>
  <c r="C56" i="69" s="1"/>
  <c r="J13" i="67"/>
  <c r="J23" i="67" s="1"/>
  <c r="J22" i="67"/>
  <c r="C61" i="67"/>
  <c r="C59" i="67" s="1"/>
  <c r="C64" i="67"/>
  <c r="C56" i="67"/>
  <c r="C65" i="67" s="1"/>
  <c r="C75" i="67"/>
  <c r="C37" i="67"/>
  <c r="C30" i="67" s="1"/>
  <c r="C39" i="67" s="1"/>
  <c r="Q70" i="67"/>
  <c r="Q48" i="15"/>
  <c r="L46" i="15"/>
  <c r="J13" i="15"/>
  <c r="J23" i="15" s="1"/>
  <c r="J22" i="15"/>
  <c r="C30" i="15"/>
  <c r="C39" i="15" s="1"/>
  <c r="Q48" i="67"/>
  <c r="L46" i="67"/>
  <c r="C20" i="9"/>
  <c r="C19" i="9"/>
  <c r="B3" i="21" l="1"/>
  <c r="C6" i="12" s="1"/>
  <c r="B2" i="21"/>
  <c r="C8" i="12" s="1"/>
  <c r="C4" i="12" s="1"/>
  <c r="C102" i="9"/>
  <c r="C21" i="9"/>
  <c r="C57" i="68"/>
  <c r="J16" i="67"/>
  <c r="J25" i="67" s="1"/>
  <c r="C56" i="11"/>
  <c r="C57" i="11" s="1"/>
  <c r="J16" i="15"/>
  <c r="J25" i="15" s="1"/>
  <c r="C103" i="9"/>
  <c r="Q69" i="67"/>
  <c r="Q68" i="67" s="1"/>
  <c r="C40" i="67"/>
  <c r="C80" i="67"/>
  <c r="C79" i="67" s="1"/>
  <c r="C58" i="67"/>
  <c r="C67" i="67" s="1"/>
  <c r="C68" i="67" s="1"/>
  <c r="C58" i="15"/>
  <c r="C67" i="15" s="1"/>
  <c r="C68" i="15" s="1"/>
  <c r="Q69" i="15"/>
  <c r="Q68" i="15" s="1"/>
  <c r="C40" i="15"/>
  <c r="C80" i="15"/>
  <c r="C79" i="15" s="1"/>
  <c r="L51" i="67"/>
  <c r="D35" i="9"/>
  <c r="L51" i="15"/>
  <c r="C31" i="12" l="1"/>
  <c r="C23" i="12"/>
  <c r="C56" i="68"/>
  <c r="Q67" i="15"/>
  <c r="L57" i="15"/>
  <c r="L60" i="15" s="1"/>
  <c r="Q67" i="67"/>
  <c r="L57" i="67"/>
  <c r="L60" i="67" s="1"/>
  <c r="C43" i="15"/>
  <c r="Q47" i="15"/>
  <c r="Q53" i="15" s="1"/>
  <c r="B2" i="15"/>
  <c r="B3" i="15" s="1"/>
  <c r="Q56" i="15"/>
  <c r="Q65" i="15"/>
  <c r="C83" i="15"/>
  <c r="C82" i="15" s="1"/>
  <c r="C46" i="15"/>
  <c r="C71" i="15"/>
  <c r="D2" i="67"/>
  <c r="Q56" i="67"/>
  <c r="Q65" i="67"/>
  <c r="Q47" i="67"/>
  <c r="Q53" i="67" s="1"/>
  <c r="C43" i="67"/>
  <c r="C83" i="67"/>
  <c r="C82" i="67" s="1"/>
  <c r="C45" i="67"/>
  <c r="C46" i="67" s="1"/>
  <c r="C71" i="67"/>
  <c r="D34" i="9"/>
  <c r="C30" i="12" l="1"/>
  <c r="C28" i="12" s="1"/>
  <c r="C27" i="12"/>
  <c r="C25" i="12" s="1"/>
  <c r="Q57" i="67"/>
  <c r="Q62" i="67" s="1"/>
  <c r="Q66" i="67"/>
  <c r="Q75" i="67" s="1"/>
  <c r="Q66" i="15"/>
  <c r="Q57" i="15"/>
  <c r="Q62" i="15" s="1"/>
  <c r="B3" i="67"/>
  <c r="B2" i="67"/>
  <c r="Q75" i="15"/>
  <c r="C32" i="12" l="1"/>
  <c r="B2" i="12" s="1"/>
  <c r="D19" i="9"/>
  <c r="D21" i="9" l="1"/>
  <c r="D102" i="9"/>
  <c r="D22" i="9"/>
  <c r="G19" i="9"/>
  <c r="B3" i="12"/>
  <c r="D20" i="9"/>
  <c r="D103" i="9" l="1"/>
  <c r="G20" i="9"/>
  <c r="G21" i="9"/>
  <c r="C32" i="9"/>
  <c r="H118" i="9" l="1"/>
  <c r="C35" i="9"/>
  <c r="F118" i="9" s="1"/>
  <c r="C34" i="9" l="1"/>
  <c r="D118" i="9" s="1"/>
  <c r="F713" i="78" s="1"/>
  <c r="G713" i="78" s="1"/>
  <c r="J713" i="78"/>
  <c r="K713" i="78" s="1"/>
  <c r="H119" i="9"/>
  <c r="H5" i="52" s="1"/>
  <c r="C104" i="9"/>
  <c r="H4" i="52"/>
  <c r="D14" i="74"/>
  <c r="I118" i="9"/>
  <c r="H101" i="9"/>
  <c r="G118" i="9"/>
  <c r="G4" i="52" s="1"/>
  <c r="B52" i="72" s="1"/>
  <c r="F119" i="9"/>
  <c r="F5" i="52" s="1"/>
  <c r="B53" i="72" s="1"/>
  <c r="H713" i="78"/>
  <c r="I713" i="78" s="1"/>
  <c r="F4" i="52"/>
  <c r="B51" i="72" s="1"/>
  <c r="D4" i="52" l="1"/>
  <c r="B47" i="72" s="1"/>
  <c r="D119" i="9"/>
  <c r="D5" i="52" s="1"/>
  <c r="B49" i="72" s="1"/>
  <c r="H102" i="9"/>
  <c r="D7" i="53" s="1"/>
  <c r="B21" i="72" s="1"/>
  <c r="I4" i="52"/>
  <c r="E118" i="9"/>
  <c r="E4" i="52" s="1"/>
  <c r="B48" i="72" s="1"/>
  <c r="C105" i="9"/>
  <c r="D45" i="9"/>
  <c r="M48" i="9"/>
  <c r="D5" i="53"/>
  <c r="H107" i="9"/>
  <c r="E14" i="74"/>
  <c r="F14" i="74"/>
  <c r="C78" i="9" l="1"/>
  <c r="C73" i="9" s="1"/>
  <c r="C72" i="9"/>
  <c r="C64" i="9"/>
  <c r="C63" i="9" s="1"/>
  <c r="C67" i="9" s="1"/>
  <c r="C68" i="9" s="1"/>
  <c r="D54" i="9" s="1"/>
  <c r="D55" i="9"/>
  <c r="M53" i="9" s="1"/>
  <c r="C93" i="9"/>
  <c r="C86" i="9" s="1"/>
  <c r="D52" i="9"/>
  <c r="C85" i="9"/>
  <c r="D53" i="9"/>
  <c r="H108" i="9"/>
  <c r="D15" i="53" s="1"/>
  <c r="B31" i="72" s="1"/>
  <c r="D122" i="9"/>
  <c r="D13" i="53"/>
  <c r="B20" i="72"/>
  <c r="D6" i="53"/>
  <c r="B22" i="72" s="1"/>
  <c r="C95" i="9" l="1"/>
  <c r="C96" i="9" s="1"/>
  <c r="E96" i="9" s="1"/>
  <c r="E97" i="9" s="1"/>
  <c r="D123" i="9"/>
  <c r="D9" i="52" s="1"/>
  <c r="D8" i="52"/>
  <c r="G14" i="74"/>
  <c r="C79" i="9"/>
  <c r="D14" i="53"/>
  <c r="B32" i="72" s="1"/>
  <c r="B30" i="72"/>
  <c r="C97" i="9" l="1"/>
  <c r="D58" i="9" s="1"/>
  <c r="D56" i="9" s="1"/>
  <c r="M54" i="9" s="1"/>
  <c r="N57" i="9" s="1"/>
  <c r="C80" i="9"/>
  <c r="E80" i="9" s="1"/>
  <c r="E81" i="9" s="1"/>
  <c r="C81" i="9" l="1"/>
  <c r="N58" i="9"/>
  <c r="P57" i="9"/>
  <c r="N59" i="9"/>
  <c r="N61" i="9" l="1"/>
  <c r="N60" i="9"/>
  <c r="D15" i="74" l="1"/>
  <c r="F15" i="74" l="1"/>
  <c r="B5" i="74"/>
  <c r="G15" i="74"/>
  <c r="B6" i="74" s="1"/>
  <c r="E15" i="74"/>
  <c r="D5" i="74" l="1"/>
  <c r="C5" i="74"/>
  <c r="D6" i="74"/>
  <c r="C6" i="74"/>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<sst xmlns="http://schemas.openxmlformats.org/spreadsheetml/2006/main" count="11509" uniqueCount="4074">
  <si>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</si>
  <si>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</si>
  <si>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</si>
  <si>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</si>
  <si>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</si>
  <si>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</si>
  <si>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</si>
  <si>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</si>
  <si>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</si>
  <si>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</si>
  <si>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</si>
  <si>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</si>
  <si>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</si>
  <si>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</si>
  <si>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</si>
  <si>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</si>
  <si>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</si>
  <si>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</si>
  <si>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</si>
  <si>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</si>
  <si>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</si>
  <si>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</si>
  <si>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</si>
  <si>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</si>
  <si>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</si>
  <si>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</si>
  <si>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</si>
  <si>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</si>
  <si>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</si>
  <si>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</si>
  <si>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</si>
  <si>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</si>
  <si>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</si>
  <si>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</si>
  <si>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</si>
  <si>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</si>
  <si>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</si>
  <si>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</si>
  <si>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</si>
  <si>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</si>
  <si>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</si>
  <si>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</si>
  <si>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</si>
  <si>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</si>
  <si>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</si>
  <si>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</si>
  <si>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</si>
  <si>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</si>
  <si>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</si>
  <si>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</si>
  <si>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</si>
  <si>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</si>
  <si>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</si>
  <si>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</si>
  <si>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</si>
  <si>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</si>
  <si>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</si>
  <si>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</si>
  <si>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</si>
  <si>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</si>
  <si>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</si>
  <si>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</si>
  <si>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</si>
  <si>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</si>
  <si>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</si>
  <si>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</si>
  <si>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</si>
  <si>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</si>
  <si>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</si>
  <si>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</si>
  <si>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</si>
  <si>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</si>
  <si>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</si>
  <si>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</si>
  <si>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</si>
  <si>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</si>
  <si>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</si>
  <si>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</si>
  <si>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</si>
  <si>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</si>
  <si>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</si>
  <si>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</si>
  <si>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</si>
  <si>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</si>
  <si>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</si>
  <si>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</si>
  <si>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</si>
  <si>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</si>
  <si>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</si>
  <si>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</si>
  <si>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</si>
  <si>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</si>
  <si>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</si>
  <si>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</si>
  <si>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</si>
  <si>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</si>
  <si>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</si>
  <si>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</si>
  <si>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</si>
  <si>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</si>
  <si>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</si>
  <si>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</si>
  <si>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</si>
  <si>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</si>
  <si>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</si>
  <si>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</si>
  <si>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</si>
  <si>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</si>
  <si>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</si>
  <si>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</si>
  <si>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</si>
  <si>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</si>
  <si>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</si>
  <si>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</si>
  <si>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</si>
  <si>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</si>
  <si>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</si>
  <si>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</si>
  <si>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</si>
  <si>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</si>
  <si>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</si>
  <si>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</si>
  <si>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</si>
  <si>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</si>
  <si>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</si>
  <si>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</si>
  <si>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</si>
  <si>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</si>
  <si>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</si>
  <si>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</si>
  <si>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</si>
  <si>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</si>
  <si>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</si>
  <si>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</si>
  <si>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</si>
  <si>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</si>
  <si>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</si>
  <si>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</si>
  <si>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</si>
  <si>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</si>
  <si>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</si>
  <si>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</si>
  <si>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</si>
  <si>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</si>
  <si>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</si>
  <si>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</si>
  <si>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</si>
  <si>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</si>
  <si>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</si>
  <si>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</si>
  <si>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</si>
  <si>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</si>
  <si>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</si>
  <si>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</si>
  <si>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</si>
  <si>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</si>
  <si>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</si>
  <si>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</si>
  <si>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</si>
  <si>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</si>
  <si>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</si>
  <si>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</si>
  <si>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</si>
  <si>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</si>
  <si>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</si>
  <si>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</si>
  <si>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</si>
  <si>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</si>
  <si>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</si>
  <si>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</si>
  <si>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</si>
  <si>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</si>
  <si>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</si>
  <si>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</si>
  <si>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</si>
  <si>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</si>
  <si>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</si>
  <si>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</si>
  <si>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</si>
  <si>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</si>
  <si>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</si>
  <si>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</si>
  <si>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</si>
  <si>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</si>
  <si>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</si>
  <si>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</si>
  <si>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</si>
  <si>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</si>
  <si>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</si>
  <si>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</si>
  <si>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</si>
  <si>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</si>
  <si>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</si>
  <si>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</si>
  <si>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</si>
  <si>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</si>
  <si>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</si>
  <si>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</si>
  <si>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</si>
  <si>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</si>
  <si>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</si>
  <si>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</si>
  <si>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</si>
  <si>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</si>
  <si>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</si>
  <si>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</si>
  <si>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</si>
  <si>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</si>
  <si>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</si>
  <si>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</si>
  <si>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</si>
  <si>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</si>
  <si>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</si>
  <si>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</si>
  <si>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</si>
  <si>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</si>
  <si>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</si>
  <si>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</si>
  <si>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</si>
  <si>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</si>
  <si>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</si>
  <si>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</si>
  <si>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</si>
  <si>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</si>
  <si>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</si>
  <si>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</si>
  <si>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</si>
  <si>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</si>
  <si>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</si>
  <si>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</si>
  <si>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</si>
  <si>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</si>
  <si>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</si>
  <si>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</si>
  <si>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</si>
  <si>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</si>
  <si>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</si>
  <si>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</si>
  <si>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</si>
  <si>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</si>
  <si>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</si>
  <si>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</si>
  <si>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</si>
  <si>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</si>
  <si>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</si>
  <si>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</si>
  <si>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</si>
  <si>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</si>
  <si>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</si>
  <si>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</si>
  <si>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</si>
  <si>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</si>
  <si>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</si>
  <si>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</si>
  <si>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</si>
  <si>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</si>
  <si>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</si>
  <si>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</si>
  <si>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</si>
  <si>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</si>
  <si>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</si>
  <si>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</si>
  <si>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</si>
  <si>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</si>
  <si>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</si>
  <si>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</si>
  <si>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</si>
  <si>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</si>
  <si>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</si>
  <si>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</si>
  <si>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</si>
  <si>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</si>
  <si>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</si>
  <si>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</si>
  <si>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</si>
  <si>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</si>
  <si>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</si>
  <si>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</si>
  <si>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</si>
  <si>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</si>
  <si>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</si>
  <si>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</si>
  <si>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</si>
  <si>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</si>
  <si>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</si>
  <si>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</si>
  <si>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</si>
  <si>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</si>
  <si>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</si>
  <si>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</si>
  <si>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</si>
  <si>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</si>
  <si>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</si>
  <si>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</si>
  <si>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</si>
  <si>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</si>
  <si>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</si>
  <si>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</si>
  <si>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</si>
  <si>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</si>
  <si>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</si>
  <si>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</si>
  <si>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</si>
  <si>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</si>
  <si>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</si>
  <si>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</si>
  <si>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</si>
  <si>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</si>
  <si>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</si>
  <si>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</si>
  <si>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</si>
  <si>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</si>
  <si>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</si>
  <si>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</si>
  <si>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</si>
  <si>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</si>
  <si>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</si>
  <si>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</si>
  <si>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</si>
  <si>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</si>
  <si>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</si>
  <si>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</si>
  <si>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</si>
  <si>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</si>
  <si>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</si>
  <si>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</si>
  <si>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</si>
  <si>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</si>
  <si>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</si>
  <si>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</si>
  <si>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</si>
  <si>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</si>
  <si>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</si>
  <si>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</si>
  <si>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</si>
  <si>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</si>
  <si>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</si>
  <si>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</si>
  <si>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</si>
  <si>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</si>
  <si>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</si>
  <si>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</si>
  <si>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</si>
  <si>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</si>
  <si>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</si>
  <si>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</si>
  <si>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</si>
  <si>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</si>
  <si>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</si>
  <si>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</si>
  <si>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</si>
  <si>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</si>
  <si>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</si>
  <si>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</si>
  <si>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</si>
  <si>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</si>
  <si>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</si>
  <si>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</si>
  <si>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</si>
  <si>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</si>
  <si>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</si>
  <si>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</si>
  <si>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</si>
  <si>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</si>
  <si>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</si>
  <si>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</si>
  <si>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</si>
  <si>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</si>
  <si>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</si>
  <si>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</si>
  <si>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</si>
  <si>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</si>
  <si>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</si>
  <si>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</si>
  <si>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</si>
  <si>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</si>
  <si>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</si>
  <si>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</si>
  <si>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</si>
  <si>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</si>
  <si>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</si>
  <si>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</si>
  <si>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</si>
  <si>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</si>
  <si>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</si>
  <si>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</si>
  <si>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</si>
  <si>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</si>
  <si>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</si>
  <si>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</si>
  <si>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</si>
  <si>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</si>
  <si>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</si>
  <si>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</si>
  <si>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</si>
  <si>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</si>
  <si>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</si>
  <si>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</si>
  <si>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</si>
  <si>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</si>
  <si>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</si>
  <si>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</si>
  <si>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</si>
  <si>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</si>
  <si>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</si>
  <si>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</si>
  <si>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</si>
  <si>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</si>
  <si>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</si>
  <si>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</si>
  <si>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</si>
  <si>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</si>
  <si>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</si>
  <si>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</si>
  <si>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</si>
  <si>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</si>
  <si>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</si>
  <si>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</si>
  <si>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</si>
  <si>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</si>
  <si>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</si>
  <si>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</si>
  <si>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</si>
  <si>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</si>
  <si>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</si>
  <si>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</si>
  <si>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</si>
  <si>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</si>
  <si>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</si>
  <si>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</si>
  <si>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</si>
  <si>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</si>
  <si>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</si>
  <si>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</si>
  <si>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</si>
  <si>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</si>
  <si>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</si>
  <si>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</si>
  <si>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</si>
  <si>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</si>
  <si>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</si>
  <si>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</si>
  <si>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</si>
  <si>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</si>
  <si>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</si>
  <si>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</si>
  <si>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</si>
  <si>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</si>
  <si>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</si>
  <si>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</si>
  <si>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</si>
  <si>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</si>
  <si>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</si>
  <si>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</si>
  <si>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</si>
  <si>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</si>
  <si>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</si>
  <si>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</si>
  <si>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</si>
  <si>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</si>
  <si>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</si>
  <si>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</si>
  <si>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</si>
  <si>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</si>
  <si>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</si>
  <si>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</si>
  <si>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</si>
  <si>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</si>
  <si>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</si>
  <si>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</si>
  <si>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</si>
  <si>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</si>
  <si>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</si>
  <si>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</si>
  <si>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</si>
  <si>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</si>
  <si>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</si>
  <si>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</si>
  <si>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</si>
  <si>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</si>
  <si>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</si>
  <si>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</si>
  <si>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</si>
  <si>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</si>
  <si>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</si>
  <si>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</si>
  <si>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</si>
  <si>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</si>
  <si>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</si>
  <si>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</si>
  <si>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</si>
  <si>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</si>
  <si>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</si>
  <si>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</si>
  <si>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</si>
  <si>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</si>
  <si>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</si>
  <si>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</si>
  <si>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</si>
  <si>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</si>
  <si>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</si>
  <si>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</si>
  <si>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</si>
  <si>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</si>
  <si>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</si>
  <si>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</si>
  <si>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</si>
  <si>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</si>
  <si>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</si>
  <si>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</si>
  <si>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</si>
  <si>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</si>
  <si>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</si>
  <si>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</si>
  <si>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</si>
  <si>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</si>
  <si>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</si>
  <si>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</si>
  <si>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</si>
  <si>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</si>
  <si>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</si>
  <si>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</si>
  <si>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</si>
  <si>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</si>
  <si>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</si>
  <si>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</si>
  <si>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</si>
  <si>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</si>
  <si>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</si>
  <si>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</si>
  <si>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</si>
  <si>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</si>
  <si>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</si>
  <si>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</si>
  <si>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</si>
  <si>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</si>
  <si>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</si>
  <si>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</si>
  <si>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</si>
  <si>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</si>
  <si>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</si>
  <si>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</si>
  <si>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</si>
  <si>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</si>
  <si>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</si>
  <si>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</si>
  <si>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</si>
  <si>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</si>
  <si>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</si>
  <si>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</si>
  <si>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</si>
  <si>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</si>
  <si>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</si>
  <si>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</si>
  <si>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</si>
  <si>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</si>
  <si>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</si>
  <si>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</si>
  <si>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</si>
  <si>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</si>
  <si>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</si>
  <si>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</si>
  <si>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</si>
  <si>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</si>
  <si>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</si>
  <si>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</si>
  <si>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</si>
  <si>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</si>
  <si>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</si>
  <si>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</si>
  <si>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</si>
  <si>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</si>
  <si>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</si>
  <si>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</si>
  <si>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</si>
  <si>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</si>
  <si>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</si>
  <si>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</si>
  <si>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</si>
  <si>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</si>
  <si>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</si>
  <si>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</si>
  <si>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</si>
  <si>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</si>
  <si>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</si>
  <si>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</si>
  <si>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</si>
  <si>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</si>
  <si>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</si>
  <si>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</si>
  <si>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</si>
  <si>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</si>
  <si>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</si>
  <si>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</si>
  <si>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</si>
  <si>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</si>
  <si>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</si>
  <si>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</si>
  <si>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</si>
  <si>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</si>
  <si>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</si>
  <si>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</si>
  <si>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</si>
  <si>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</si>
  <si>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</si>
  <si>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</si>
  <si>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</si>
  <si>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</si>
  <si>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</si>
  <si>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</si>
  <si>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</si>
  <si>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</si>
  <si>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</si>
  <si>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</si>
  <si>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</si>
  <si>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</si>
  <si>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</si>
  <si>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</si>
  <si>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</si>
  <si>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</si>
  <si>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</si>
  <si>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</si>
  <si>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</si>
  <si>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</si>
  <si>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</si>
  <si>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</si>
  <si>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</si>
  <si>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</si>
  <si>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</si>
  <si>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</si>
  <si>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</si>
  <si>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</si>
  <si>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</si>
  <si>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</si>
  <si>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</si>
  <si>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</si>
  <si>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</si>
  <si>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</si>
  <si>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</si>
  <si>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</si>
  <si>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</si>
  <si>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</si>
  <si>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</si>
  <si>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</si>
  <si>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</si>
  <si>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</si>
  <si>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</si>
  <si>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</si>
  <si>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</si>
  <si>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</si>
  <si>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</si>
  <si>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</si>
  <si>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</si>
  <si>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</si>
  <si>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</si>
  <si>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</si>
  <si>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</si>
  <si>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</si>
  <si>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</si>
  <si>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</si>
  <si>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</si>
  <si>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</si>
  <si>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</si>
  <si>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</si>
  <si>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</si>
  <si>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</si>
  <si>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</si>
  <si>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</si>
  <si>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</si>
  <si>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</si>
  <si>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</si>
  <si>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</si>
  <si>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</si>
  <si>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</si>
  <si>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</si>
  <si>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</si>
  <si>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</si>
  <si>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</si>
  <si>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</si>
  <si>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</si>
  <si>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</si>
  <si>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</si>
  <si>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</si>
  <si>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</si>
  <si>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</si>
  <si>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</si>
  <si>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</si>
  <si>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</si>
  <si>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</si>
  <si>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</si>
  <si>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</si>
  <si>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</si>
  <si>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</si>
  <si>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</si>
  <si>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</si>
  <si>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</si>
  <si>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</si>
  <si>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</si>
  <si>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</si>
  <si>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</si>
  <si>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</si>
  <si>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</si>
  <si>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</si>
  <si>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</si>
  <si>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</si>
  <si>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</si>
  <si>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</si>
  <si>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</si>
  <si>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</si>
  <si>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</si>
  <si>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</si>
  <si>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</si>
  <si>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</si>
  <si>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</si>
  <si>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</si>
  <si>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</si>
  <si>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</si>
  <si>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</si>
  <si>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</si>
  <si>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</si>
  <si>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</si>
  <si>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</si>
  <si>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</si>
  <si>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</si>
  <si>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</si>
  <si>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</si>
  <si>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</si>
  <si>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</si>
  <si>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</si>
  <si>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</si>
  <si>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</si>
  <si>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</si>
  <si>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</si>
  <si>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</si>
  <si>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</si>
  <si>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</si>
  <si>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</si>
  <si>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</si>
  <si>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</si>
  <si>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</si>
  <si>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</si>
  <si>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</si>
  <si>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</si>
  <si>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</si>
  <si>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</si>
  <si>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</si>
  <si>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</si>
  <si>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</si>
  <si>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</si>
  <si>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</si>
  <si>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</si>
  <si>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</si>
  <si>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</si>
  <si>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</si>
  <si>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</si>
  <si>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</si>
  <si>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</si>
  <si>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</si>
  <si>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</si>
  <si>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</si>
  <si>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</si>
  <si>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</si>
  <si>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</si>
  <si>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</si>
  <si>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</si>
  <si>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</si>
  <si>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</si>
  <si>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</si>
  <si>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</si>
  <si>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</si>
  <si>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</si>
  <si>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</si>
  <si>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</si>
  <si>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</si>
  <si>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</si>
  <si>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</si>
  <si>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</si>
  <si>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</si>
  <si>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</si>
  <si>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</si>
  <si>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</si>
  <si>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</si>
  <si>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</si>
  <si>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</si>
  <si>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</si>
  <si>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</si>
  <si>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</si>
  <si>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</si>
  <si>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</si>
  <si>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</si>
  <si>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</si>
  <si>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</si>
  <si>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</si>
  <si>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</si>
  <si>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</si>
  <si>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</si>
  <si>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</si>
  <si>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</si>
  <si>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</si>
  <si>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</si>
  <si>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</si>
  <si>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</si>
  <si>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</si>
  <si>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</si>
  <si>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</si>
  <si>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</si>
  <si>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</si>
  <si>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</si>
  <si>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</si>
  <si>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</si>
  <si>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</si>
  <si>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</si>
  <si>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</si>
  <si>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</si>
  <si>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</si>
  <si>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</si>
  <si>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</si>
  <si>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</si>
  <si>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</si>
  <si>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</si>
  <si>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</si>
  <si>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</si>
  <si>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</si>
  <si>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</si>
  <si>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</si>
  <si>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</si>
  <si>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</si>
  <si>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</si>
  <si>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</si>
  <si>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</si>
  <si>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</si>
  <si>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</si>
  <si>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</si>
  <si>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</si>
  <si>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</si>
  <si>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</si>
  <si>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</si>
  <si>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</si>
  <si>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</si>
  <si>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</si>
  <si>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</si>
  <si>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</si>
  <si>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</si>
  <si>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</si>
  <si>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</si>
  <si>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</si>
  <si>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</si>
  <si>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</si>
  <si>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</si>
  <si>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</si>
  <si>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</si>
  <si>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</si>
  <si>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</si>
  <si>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</si>
  <si>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</si>
  <si>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</si>
  <si>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</si>
  <si>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</si>
  <si>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</si>
  <si>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</si>
  <si>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</si>
  <si>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</si>
  <si>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</si>
  <si>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</si>
  <si>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</si>
  <si>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</si>
  <si>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</si>
  <si>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</si>
  <si>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</si>
  <si>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</si>
  <si>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</si>
  <si>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</si>
  <si>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</si>
  <si>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</si>
  <si>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</si>
  <si>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</si>
  <si>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</si>
  <si>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</si>
  <si>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</si>
  <si>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</si>
  <si>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</si>
  <si>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</si>
  <si>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</si>
  <si>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</si>
  <si>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</si>
  <si>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</si>
  <si>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</si>
  <si>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</si>
  <si>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</si>
  <si>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</si>
  <si>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</si>
  <si>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</si>
  <si>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</si>
  <si>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</si>
  <si>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</si>
  <si>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</si>
  <si>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</si>
  <si>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</si>
  <si>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</si>
  <si>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</si>
  <si>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</si>
  <si>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</si>
  <si>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</si>
  <si>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</si>
  <si>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</si>
  <si>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</si>
  <si>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</si>
  <si>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</si>
  <si>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</si>
  <si>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</si>
  <si>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</si>
  <si>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</si>
  <si>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</si>
  <si>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</si>
  <si>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</si>
  <si>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</si>
  <si>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</si>
  <si>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</si>
  <si>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</si>
  <si>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</si>
  <si>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</si>
  <si>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</si>
  <si>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</si>
  <si>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</si>
  <si>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</si>
  <si>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</si>
  <si>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</si>
  <si>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</si>
  <si>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</si>
  <si>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</si>
  <si>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</si>
  <si>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</si>
  <si>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</si>
  <si>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</si>
  <si>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</si>
  <si>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</si>
  <si>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</si>
  <si>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</si>
  <si>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</si>
  <si>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</si>
  <si>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</si>
  <si>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</si>
  <si>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</si>
  <si>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</si>
  <si>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</si>
  <si>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</si>
  <si>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</si>
  <si>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</si>
  <si>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</si>
  <si>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</si>
  <si>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</si>
  <si>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</si>
  <si>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</si>
  <si>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</si>
  <si>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</si>
  <si>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</si>
  <si>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</si>
  <si>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</si>
  <si>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</si>
  <si>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</si>
  <si>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</si>
  <si>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</si>
  <si>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</si>
  <si>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</si>
  <si>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</si>
  <si>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</si>
  <si>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</si>
  <si>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</si>
  <si>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</si>
  <si>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</si>
  <si>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</si>
  <si>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</si>
  <si>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</si>
  <si>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</si>
  <si>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</si>
  <si>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</si>
  <si>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</si>
  <si>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</si>
  <si>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</si>
  <si>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</si>
  <si>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</si>
  <si>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</si>
  <si>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</si>
  <si>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</si>
  <si>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</si>
  <si>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</si>
  <si>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</si>
  <si>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</si>
  <si>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</si>
  <si>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</si>
  <si>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</si>
  <si>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</si>
  <si>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</si>
  <si>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</si>
  <si>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</si>
  <si>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</si>
  <si>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</si>
  <si>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</si>
  <si>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</si>
  <si>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</si>
  <si>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</si>
  <si>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</si>
  <si>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</si>
  <si>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</si>
  <si>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</si>
  <si>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</si>
  <si>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</si>
  <si>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</si>
  <si>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</si>
  <si>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</si>
  <si>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</si>
  <si>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</si>
  <si>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</si>
  <si>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</si>
  <si>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</si>
  <si>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</si>
  <si>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</si>
  <si>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</si>
  <si>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</si>
  <si>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</si>
  <si>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</si>
  <si>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</si>
  <si>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</si>
  <si>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</si>
  <si>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</si>
  <si>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</si>
  <si>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</si>
  <si>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</si>
  <si>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</si>
  <si>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</si>
  <si>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</si>
  <si>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</si>
  <si>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</si>
  <si>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</si>
  <si>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</si>
  <si>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</si>
  <si>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</si>
  <si>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</si>
  <si>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</si>
  <si>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</si>
  <si>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</si>
  <si>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</si>
  <si>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</si>
  <si>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</si>
  <si>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</si>
  <si>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</si>
  <si>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</si>
  <si>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</si>
  <si>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</si>
  <si>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</si>
  <si>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</si>
  <si>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</si>
  <si>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</si>
  <si>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</si>
  <si>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</si>
  <si>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</si>
  <si>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</si>
  <si>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</si>
  <si>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</si>
  <si>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</si>
  <si>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</si>
  <si>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</si>
  <si>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</si>
  <si>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</si>
  <si>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</si>
  <si>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</si>
  <si>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</si>
  <si>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</si>
  <si>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</si>
  <si>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</si>
  <si>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</si>
  <si>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</si>
  <si>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</si>
  <si>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</si>
  <si>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</si>
  <si>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</si>
  <si>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</si>
  <si>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</si>
  <si>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</si>
  <si>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</si>
  <si>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</si>
  <si>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</si>
  <si>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</si>
  <si>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</si>
  <si>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</si>
  <si>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</si>
  <si>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</si>
  <si>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</si>
  <si>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</si>
  <si>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</si>
  <si>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</si>
  <si>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</si>
  <si>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</si>
  <si>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</si>
  <si>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</si>
  <si>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</si>
  <si>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</si>
  <si>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</si>
  <si>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</si>
  <si>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</si>
  <si>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</si>
  <si>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</si>
  <si>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</si>
  <si>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</si>
  <si>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</si>
  <si>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</si>
  <si>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</si>
  <si>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</si>
  <si>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</si>
  <si>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</si>
  <si>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</si>
  <si>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</si>
  <si>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</si>
  <si>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</si>
  <si>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</si>
  <si>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</si>
  <si>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</si>
  <si>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</si>
  <si>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</si>
  <si>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</si>
  <si>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</si>
  <si>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</si>
  <si>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</si>
  <si>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</si>
  <si>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</si>
  <si>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</si>
  <si>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</si>
  <si>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</si>
  <si>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</si>
  <si>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</si>
  <si>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</si>
  <si>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</si>
  <si>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</si>
  <si>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</si>
  <si>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</si>
  <si>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</si>
  <si>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</si>
  <si>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</si>
  <si>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</si>
  <si>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</si>
  <si>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</si>
  <si>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</si>
  <si>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</si>
  <si>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</si>
  <si>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</si>
  <si>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</si>
  <si>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</si>
  <si>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</si>
  <si>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</si>
  <si>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</si>
  <si>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</si>
  <si>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</si>
  <si>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</si>
  <si>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</si>
  <si>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</si>
  <si>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</si>
  <si>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</si>
  <si>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</si>
  <si>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</si>
  <si>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</si>
  <si>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</si>
  <si>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</si>
  <si>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</si>
  <si>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</si>
  <si>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</si>
  <si>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</si>
  <si>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</si>
  <si>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</si>
  <si>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</si>
  <si>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</si>
  <si>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</si>
  <si>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</si>
  <si>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</si>
  <si>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</si>
  <si>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</si>
  <si>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</si>
  <si>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</si>
  <si>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</si>
  <si>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</si>
  <si>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</si>
  <si>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</si>
  <si>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</si>
  <si>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</si>
  <si>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</si>
  <si>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</si>
  <si>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</si>
  <si>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</si>
  <si>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</si>
  <si>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</si>
  <si>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</si>
  <si>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</si>
  <si>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</si>
  <si>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</si>
  <si>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</si>
  <si>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</si>
  <si>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</si>
  <si>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</si>
  <si>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</si>
  <si>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</si>
  <si>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</si>
  <si>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</si>
  <si>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</si>
  <si>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</si>
  <si>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</si>
  <si>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</si>
  <si>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</si>
  <si>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</si>
  <si>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</si>
  <si>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</si>
  <si>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</si>
  <si>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</si>
  <si>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</si>
  <si>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</si>
  <si>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</si>
  <si>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</si>
  <si>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</si>
  <si>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</si>
  <si>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</si>
  <si>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</si>
  <si>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</si>
  <si>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</si>
  <si>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</si>
  <si>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</si>
  <si>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</si>
  <si>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</si>
  <si>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</si>
  <si>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</si>
  <si>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</si>
  <si>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</si>
  <si>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</si>
  <si>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</si>
  <si>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</si>
  <si>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</si>
  <si>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</si>
  <si>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</si>
  <si>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</si>
  <si>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</si>
  <si>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</si>
  <si>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</si>
  <si>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</si>
  <si>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</si>
  <si>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</si>
  <si>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</si>
  <si>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</si>
  <si>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</si>
  <si>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</si>
  <si>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</si>
  <si>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</si>
  <si>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</si>
  <si>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</si>
  <si>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</si>
  <si>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</si>
  <si>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</si>
  <si>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</si>
  <si>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</si>
  <si>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</si>
  <si>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</si>
  <si>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</si>
  <si>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</si>
  <si>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</si>
  <si>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</si>
  <si>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</si>
  <si>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</si>
  <si>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</si>
  <si>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</si>
  <si>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</si>
  <si>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</si>
  <si>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</si>
  <si>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</si>
  <si>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</si>
  <si>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</si>
  <si>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</si>
  <si>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</si>
  <si>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</si>
  <si>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</si>
  <si>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</si>
  <si>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</si>
  <si>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</si>
  <si>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</si>
  <si>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</si>
  <si>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</si>
  <si>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</si>
  <si>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</si>
  <si>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</si>
  <si>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</si>
  <si>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</si>
  <si>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</si>
  <si>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</si>
  <si>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</si>
  <si>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</si>
  <si>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</si>
  <si>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</si>
  <si>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</si>
  <si>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</si>
  <si>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</si>
  <si>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</si>
  <si>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</si>
  <si>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</si>
  <si>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</si>
  <si>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</si>
  <si>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</si>
  <si>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</si>
  <si>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</si>
  <si>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</si>
  <si>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</si>
  <si>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</si>
  <si>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</si>
  <si>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</si>
  <si>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</si>
  <si>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</si>
  <si>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</si>
  <si>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</si>
  <si>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</si>
  <si>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</si>
  <si>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</si>
  <si>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</si>
  <si>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</si>
  <si>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</si>
  <si>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</si>
  <si>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</si>
  <si>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</si>
  <si>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</si>
  <si>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</si>
  <si>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</si>
  <si>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</si>
  <si>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</si>
  <si>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</si>
  <si>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</si>
  <si>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</si>
  <si>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</si>
  <si>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</si>
  <si>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</si>
  <si>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</si>
  <si>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</si>
  <si>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</si>
  <si>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</si>
  <si>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</si>
  <si>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</si>
  <si>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</si>
  <si>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</si>
  <si>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</si>
  <si>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</si>
  <si>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</si>
  <si>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</si>
  <si>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</si>
  <si>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</si>
  <si>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</si>
  <si>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</si>
  <si>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</si>
  <si>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</si>
  <si>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</si>
  <si>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</si>
  <si>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</si>
  <si>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</si>
  <si>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</si>
  <si>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</si>
  <si>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</si>
  <si>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</si>
  <si>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</si>
  <si>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</si>
  <si>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</si>
  <si>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</si>
  <si>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</si>
  <si>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</si>
  <si>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</si>
  <si>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</si>
  <si>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</si>
  <si>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</si>
  <si>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</si>
  <si>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</si>
  <si>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</si>
  <si>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</si>
  <si>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</si>
  <si>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</si>
  <si>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</si>
  <si>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</si>
  <si>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</si>
  <si>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</si>
  <si>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</si>
  <si>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</si>
  <si>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</si>
  <si>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</si>
  <si>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</si>
  <si>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</si>
  <si>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</si>
  <si>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</si>
  <si>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</si>
  <si>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</si>
  <si>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</si>
  <si>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</si>
  <si>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</si>
  <si>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</si>
  <si>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</si>
  <si>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</si>
  <si>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</si>
  <si>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</si>
  <si>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</si>
  <si>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</si>
  <si>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</si>
  <si>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</si>
  <si>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</si>
  <si>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</si>
  <si>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</si>
  <si>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</si>
  <si>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</si>
  <si>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</si>
  <si>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</si>
  <si>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</si>
  <si>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</si>
  <si>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</si>
  <si>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</si>
  <si>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</si>
  <si>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</si>
  <si>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</si>
  <si>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</si>
  <si>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</si>
  <si>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</si>
  <si>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</si>
  <si>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</si>
  <si>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</si>
  <si>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</si>
  <si>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</si>
  <si>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</si>
  <si>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</si>
  <si>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</si>
  <si>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</si>
  <si>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</si>
  <si>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</si>
  <si>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</si>
  <si>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</si>
  <si>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</si>
  <si>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</si>
  <si>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</si>
  <si>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</si>
  <si>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</si>
  <si>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</si>
  <si>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</si>
  <si>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</si>
  <si>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</si>
  <si>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</si>
  <si>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</si>
  <si>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</si>
  <si>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</si>
  <si>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</si>
  <si>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</si>
  <si>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</si>
  <si>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</si>
  <si>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</si>
  <si>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</si>
  <si>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</si>
  <si>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</si>
  <si>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</si>
  <si>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</si>
  <si>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</si>
  <si>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</si>
  <si>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</si>
  <si>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</si>
  <si>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</si>
  <si>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</si>
  <si>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</si>
  <si>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</si>
  <si>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</si>
  <si>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</si>
  <si>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</si>
  <si>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</si>
  <si>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</si>
  <si>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</si>
  <si>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</si>
  <si>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</si>
  <si>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</si>
  <si>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</si>
  <si>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</si>
  <si>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</si>
  <si>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</si>
  <si>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</si>
  <si>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</si>
  <si>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</si>
  <si>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</si>
  <si>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</si>
  <si>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</si>
  <si>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</si>
  <si>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</si>
  <si>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</si>
  <si>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</si>
  <si>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</si>
  <si>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</si>
  <si>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</si>
  <si>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</si>
  <si>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</si>
  <si>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</si>
  <si>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</si>
  <si>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</si>
  <si>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</si>
  <si>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</si>
  <si>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</si>
  <si>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</si>
  <si>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</si>
  <si>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</si>
  <si>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</si>
  <si>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</si>
  <si>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</si>
  <si>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</si>
  <si>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</si>
  <si>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</si>
  <si>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</si>
  <si>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</si>
  <si>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</si>
  <si>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</si>
  <si>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</si>
  <si>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</si>
  <si>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</si>
  <si>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</si>
  <si>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</si>
  <si>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</si>
  <si>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</si>
  <si>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</si>
  <si>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</si>
  <si>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</si>
  <si>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</si>
  <si>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</si>
  <si>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</si>
  <si>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</si>
  <si>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</si>
  <si>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</si>
  <si>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</si>
  <si>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</si>
  <si>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</si>
  <si>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</si>
  <si>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</si>
  <si>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</si>
  <si>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</si>
  <si>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</si>
  <si>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</si>
  <si>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</si>
  <si>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</si>
  <si>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</si>
  <si>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</si>
  <si>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</si>
  <si>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</si>
  <si>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</si>
  <si>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</si>
  <si>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</si>
  <si>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</si>
  <si>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</si>
  <si>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</si>
  <si>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</si>
  <si>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</si>
  <si>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</si>
  <si>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</si>
  <si>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</si>
  <si>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</si>
  <si>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</si>
  <si>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</si>
  <si>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</si>
  <si>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</si>
  <si>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</si>
  <si>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</si>
  <si>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</si>
  <si>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</si>
  <si>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</si>
  <si>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</si>
  <si>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</si>
  <si>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</si>
  <si>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</si>
  <si>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</si>
  <si>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</si>
  <si>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</si>
  <si>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</si>
  <si>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</si>
  <si>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</si>
  <si>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</si>
  <si>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</si>
  <si>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</si>
  <si>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</si>
  <si>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</si>
  <si>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</si>
  <si>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</si>
  <si>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</si>
  <si>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</si>
  <si>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</si>
  <si>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</si>
  <si>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</si>
  <si>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</si>
  <si>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</si>
  <si>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</si>
  <si>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</si>
  <si>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</si>
  <si>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</si>
  <si>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</si>
  <si>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</si>
  <si>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</si>
  <si>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</si>
  <si>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</si>
  <si>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</si>
  <si>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</si>
  <si>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</si>
  <si>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</si>
  <si>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</si>
  <si>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</si>
  <si>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</si>
  <si>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</si>
  <si>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</si>
  <si>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</si>
  <si>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</si>
  <si>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</si>
  <si>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</si>
  <si>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</si>
  <si>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</si>
  <si>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</si>
  <si>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</si>
  <si>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</si>
  <si>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</si>
  <si>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</si>
  <si>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</si>
  <si>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</si>
  <si>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</si>
  <si>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</si>
  <si>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</si>
  <si>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</si>
  <si>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</si>
  <si>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</si>
  <si>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</si>
  <si>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</si>
  <si>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</si>
  <si>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</si>
  <si>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</si>
  <si>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</si>
  <si>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</si>
  <si>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</si>
  <si>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</si>
  <si>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</si>
  <si>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</si>
  <si>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</si>
  <si>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</si>
  <si>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</si>
  <si>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</si>
  <si>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</si>
  <si>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</si>
  <si>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</si>
  <si>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</si>
  <si>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</si>
  <si>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</si>
  <si>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</si>
  <si>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</si>
  <si>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</si>
  <si>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</si>
  <si>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</si>
  <si>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</si>
  <si>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</si>
  <si>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</si>
  <si>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</si>
  <si>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</si>
  <si>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</si>
  <si>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</si>
  <si>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</si>
  <si>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</si>
  <si>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</si>
  <si>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</si>
  <si>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</si>
  <si>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</si>
  <si>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</si>
  <si>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</si>
  <si>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</si>
  <si>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</si>
  <si>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</si>
  <si>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</si>
  <si>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</si>
  <si>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</si>
  <si>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</si>
  <si>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</si>
  <si>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</si>
  <si>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</si>
  <si>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</si>
  <si>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</si>
  <si>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</si>
  <si>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</si>
  <si>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</si>
  <si>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</si>
  <si>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</si>
  <si>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</si>
  <si>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</si>
  <si>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</si>
  <si>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</si>
  <si>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</si>
  <si>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</si>
  <si>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</si>
  <si>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</si>
  <si>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</si>
  <si>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</si>
  <si>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</si>
  <si>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</si>
  <si>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</si>
  <si>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</si>
  <si>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</si>
  <si>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</si>
  <si>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</si>
  <si>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</si>
  <si>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</si>
  <si>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</si>
  <si>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</si>
  <si>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</si>
  <si>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</si>
  <si>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</si>
  <si>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</si>
  <si>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</si>
  <si>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</si>
  <si>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</si>
  <si>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</si>
  <si>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</si>
  <si>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</si>
  <si>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</si>
  <si>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</si>
  <si>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</si>
  <si>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</si>
  <si>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</si>
  <si>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</si>
  <si>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</si>
  <si>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</si>
  <si>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</si>
  <si>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</si>
  <si>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</si>
  <si>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</si>
  <si>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</si>
  <si>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</si>
  <si>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</si>
  <si>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</si>
  <si>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</si>
  <si>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</si>
  <si>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</si>
  <si>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</si>
  <si>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</si>
  <si>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</si>
  <si>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</si>
  <si>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</si>
  <si>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</si>
  <si>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</si>
  <si>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</si>
  <si>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</si>
  <si>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</si>
  <si>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</si>
  <si>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</si>
  <si>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</si>
  <si>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</si>
  <si>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</si>
  <si>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</si>
  <si>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</si>
  <si>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</si>
  <si>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</si>
  <si>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</si>
  <si>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</si>
  <si>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</si>
  <si>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</si>
  <si>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</si>
  <si>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</si>
  <si>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</si>
  <si>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</si>
  <si>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</si>
  <si>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</si>
  <si>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</si>
  <si>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</si>
  <si>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</si>
  <si>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</si>
  <si>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</si>
  <si>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</si>
  <si>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</si>
  <si>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</si>
  <si>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</si>
  <si>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</si>
  <si>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</si>
  <si>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</si>
  <si>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</si>
  <si>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</si>
  <si>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</si>
  <si>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</si>
  <si>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</si>
  <si>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</si>
  <si>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</si>
  <si>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</si>
  <si>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</si>
  <si>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</si>
  <si>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</si>
  <si>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</si>
  <si>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</si>
  <si>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</si>
  <si>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</si>
  <si>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</si>
  <si>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</si>
  <si>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</si>
  <si>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</si>
  <si>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</si>
  <si>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</si>
  <si>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</si>
  <si>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</si>
  <si>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</si>
  <si>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</si>
  <si>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</si>
  <si>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</si>
  <si>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</si>
  <si>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</si>
  <si>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</si>
  <si>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</si>
  <si>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</si>
  <si>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</si>
  <si>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</si>
  <si>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</si>
  <si>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</si>
  <si>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</si>
  <si>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</si>
  <si>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</si>
  <si>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</si>
  <si>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</si>
  <si>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</si>
  <si>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</si>
  <si>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</si>
  <si>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</si>
  <si>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</si>
  <si>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</si>
  <si>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</si>
  <si>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</si>
  <si>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</si>
  <si>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</si>
  <si>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</si>
  <si>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</si>
  <si>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</si>
  <si>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</si>
  <si>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</si>
  <si>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</si>
  <si>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</si>
  <si>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</si>
  <si>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</si>
  <si>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</si>
  <si>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</si>
  <si>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</si>
  <si>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</si>
  <si>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</si>
  <si>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</si>
  <si>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</si>
  <si>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</si>
  <si>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</si>
  <si>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</si>
  <si>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</si>
  <si>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</si>
  <si>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</si>
  <si>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</si>
  <si>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</si>
  <si>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</si>
  <si>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</si>
  <si>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</si>
  <si>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</si>
  <si>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</si>
  <si>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</si>
  <si>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</si>
  <si>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</si>
  <si>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</si>
  <si>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</si>
  <si>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</si>
  <si>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</si>
  <si>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</si>
  <si>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</si>
  <si>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</si>
  <si>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</si>
  <si>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</si>
  <si>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</si>
  <si>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</si>
  <si>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</si>
  <si>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</si>
  <si>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</si>
  <si>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</si>
  <si>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</si>
  <si>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</si>
  <si>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</si>
  <si>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</si>
  <si>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</si>
  <si>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</si>
  <si>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</si>
  <si>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</si>
  <si>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</si>
  <si>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</si>
  <si>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</si>
  <si>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</si>
  <si>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</si>
  <si>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</si>
  <si>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</si>
  <si>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</si>
  <si>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</si>
  <si>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</si>
  <si>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</si>
  <si>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</si>
  <si>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</si>
  <si>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</si>
  <si>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</si>
  <si>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</si>
  <si>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</si>
  <si>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</si>
  <si>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</si>
  <si>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</si>
  <si>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</si>
  <si>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</si>
  <si>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</si>
  <si>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</si>
  <si>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</si>
  <si>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</si>
  <si>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</si>
  <si>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</si>
  <si>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</si>
  <si>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</si>
  <si>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</si>
  <si>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</si>
  <si>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</si>
  <si>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</si>
  <si>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</si>
  <si>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</si>
  <si>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</si>
  <si>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</si>
  <si>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</si>
  <si>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</si>
  <si>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</si>
  <si>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</si>
  <si>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</si>
  <si>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</si>
  <si>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</si>
  <si>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</si>
  <si>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</si>
  <si>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</si>
  <si>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</si>
  <si>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</si>
  <si>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</si>
  <si>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</si>
  <si>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</si>
  <si>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</si>
  <si>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</si>
  <si>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</si>
  <si>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</si>
  <si>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</si>
  <si>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</si>
  <si>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</si>
  <si>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</si>
  <si>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</si>
  <si>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</si>
  <si>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</si>
  <si>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</si>
  <si>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</si>
  <si>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</si>
  <si>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</si>
  <si>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</si>
  <si>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</si>
  <si>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</si>
  <si>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</si>
  <si>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</si>
  <si>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</si>
  <si>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</si>
  <si>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</si>
  <si>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</si>
  <si>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</si>
  <si>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</si>
  <si>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</si>
  <si>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</si>
  <si>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</si>
  <si>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</si>
  <si>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</si>
  <si>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</si>
  <si>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</si>
  <si>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</si>
  <si>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</si>
  <si>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</si>
  <si>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</si>
  <si>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</si>
  <si>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</si>
  <si>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</si>
  <si>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</si>
  <si>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</si>
  <si>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</si>
  <si>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</si>
  <si>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</si>
  <si>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</si>
  <si>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</si>
  <si>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</si>
  <si>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</si>
  <si>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</si>
  <si>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</si>
  <si>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</si>
  <si>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</si>
  <si>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</si>
  <si>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</si>
  <si>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</si>
  <si>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</si>
  <si>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</si>
  <si>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</si>
  <si>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</si>
  <si>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</si>
  <si>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</si>
  <si>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</si>
  <si>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</si>
  <si>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</si>
  <si>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</si>
  <si>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</si>
  <si>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</si>
  <si>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</si>
  <si>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</si>
  <si>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</si>
  <si>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</si>
  <si>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</si>
  <si>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</si>
  <si>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</si>
  <si>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</si>
  <si>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</si>
  <si>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</si>
  <si>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</si>
  <si>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</si>
  <si>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</si>
  <si>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</si>
  <si>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</si>
  <si>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</si>
  <si>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</si>
  <si>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</si>
  <si>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</si>
  <si>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</si>
  <si>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</si>
  <si>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</si>
  <si>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</si>
  <si>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</si>
  <si>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</si>
  <si>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</si>
  <si>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</si>
  <si>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</si>
  <si>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</si>
  <si>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</si>
  <si>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</si>
  <si>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</si>
  <si>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</si>
  <si>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</si>
  <si>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</si>
  <si>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</si>
  <si>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</si>
  <si>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</si>
  <si>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</si>
  <si>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</si>
  <si>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</si>
  <si>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</si>
  <si>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</si>
  <si>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</si>
  <si>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</si>
  <si>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</si>
  <si>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</si>
  <si>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</si>
  <si>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</si>
  <si>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</si>
  <si>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</si>
  <si>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</si>
  <si>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</si>
  <si>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</si>
  <si>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</si>
  <si>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</si>
  <si>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</si>
  <si>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</si>
  <si>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</si>
  <si>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</si>
  <si>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</si>
  <si>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</si>
  <si>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</si>
  <si>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</si>
  <si>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</si>
  <si>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</si>
  <si>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</si>
  <si>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</si>
  <si>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</si>
  <si>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</si>
  <si>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</si>
  <si>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</si>
  <si>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</si>
  <si>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</si>
  <si>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</si>
  <si>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</si>
  <si>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</si>
  <si>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</si>
  <si>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</si>
  <si>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</si>
  <si>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</si>
  <si>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</si>
  <si>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</si>
  <si>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</si>
  <si>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</si>
  <si>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</si>
  <si>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</si>
  <si>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</si>
  <si>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</si>
  <si>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</si>
  <si>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</si>
  <si>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</si>
  <si>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</si>
  <si>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</si>
  <si>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</si>
  <si>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</si>
  <si>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</si>
  <si>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</si>
  <si>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</si>
  <si>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</si>
  <si>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</si>
  <si>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</si>
  <si>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</si>
  <si>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</si>
  <si>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</si>
  <si>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</si>
  <si>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</si>
  <si>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</si>
  <si>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</si>
  <si>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</si>
  <si>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</si>
  <si>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</si>
  <si>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</si>
  <si>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</si>
  <si>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</si>
  <si>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</si>
  <si>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</si>
  <si>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</si>
  <si>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</si>
  <si>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</si>
  <si>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</si>
  <si>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</si>
  <si>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</si>
  <si>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</si>
  <si>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</si>
  <si>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</si>
  <si>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</si>
  <si>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</si>
  <si>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</si>
  <si>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</si>
  <si>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</si>
  <si>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</si>
  <si>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</si>
  <si>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</si>
  <si>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</si>
  <si>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</si>
  <si>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</si>
  <si>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</si>
  <si>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</si>
  <si>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</si>
  <si>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</si>
  <si>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</si>
  <si>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</si>
  <si>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</si>
  <si>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</si>
  <si>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</si>
  <si>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</si>
  <si>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</si>
  <si>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</si>
  <si>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</si>
  <si>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</si>
  <si>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</si>
  <si>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</si>
  <si>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</si>
  <si>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</si>
  <si>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</si>
  <si>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</si>
  <si>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</si>
  <si>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</si>
  <si>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</si>
  <si>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</si>
  <si>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</si>
  <si>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</si>
  <si>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</si>
  <si>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</si>
  <si>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</si>
  <si>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</si>
  <si>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</si>
  <si>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</si>
  <si>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</si>
  <si>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</si>
  <si>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</si>
  <si>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</si>
  <si>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</si>
  <si>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</si>
  <si>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</si>
  <si>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</si>
  <si>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</si>
  <si>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</si>
  <si>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</si>
  <si>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</si>
  <si>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</si>
  <si>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</si>
  <si>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</si>
  <si>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</si>
  <si>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</si>
  <si>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</si>
  <si>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</si>
  <si>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</si>
  <si>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</si>
  <si>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</si>
  <si>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</si>
  <si>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</si>
  <si>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</si>
  <si>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</si>
  <si>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</si>
  <si>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</si>
  <si>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</si>
  <si>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</si>
  <si>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</si>
  <si>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</si>
  <si>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</si>
  <si>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</si>
  <si>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</si>
  <si>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</si>
  <si>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</si>
  <si>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</si>
  <si>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</si>
  <si>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</si>
  <si>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</si>
  <si>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</si>
  <si>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</si>
  <si>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</si>
  <si>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</si>
  <si>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</si>
  <si>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</si>
  <si>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</si>
  <si>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</si>
  <si>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</si>
  <si>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</si>
  <si>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</si>
  <si>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</si>
  <si>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</si>
  <si>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</si>
  <si>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</si>
  <si>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</si>
  <si>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</si>
  <si>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</si>
  <si>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</si>
  <si>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</si>
  <si>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</si>
  <si>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</si>
  <si>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</si>
  <si>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</si>
  <si>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</si>
  <si>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</si>
  <si>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</si>
  <si>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</si>
  <si>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</si>
  <si>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</si>
  <si>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</si>
  <si>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</si>
  <si>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</si>
  <si>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</si>
  <si>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</si>
  <si>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</si>
  <si>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</si>
  <si>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</si>
  <si>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</si>
  <si>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</si>
  <si>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</si>
  <si>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</si>
  <si>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</si>
  <si>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</si>
  <si>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</si>
  <si>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</si>
  <si>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</si>
  <si>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</si>
  <si>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</si>
  <si>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</si>
  <si>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</si>
  <si>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</si>
  <si>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</si>
  <si>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</si>
  <si>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</si>
  <si>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</si>
  <si>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</si>
  <si>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</si>
  <si>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</si>
  <si>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</si>
  <si>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</si>
  <si>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</si>
  <si>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</si>
  <si>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</si>
  <si>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</si>
  <si>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</si>
  <si>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</si>
  <si>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</si>
  <si>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</si>
  <si>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</si>
  <si>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</si>
  <si>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</si>
  <si>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</si>
  <si>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</si>
  <si>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</si>
  <si>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</si>
  <si>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</si>
  <si>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</si>
  <si>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</si>
  <si>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</si>
  <si>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</si>
  <si>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</si>
  <si>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</si>
  <si>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</si>
  <si>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</si>
  <si>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</si>
  <si>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</si>
  <si>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</si>
  <si>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</si>
  <si>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</si>
  <si>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</si>
  <si>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</si>
  <si>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</si>
  <si>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</si>
  <si>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</si>
  <si>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</si>
  <si>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</si>
  <si>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</si>
  <si>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</si>
  <si>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</si>
  <si>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</si>
  <si>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</si>
  <si>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</si>
  <si>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</si>
  <si>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</si>
  <si>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</si>
  <si>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</si>
  <si>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</si>
  <si>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</si>
  <si>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</si>
  <si>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</si>
  <si>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</si>
  <si>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</si>
  <si>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</si>
  <si>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</si>
  <si>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</si>
  <si>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</si>
  <si>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</si>
  <si>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</si>
  <si>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</si>
  <si>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</si>
  <si>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</si>
  <si>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</si>
  <si>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</si>
  <si>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</si>
  <si>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</si>
  <si>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</si>
  <si>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</si>
  <si>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</si>
  <si>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</si>
  <si>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</si>
  <si>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</si>
  <si>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</si>
  <si>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</si>
  <si>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</si>
  <si>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</si>
  <si>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</si>
  <si>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</si>
  <si>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</si>
  <si>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</si>
  <si>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</si>
  <si>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</si>
  <si>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</si>
  <si>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</si>
  <si>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</si>
  <si>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</si>
  <si>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</si>
  <si>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</si>
  <si>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</si>
  <si>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</si>
  <si>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</si>
  <si>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</si>
  <si>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</si>
  <si>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</si>
  <si>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</si>
  <si>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</si>
  <si>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</si>
  <si>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</si>
  <si>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</si>
  <si>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</si>
  <si>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</si>
  <si>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</si>
  <si>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</si>
  <si>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</si>
  <si>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</si>
  <si>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</si>
  <si>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</si>
  <si>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</si>
  <si>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</si>
  <si>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</si>
  <si>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</si>
  <si>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</si>
  <si>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</si>
  <si>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</si>
  <si>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</si>
  <si>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</si>
  <si>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</si>
  <si>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</si>
  <si>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</si>
  <si>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</si>
  <si>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</si>
  <si>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</si>
  <si>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</si>
  <si>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</si>
  <si>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</si>
  <si>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</si>
  <si>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</si>
  <si>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</si>
  <si>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</si>
  <si>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</si>
  <si>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</si>
  <si>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</si>
  <si>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</si>
  <si>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</si>
  <si>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</si>
  <si>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</si>
  <si>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</si>
  <si>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</si>
  <si>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</si>
  <si>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</si>
  <si>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</si>
  <si>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</si>
  <si>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</si>
  <si>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</si>
  <si>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</si>
  <si>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</si>
  <si>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</si>
  <si>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</si>
  <si>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</si>
  <si>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</si>
  <si>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</si>
  <si>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</si>
  <si>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</si>
  <si>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</si>
  <si>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</si>
  <si>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</si>
  <si>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</si>
  <si>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</si>
  <si>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</si>
  <si>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</si>
  <si>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</si>
  <si>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</si>
  <si>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</si>
  <si>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</si>
  <si>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</si>
  <si>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</si>
  <si>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</si>
  <si>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</si>
  <si>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</si>
  <si>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</si>
  <si>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</si>
  <si>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</si>
  <si>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</si>
  <si>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</si>
  <si>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</si>
  <si>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</si>
  <si>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</si>
  <si>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</si>
  <si>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</si>
  <si>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</si>
  <si>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</si>
  <si>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</si>
  <si>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</si>
  <si>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</si>
  <si>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</si>
  <si>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</si>
  <si>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</si>
  <si>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</si>
  <si>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</si>
  <si>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</si>
  <si>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</si>
  <si>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</si>
  <si>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</si>
  <si>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</si>
  <si>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</si>
  <si>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</si>
  <si>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</si>
  <si>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</si>
  <si>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</si>
  <si>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</si>
  <si>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</si>
  <si>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</si>
  <si>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</si>
  <si>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</si>
  <si>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</si>
  <si>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</si>
  <si>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</si>
  <si>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</si>
  <si>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</si>
  <si>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</si>
  <si>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</si>
  <si>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</si>
  <si>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</si>
  <si>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</si>
  <si>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</si>
  <si>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</si>
  <si>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</si>
  <si>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</si>
  <si>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</si>
  <si>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</si>
  <si>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</si>
  <si>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</si>
  <si>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</si>
  <si>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</si>
  <si>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</si>
  <si>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</si>
  <si>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</si>
  <si>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</si>
  <si>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</si>
  <si>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</si>
  <si>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</si>
  <si>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</si>
  <si>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</si>
  <si>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</si>
  <si>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</si>
  <si>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</si>
  <si>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</si>
  <si>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</si>
  <si>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</si>
  <si>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</si>
  <si>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</si>
  <si>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</si>
  <si>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</si>
  <si>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</si>
  <si>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</si>
  <si>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</si>
  <si>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</si>
  <si>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</si>
  <si>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</si>
  <si>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</si>
  <si>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</si>
  <si>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</si>
  <si>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</si>
  <si>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</si>
  <si>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</si>
  <si>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</si>
  <si>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</si>
  <si>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</si>
  <si>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</si>
  <si>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</si>
  <si>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</si>
  <si>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</si>
  <si>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</si>
  <si>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</si>
  <si>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</si>
  <si>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</si>
  <si>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</si>
  <si>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</si>
  <si>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</si>
  <si>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</si>
  <si>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</si>
  <si>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</si>
  <si>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</si>
  <si>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</si>
  <si>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</si>
  <si>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</si>
  <si>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</si>
  <si>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</si>
  <si>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</si>
  <si>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</si>
  <si>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</si>
  <si>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</si>
  <si>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</si>
  <si>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</si>
  <si>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</si>
  <si>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</si>
  <si>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</si>
  <si>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</si>
  <si>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</si>
  <si>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</si>
  <si>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</si>
  <si>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</si>
  <si>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</si>
  <si>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</si>
  <si>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</si>
  <si>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</si>
  <si>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</si>
  <si>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</si>
  <si>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</si>
  <si>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</si>
  <si>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</si>
  <si>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</si>
  <si>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</si>
  <si>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</si>
  <si>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</si>
  <si>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</si>
  <si>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</si>
  <si>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</si>
  <si>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</si>
  <si>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</si>
  <si>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</si>
  <si>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</si>
  <si>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</si>
  <si>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</si>
  <si>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</si>
  <si>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</si>
  <si>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</si>
  <si>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</si>
  <si>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</si>
  <si>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</si>
  <si>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</si>
  <si>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</si>
  <si>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</si>
  <si>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</si>
  <si>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</si>
  <si>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</si>
  <si>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</si>
  <si>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</si>
  <si>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</si>
  <si>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</si>
  <si>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</si>
  <si>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</si>
  <si>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</si>
  <si>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</si>
  <si>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</si>
  <si>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</si>
  <si>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</si>
  <si>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</si>
  <si>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</si>
  <si>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</si>
  <si>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</si>
  <si>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</si>
  <si>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</si>
  <si>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</si>
  <si>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</si>
  <si>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</si>
  <si>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</si>
  <si>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</si>
  <si>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</si>
  <si>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</si>
  <si>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</si>
  <si>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</si>
  <si>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</si>
  <si>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</si>
  <si>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</si>
  <si>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</si>
  <si>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</si>
  <si>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</si>
  <si>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</si>
  <si>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</si>
  <si>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</si>
  <si>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</si>
  <si>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</si>
  <si>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</si>
  <si>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</si>
  <si>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</si>
  <si>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</si>
  <si>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</si>
  <si>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</si>
  <si>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</si>
  <si>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</si>
  <si>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</si>
  <si>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</si>
  <si>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</si>
  <si>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</si>
  <si>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</si>
  <si>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</si>
  <si>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</si>
  <si>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</si>
  <si>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</si>
  <si>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</si>
  <si>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</si>
  <si>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</si>
  <si>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</si>
  <si>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</si>
  <si>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</si>
  <si>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</si>
  <si>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</si>
  <si>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</si>
  <si>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</si>
  <si>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</si>
  <si>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</si>
  <si>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</si>
  <si>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</si>
  <si>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</si>
  <si>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</si>
  <si>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</si>
  <si>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</si>
  <si>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</si>
  <si>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</si>
  <si>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</si>
  <si>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</si>
  <si>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</si>
  <si>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</si>
  <si>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</si>
  <si>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</si>
  <si>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</si>
  <si>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</si>
  <si>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</si>
  <si>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</si>
  <si>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</si>
  <si>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</si>
  <si>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</si>
  <si>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</si>
  <si>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</si>
  <si>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</si>
  <si>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</si>
  <si>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</si>
  <si>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</si>
  <si>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</si>
  <si>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</si>
  <si>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</si>
  <si>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</si>
  <si>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</si>
  <si>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</si>
  <si>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</si>
  <si>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</si>
  <si>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</si>
  <si>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</si>
  <si>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</si>
  <si>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</si>
  <si>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</si>
  <si>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</si>
  <si>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</si>
  <si>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</si>
  <si>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</si>
  <si>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</si>
  <si>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</si>
  <si>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</si>
  <si>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</si>
  <si>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</si>
  <si>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</si>
  <si>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</si>
  <si>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</si>
  <si>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</si>
  <si>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</si>
  <si>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</si>
  <si>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</si>
  <si>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</si>
  <si>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</si>
  <si>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</si>
  <si>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</si>
  <si>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</si>
  <si>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</si>
  <si>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</si>
  <si>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</si>
  <si>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</si>
  <si>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</si>
  <si>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</si>
  <si>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</si>
  <si>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</si>
  <si>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</si>
  <si>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</si>
  <si>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</si>
  <si>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</si>
  <si>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</si>
  <si>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</si>
  <si>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</si>
  <si>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</si>
  <si>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</si>
  <si>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</si>
  <si>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</si>
  <si>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</si>
  <si>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</si>
  <si>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</si>
  <si>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</si>
  <si>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</si>
  <si>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</si>
  <si>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</si>
  <si>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</si>
  <si>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</si>
  <si>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</si>
  <si>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</si>
  <si>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</si>
  <si>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</si>
  <si>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</si>
  <si>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</si>
  <si>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</si>
  <si>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</si>
  <si>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</si>
  <si>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</si>
  <si>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</si>
  <si>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</si>
  <si>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</si>
  <si>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</si>
  <si>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</si>
  <si>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</si>
  <si>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</si>
  <si>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</si>
  <si>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</si>
  <si>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</si>
  <si>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</si>
  <si>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</si>
  <si>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</si>
  <si>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</si>
  <si>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</si>
  <si>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</si>
  <si>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</si>
  <si>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</si>
  <si>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</si>
  <si>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</si>
  <si>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</si>
  <si>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</si>
  <si>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</si>
  <si>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</si>
  <si>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</si>
  <si>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</si>
  <si>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</si>
  <si>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</si>
  <si>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</si>
  <si>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</si>
  <si>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</si>
  <si>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</si>
  <si>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</si>
  <si>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</si>
  <si>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</si>
  <si>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</si>
  <si>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</si>
  <si>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</si>
  <si>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</si>
  <si>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</si>
  <si>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</si>
  <si>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</si>
  <si>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</si>
  <si>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</si>
  <si>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</si>
  <si>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</si>
  <si>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</si>
  <si>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</si>
  <si>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</si>
  <si>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</si>
  <si>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</si>
  <si>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</si>
  <si>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</si>
  <si>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</si>
  <si>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</si>
  <si>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</si>
  <si>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</si>
  <si>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</si>
  <si>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</si>
  <si>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</si>
  <si>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</si>
  <si>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</si>
  <si>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</si>
  <si>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</si>
  <si>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</si>
  <si>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</si>
  <si>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</si>
  <si>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</si>
  <si>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</si>
  <si>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</si>
  <si>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</si>
  <si>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</si>
  <si>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</si>
  <si>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</si>
  <si>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</si>
  <si>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</si>
  <si>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</si>
  <si>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</si>
  <si>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</si>
  <si>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</si>
  <si>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</si>
  <si>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</si>
  <si>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</si>
  <si>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</si>
  <si>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</si>
  <si>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</si>
  <si>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</si>
  <si>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</si>
  <si>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</si>
  <si>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</si>
  <si>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</si>
  <si>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</si>
  <si>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</si>
  <si>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</si>
  <si>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</si>
  <si>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</si>
  <si>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</si>
  <si>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</si>
  <si>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</si>
  <si>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</si>
  <si>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</si>
  <si>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</si>
  <si>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</si>
  <si>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</si>
  <si>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</si>
  <si>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</si>
  <si>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</si>
  <si>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</si>
  <si>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</si>
  <si>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</si>
  <si>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</si>
  <si>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</si>
  <si>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</si>
  <si>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</si>
  <si>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</si>
  <si>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</si>
  <si>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</si>
  <si>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</si>
  <si>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</si>
  <si>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</si>
  <si>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</si>
  <si>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</si>
  <si>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</si>
  <si>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</si>
  <si>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</si>
  <si>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</si>
  <si>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</si>
  <si>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</si>
  <si>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</si>
  <si>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</si>
  <si>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</si>
  <si>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</si>
  <si>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</si>
  <si>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</si>
  <si>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</si>
  <si>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</si>
  <si>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</si>
  <si>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</si>
  <si>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</si>
  <si>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</si>
  <si>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</si>
  <si>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</si>
  <si>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</si>
  <si>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</si>
  <si>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</si>
  <si>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</si>
  <si>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</si>
  <si>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</si>
  <si>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</si>
  <si>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</si>
  <si>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</si>
  <si>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</si>
  <si>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</si>
  <si>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</si>
  <si>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</si>
  <si>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</si>
  <si>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</si>
  <si>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</si>
  <si>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</si>
  <si>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</si>
  <si>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</si>
  <si>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</si>
  <si>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</si>
  <si>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</si>
  <si>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</si>
  <si>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</si>
  <si>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</si>
  <si>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</si>
  <si>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</si>
  <si>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</si>
  <si>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</si>
  <si>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</si>
  <si>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</si>
  <si>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</si>
  <si>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</si>
  <si>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</si>
  <si>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</si>
  <si>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</si>
  <si>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</si>
  <si>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</si>
  <si>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</si>
  <si>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</si>
  <si>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</si>
  <si>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</si>
  <si>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</si>
  <si>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</si>
  <si>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</si>
  <si>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</si>
  <si>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</si>
  <si>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</si>
  <si>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</si>
  <si>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</si>
  <si>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</si>
  <si>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</si>
  <si>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</si>
  <si>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</si>
  <si>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</si>
  <si>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</si>
  <si>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</si>
  <si>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</si>
  <si>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</si>
  <si>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</si>
  <si>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</si>
  <si>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</si>
  <si>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</si>
  <si>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</si>
  <si>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</si>
  <si>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</si>
  <si>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</si>
  <si>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</si>
  <si>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</si>
  <si>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</si>
  <si>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</si>
  <si>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</si>
  <si>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</si>
  <si>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</si>
  <si>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</si>
  <si>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</si>
  <si>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</si>
  <si>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</si>
  <si>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</si>
  <si>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</si>
  <si>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</si>
  <si>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</si>
  <si>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</si>
  <si>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</si>
  <si>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</si>
  <si>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</si>
  <si>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</si>
  <si>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</si>
  <si>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</si>
  <si>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</si>
  <si>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</si>
  <si>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</si>
  <si>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</si>
  <si>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</si>
  <si>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</si>
  <si>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</si>
  <si>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</si>
  <si>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</si>
  <si>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</si>
  <si>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</si>
  <si>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</si>
  <si>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</si>
  <si>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</si>
  <si>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</si>
  <si>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</si>
  <si>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</si>
  <si>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</si>
  <si>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</si>
  <si>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</si>
  <si>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</si>
  <si>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</si>
  <si>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</si>
  <si>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</si>
  <si>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</si>
  <si>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</si>
  <si>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</si>
  <si>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</si>
  <si>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</si>
  <si>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</si>
  <si>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</si>
  <si>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</si>
  <si>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</si>
  <si>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</si>
  <si>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</si>
  <si>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</si>
  <si>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</si>
  <si>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</si>
  <si>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</si>
  <si>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</si>
  <si>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</si>
  <si>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</si>
  <si>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</si>
  <si>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</si>
  <si>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</si>
  <si>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</si>
  <si>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</si>
  <si>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</si>
  <si>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</si>
  <si>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</si>
  <si>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</si>
  <si>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</si>
  <si>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</si>
  <si>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</si>
  <si>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</si>
  <si>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</si>
  <si>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</si>
  <si>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</si>
  <si>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</si>
  <si>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</si>
  <si>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</si>
  <si>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</si>
  <si>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</si>
  <si>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</si>
  <si>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</si>
  <si>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</si>
  <si>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</si>
  <si>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</si>
  <si>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</si>
  <si>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</si>
  <si>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</si>
  <si>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</si>
  <si>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</si>
  <si>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</si>
  <si>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</si>
  <si>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</si>
  <si>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</si>
  <si>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</si>
  <si>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</si>
  <si>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</si>
  <si>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土地星级</t>
  </si>
  <si>
    <t>海口市滨海大道西侧、新港经六街以东</t>
  </si>
  <si>
    <t>海口市</t>
  </si>
  <si>
    <t>商业/办公用地</t>
  </si>
  <si>
    <t>挂牌</t>
  </si>
  <si>
    <t>2018-12-17</t>
  </si>
  <si>
    <t>国旅(海口)投资发展有限公司</t>
  </si>
  <si>
    <t>4星</t>
  </si>
  <si>
    <t>海口市博义盐灶棚改项目B-08地块</t>
  </si>
  <si>
    <t>拍卖</t>
  </si>
  <si>
    <t>2016-11-28</t>
  </si>
  <si>
    <t>海口农村商业银行股份有限公司</t>
  </si>
  <si>
    <t>海甸岛沿江西路南侧</t>
  </si>
  <si>
    <t>2016-10-09</t>
  </si>
  <si>
    <t>海南天汇房地产开发有限公司</t>
  </si>
  <si>
    <t>秀英区秀英大道东侧</t>
  </si>
  <si>
    <t>2016-06-15</t>
  </si>
  <si>
    <t>海南泰河置业有限公司</t>
  </si>
  <si>
    <t>3星</t>
  </si>
  <si>
    <t>海口市龙华区城西镇丁村</t>
  </si>
  <si>
    <t>2016-04-15</t>
  </si>
  <si>
    <t>唐建华、唐洁、苏冠文</t>
  </si>
  <si>
    <t>海口市长秀片区蓝城大道西与紫园路交叉口西北角</t>
  </si>
  <si>
    <t>2016-03-11</t>
  </si>
  <si>
    <t>海南恩祥房地产开发有限公司</t>
  </si>
  <si>
    <t>演丰镇演美路北侧</t>
  </si>
  <si>
    <t>2016-03-09</t>
  </si>
  <si>
    <t>海南美信置业有限公司</t>
  </si>
  <si>
    <t>2星</t>
  </si>
  <si>
    <t>海口市茉莉路与民生东路交叉口东北侧</t>
  </si>
  <si>
    <t>2016-03-02</t>
  </si>
  <si>
    <t>海南灵狮创意产业投资有限公司</t>
  </si>
  <si>
    <t>海口市广场路北侧、椰树门广场地下</t>
  </si>
  <si>
    <t>2016-01-22</t>
  </si>
  <si>
    <t>海南城昭房地产开发有限公司</t>
  </si>
  <si>
    <t>海口市新大洲大道南侧玉龙泉湿地公园范围内</t>
  </si>
  <si>
    <t>2016-01-05</t>
  </si>
  <si>
    <t>海南汇鑫源置业有限公司、海南玉龙泉建设有限公司、海口天峡假日开发有限公司</t>
  </si>
  <si>
    <t>西海岸新区南片区</t>
  </si>
  <si>
    <t>2015-12-30</t>
  </si>
  <si>
    <t>长影金源(海南)实业有限公司、长影(海南)置业有限公司、长影(海南)文化旅游有限公司、长影滨海(海南)房地产开发有限公司、长影通达(海南)房地产开发有限公司、长影金岛(海南)房地产开发有限公司等</t>
  </si>
  <si>
    <t>正常</t>
  </si>
  <si>
    <t>地上</t>
  </si>
  <si>
    <t>公寓</t>
  </si>
  <si>
    <t>序号</t>
  </si>
  <si>
    <t>区</t>
  </si>
  <si>
    <t>期数</t>
  </si>
  <si>
    <t>楼栋名称</t>
  </si>
  <si>
    <t>单元</t>
  </si>
  <si>
    <t>房号</t>
  </si>
  <si>
    <t>合并房号</t>
  </si>
  <si>
    <t>建筑面积</t>
  </si>
  <si>
    <t>套内面积</t>
  </si>
  <si>
    <t>西区</t>
  </si>
  <si>
    <t>首期</t>
  </si>
  <si>
    <t>住宅区-3</t>
  </si>
  <si>
    <t/>
  </si>
  <si>
    <t>3-101</t>
  </si>
  <si>
    <t>3-102</t>
  </si>
  <si>
    <t>3-103</t>
  </si>
  <si>
    <t>3-104</t>
  </si>
  <si>
    <t>3-203</t>
  </si>
  <si>
    <t>3-901</t>
  </si>
  <si>
    <t>3-1302</t>
  </si>
  <si>
    <t>3-1802</t>
  </si>
  <si>
    <t>住宅区-4</t>
  </si>
  <si>
    <t>4-502</t>
  </si>
  <si>
    <t>4-1802</t>
  </si>
  <si>
    <t>住宅区-9</t>
  </si>
  <si>
    <t>9-1102</t>
  </si>
  <si>
    <t>住宅区-12</t>
  </si>
  <si>
    <t>12-101</t>
  </si>
  <si>
    <t>12-102</t>
  </si>
  <si>
    <t>12-103</t>
  </si>
  <si>
    <t>12-104</t>
  </si>
  <si>
    <t>12-203</t>
  </si>
  <si>
    <t>12-802</t>
  </si>
  <si>
    <t>12-902</t>
  </si>
  <si>
    <t>12-1802</t>
  </si>
  <si>
    <t>住宅区-13</t>
  </si>
  <si>
    <t>13-102</t>
  </si>
  <si>
    <t>13-104</t>
  </si>
  <si>
    <t>住宅区-15</t>
  </si>
  <si>
    <t>15-1601</t>
  </si>
  <si>
    <t>15-1602</t>
  </si>
  <si>
    <t>15-1603</t>
  </si>
  <si>
    <t>15-1604</t>
  </si>
  <si>
    <t>15-1701</t>
  </si>
  <si>
    <t>住宅区-17</t>
  </si>
  <si>
    <t>17-101</t>
  </si>
  <si>
    <t>17-102</t>
  </si>
  <si>
    <t>17-103</t>
  </si>
  <si>
    <t>17-502</t>
  </si>
  <si>
    <t>住宅区-18</t>
  </si>
  <si>
    <t>18-101</t>
  </si>
  <si>
    <t>18-102</t>
  </si>
  <si>
    <t>18-103</t>
  </si>
  <si>
    <t>18-602</t>
  </si>
  <si>
    <t>18-1002</t>
  </si>
  <si>
    <t>18-1102</t>
  </si>
  <si>
    <t>18-1202</t>
  </si>
  <si>
    <t>18-1402</t>
  </si>
  <si>
    <t>18-1602</t>
  </si>
  <si>
    <t>18-1801</t>
  </si>
  <si>
    <t>四期</t>
  </si>
  <si>
    <t>公寓区-19</t>
  </si>
  <si>
    <t>19-101</t>
  </si>
  <si>
    <t>19-102</t>
  </si>
  <si>
    <t>19-103</t>
  </si>
  <si>
    <t>19-104</t>
  </si>
  <si>
    <t>19-105</t>
  </si>
  <si>
    <t>19-106</t>
  </si>
  <si>
    <t>19-107</t>
  </si>
  <si>
    <t>19-108</t>
  </si>
  <si>
    <t>19-109</t>
  </si>
  <si>
    <t>19-110</t>
  </si>
  <si>
    <t>19-111</t>
  </si>
  <si>
    <t>19-112</t>
  </si>
  <si>
    <t>19-113</t>
  </si>
  <si>
    <t>19-114</t>
  </si>
  <si>
    <t>19-115</t>
  </si>
  <si>
    <t>19-116</t>
  </si>
  <si>
    <t>19-117</t>
  </si>
  <si>
    <t>19-118</t>
  </si>
  <si>
    <t>19-119</t>
  </si>
  <si>
    <t>19-120</t>
  </si>
  <si>
    <t>19-121</t>
  </si>
  <si>
    <t>19-218</t>
  </si>
  <si>
    <t>19-913</t>
  </si>
  <si>
    <t>19-1503</t>
  </si>
  <si>
    <t>19-1518</t>
  </si>
  <si>
    <t>公寓区-20</t>
  </si>
  <si>
    <t>20-103</t>
  </si>
  <si>
    <t>20-104</t>
  </si>
  <si>
    <t>20-105</t>
  </si>
  <si>
    <t>20-106</t>
  </si>
  <si>
    <t>20-107</t>
  </si>
  <si>
    <t>20-108</t>
  </si>
  <si>
    <t>20-109</t>
  </si>
  <si>
    <t>20-110</t>
  </si>
  <si>
    <t>20-111</t>
  </si>
  <si>
    <t>20-112</t>
  </si>
  <si>
    <t>20-113</t>
  </si>
  <si>
    <t>20-114</t>
  </si>
  <si>
    <t>20-115</t>
  </si>
  <si>
    <t>20-116</t>
  </si>
  <si>
    <t>20-117</t>
  </si>
  <si>
    <t>20-118</t>
  </si>
  <si>
    <t>20-119</t>
  </si>
  <si>
    <t>20-120</t>
  </si>
  <si>
    <t>20-121</t>
  </si>
  <si>
    <t>20-122</t>
  </si>
  <si>
    <t>20-123</t>
  </si>
  <si>
    <t>20-124</t>
  </si>
  <si>
    <t>20-125</t>
  </si>
  <si>
    <t>20-126</t>
  </si>
  <si>
    <t>20-127</t>
  </si>
  <si>
    <t>20-128</t>
  </si>
  <si>
    <t>20-129</t>
  </si>
  <si>
    <t>20-130</t>
  </si>
  <si>
    <t>20-131</t>
  </si>
  <si>
    <t>20-132</t>
  </si>
  <si>
    <t>20-202</t>
  </si>
  <si>
    <t>20-203</t>
  </si>
  <si>
    <t>20-204</t>
  </si>
  <si>
    <t>20-205</t>
  </si>
  <si>
    <t>20-206</t>
  </si>
  <si>
    <t>20-207</t>
  </si>
  <si>
    <t>20-208</t>
  </si>
  <si>
    <t>20-209</t>
  </si>
  <si>
    <t>20-210</t>
  </si>
  <si>
    <t>20-211</t>
  </si>
  <si>
    <t>20-212</t>
  </si>
  <si>
    <t>20-213</t>
  </si>
  <si>
    <t>20-214</t>
  </si>
  <si>
    <t>20-215</t>
  </si>
  <si>
    <t>20-216</t>
  </si>
  <si>
    <t>20-217</t>
  </si>
  <si>
    <t>20-218</t>
  </si>
  <si>
    <t>20-219</t>
  </si>
  <si>
    <t>20-220</t>
  </si>
  <si>
    <t>20-221</t>
  </si>
  <si>
    <t>20-222</t>
  </si>
  <si>
    <t>20-223</t>
  </si>
  <si>
    <t>20-224</t>
  </si>
  <si>
    <t>20-225</t>
  </si>
  <si>
    <t>20-226</t>
  </si>
  <si>
    <t>20-227</t>
  </si>
  <si>
    <t>20-228</t>
  </si>
  <si>
    <t>20-229</t>
  </si>
  <si>
    <t>20-230</t>
  </si>
  <si>
    <t>20-231</t>
  </si>
  <si>
    <t>20-232</t>
  </si>
  <si>
    <t>20-233</t>
  </si>
  <si>
    <t>20-310</t>
  </si>
  <si>
    <t>20-311</t>
  </si>
  <si>
    <t>20-312</t>
  </si>
  <si>
    <t>20-313</t>
  </si>
  <si>
    <t>20-314</t>
  </si>
  <si>
    <t>20-315</t>
  </si>
  <si>
    <t>20-316</t>
  </si>
  <si>
    <t>20-317</t>
  </si>
  <si>
    <t>20-318</t>
  </si>
  <si>
    <t>20-319</t>
  </si>
  <si>
    <t>20-320</t>
  </si>
  <si>
    <t>20-321</t>
  </si>
  <si>
    <t>20-322</t>
  </si>
  <si>
    <t>20-323</t>
  </si>
  <si>
    <t>20-324</t>
  </si>
  <si>
    <t>20-410</t>
  </si>
  <si>
    <t>20-411</t>
  </si>
  <si>
    <t>20-412</t>
  </si>
  <si>
    <t>20-413</t>
  </si>
  <si>
    <t>20-414</t>
  </si>
  <si>
    <t>20-415</t>
  </si>
  <si>
    <t>20-416</t>
  </si>
  <si>
    <t>20-417</t>
  </si>
  <si>
    <t>20-418</t>
  </si>
  <si>
    <t>20-419</t>
  </si>
  <si>
    <t>20-420</t>
  </si>
  <si>
    <t>20-421</t>
  </si>
  <si>
    <t>20-422</t>
  </si>
  <si>
    <t>20-423</t>
  </si>
  <si>
    <t>20-424</t>
  </si>
  <si>
    <t>20-510</t>
  </si>
  <si>
    <t>20-511</t>
  </si>
  <si>
    <t>20-512</t>
  </si>
  <si>
    <t>20-513</t>
  </si>
  <si>
    <t>20-514</t>
  </si>
  <si>
    <t>20-515</t>
  </si>
  <si>
    <t>20-516</t>
  </si>
  <si>
    <t>20-517</t>
  </si>
  <si>
    <t>20-518</t>
  </si>
  <si>
    <t>20-519</t>
  </si>
  <si>
    <t>20-520</t>
  </si>
  <si>
    <t>20-521</t>
  </si>
  <si>
    <t>20-522</t>
  </si>
  <si>
    <t>20-523</t>
  </si>
  <si>
    <t>20-524</t>
  </si>
  <si>
    <t>20-610</t>
  </si>
  <si>
    <t>20-611</t>
  </si>
  <si>
    <t>20-612</t>
  </si>
  <si>
    <t>20-613</t>
  </si>
  <si>
    <t>20-614</t>
  </si>
  <si>
    <t>20-615</t>
  </si>
  <si>
    <t>20-616</t>
  </si>
  <si>
    <t>20-617</t>
  </si>
  <si>
    <t>20-618</t>
  </si>
  <si>
    <t>20-619</t>
  </si>
  <si>
    <t>20-620</t>
  </si>
  <si>
    <t>20-621</t>
  </si>
  <si>
    <t>20-622</t>
  </si>
  <si>
    <t>20-623</t>
  </si>
  <si>
    <t>20-624</t>
  </si>
  <si>
    <t>20-711</t>
  </si>
  <si>
    <t>20-712</t>
  </si>
  <si>
    <t>20-713</t>
  </si>
  <si>
    <t>20-714</t>
  </si>
  <si>
    <t>20-716</t>
  </si>
  <si>
    <t>20-717</t>
  </si>
  <si>
    <t>20-718</t>
  </si>
  <si>
    <t>20-719</t>
  </si>
  <si>
    <t>20-720</t>
  </si>
  <si>
    <t>20-721</t>
  </si>
  <si>
    <t>20-722</t>
  </si>
  <si>
    <t>20-723</t>
  </si>
  <si>
    <t>20-830</t>
  </si>
  <si>
    <t>20-1227</t>
  </si>
  <si>
    <t>20-1416</t>
  </si>
  <si>
    <t>20-1427</t>
  </si>
  <si>
    <t>20-1630</t>
  </si>
  <si>
    <t>20-1826</t>
  </si>
  <si>
    <t>20-1827</t>
  </si>
  <si>
    <t>公寓区-21</t>
  </si>
  <si>
    <t>21-201</t>
  </si>
  <si>
    <t>21-202</t>
  </si>
  <si>
    <t>21-203</t>
  </si>
  <si>
    <t>21-204</t>
  </si>
  <si>
    <t>21-205</t>
  </si>
  <si>
    <t>21-206</t>
  </si>
  <si>
    <t>21-207</t>
  </si>
  <si>
    <t>21-208</t>
  </si>
  <si>
    <t>21-209</t>
  </si>
  <si>
    <t>21-210</t>
  </si>
  <si>
    <t>21-211</t>
  </si>
  <si>
    <t>21-212</t>
  </si>
  <si>
    <t>21-213</t>
  </si>
  <si>
    <t>21-214</t>
  </si>
  <si>
    <t>21-215</t>
  </si>
  <si>
    <t>21-216</t>
  </si>
  <si>
    <t>21-217</t>
  </si>
  <si>
    <t>21-218</t>
  </si>
  <si>
    <t>21-219</t>
  </si>
  <si>
    <t>21-220</t>
  </si>
  <si>
    <t>21-221</t>
  </si>
  <si>
    <t>21-301</t>
  </si>
  <si>
    <t>21-304</t>
  </si>
  <si>
    <t>21-307</t>
  </si>
  <si>
    <t>21-311</t>
  </si>
  <si>
    <t>21-313</t>
  </si>
  <si>
    <t>21-314</t>
  </si>
  <si>
    <t>21-315</t>
  </si>
  <si>
    <t>21-316</t>
  </si>
  <si>
    <t>21-317</t>
  </si>
  <si>
    <t>21-319</t>
  </si>
  <si>
    <t>21-320</t>
  </si>
  <si>
    <t>21-321</t>
  </si>
  <si>
    <t>21-406</t>
  </si>
  <si>
    <t>21-410</t>
  </si>
  <si>
    <t>21-413</t>
  </si>
  <si>
    <t>21-414</t>
  </si>
  <si>
    <t>21-415</t>
  </si>
  <si>
    <t>21-416</t>
  </si>
  <si>
    <t>21-417</t>
  </si>
  <si>
    <t>21-418</t>
  </si>
  <si>
    <t>21-419</t>
  </si>
  <si>
    <t>21-420</t>
  </si>
  <si>
    <t>21-421</t>
  </si>
  <si>
    <t>21-1206</t>
  </si>
  <si>
    <t>公寓区-22</t>
  </si>
  <si>
    <t>22-306</t>
  </si>
  <si>
    <t>22-309</t>
  </si>
  <si>
    <t>22-1003</t>
  </si>
  <si>
    <t>22-1218</t>
  </si>
  <si>
    <t>22-1404</t>
  </si>
  <si>
    <t>22-1420</t>
  </si>
  <si>
    <t>六期</t>
  </si>
  <si>
    <t>公寓区-27</t>
  </si>
  <si>
    <t>2单元</t>
  </si>
  <si>
    <t>27-2-2104</t>
  </si>
  <si>
    <t>公寓区-32</t>
  </si>
  <si>
    <t>32-2-501</t>
  </si>
  <si>
    <t>32-2-502</t>
  </si>
  <si>
    <t>32-2-503</t>
  </si>
  <si>
    <t>32-2-504</t>
  </si>
  <si>
    <t>32-2-505</t>
  </si>
  <si>
    <t>32-2-506</t>
  </si>
  <si>
    <t>八期</t>
  </si>
  <si>
    <t>公寓区-42</t>
  </si>
  <si>
    <t>42-101</t>
  </si>
  <si>
    <t>42-102</t>
  </si>
  <si>
    <t>42-103</t>
  </si>
  <si>
    <t>42-104</t>
  </si>
  <si>
    <t>42-105</t>
  </si>
  <si>
    <t>42-205</t>
  </si>
  <si>
    <t>42-2501</t>
  </si>
  <si>
    <t>42-2505</t>
  </si>
  <si>
    <t>公寓区-43</t>
  </si>
  <si>
    <t>43-101</t>
  </si>
  <si>
    <t>43-102</t>
  </si>
  <si>
    <t>43-103</t>
  </si>
  <si>
    <t>43-104</t>
  </si>
  <si>
    <t>43-105</t>
  </si>
  <si>
    <t>43-201</t>
  </si>
  <si>
    <t>43-301</t>
  </si>
  <si>
    <t>43-1801</t>
  </si>
  <si>
    <t>43-2201</t>
  </si>
  <si>
    <t>43-2501</t>
  </si>
  <si>
    <t>43-2503</t>
  </si>
  <si>
    <t>43-2505</t>
  </si>
  <si>
    <t>公寓区-44</t>
  </si>
  <si>
    <t>44-101</t>
  </si>
  <si>
    <t>44-102</t>
  </si>
  <si>
    <t>44-103</t>
  </si>
  <si>
    <t>44-104</t>
  </si>
  <si>
    <t>44-105</t>
  </si>
  <si>
    <t>44-201</t>
  </si>
  <si>
    <t>44-1101</t>
  </si>
  <si>
    <t>44-1701</t>
  </si>
  <si>
    <t>44-1801</t>
  </si>
  <si>
    <t>44-2101</t>
  </si>
  <si>
    <t>44-2501</t>
  </si>
  <si>
    <t>公寓区-45</t>
  </si>
  <si>
    <t>45-101</t>
  </si>
  <si>
    <t>45-102</t>
  </si>
  <si>
    <t>45-103</t>
  </si>
  <si>
    <t>45-104</t>
  </si>
  <si>
    <t>45-201</t>
  </si>
  <si>
    <t>45-401</t>
  </si>
  <si>
    <t>45-2401</t>
  </si>
  <si>
    <t>45-2405</t>
  </si>
  <si>
    <t>45-2501</t>
  </si>
  <si>
    <t>45-2505</t>
  </si>
  <si>
    <t>公寓区-46</t>
  </si>
  <si>
    <t>46-101</t>
  </si>
  <si>
    <t>46-102</t>
  </si>
  <si>
    <t>46-103</t>
  </si>
  <si>
    <t>46-104</t>
  </si>
  <si>
    <t>46-105</t>
  </si>
  <si>
    <t>46-201</t>
  </si>
  <si>
    <t>46-301</t>
  </si>
  <si>
    <t>46-2501</t>
  </si>
  <si>
    <t>46-2503</t>
  </si>
  <si>
    <t>46-2505</t>
  </si>
  <si>
    <t>九期</t>
  </si>
  <si>
    <t>公寓区-47</t>
  </si>
  <si>
    <t>47-101</t>
  </si>
  <si>
    <t>47-102</t>
  </si>
  <si>
    <t>47-103</t>
  </si>
  <si>
    <t>47-104</t>
  </si>
  <si>
    <t>47-201</t>
  </si>
  <si>
    <t>47-202</t>
  </si>
  <si>
    <t>47-203</t>
  </si>
  <si>
    <t>47-204</t>
  </si>
  <si>
    <t>47-205</t>
  </si>
  <si>
    <t>47-301</t>
  </si>
  <si>
    <t>47-302</t>
  </si>
  <si>
    <t>47-403</t>
  </si>
  <si>
    <t>47-603</t>
  </si>
  <si>
    <t>47-1403</t>
  </si>
  <si>
    <t>47-1601</t>
  </si>
  <si>
    <t>47-1703</t>
  </si>
  <si>
    <t>47-2103</t>
  </si>
  <si>
    <t>47-2203</t>
  </si>
  <si>
    <t>47-2403</t>
  </si>
  <si>
    <t>47-2503</t>
  </si>
  <si>
    <t>47-2603</t>
  </si>
  <si>
    <t>47-2703</t>
  </si>
  <si>
    <t>47-2803</t>
  </si>
  <si>
    <t>47-2903</t>
  </si>
  <si>
    <t>47-3001</t>
  </si>
  <si>
    <t>47-3003</t>
  </si>
  <si>
    <t>47-3101</t>
  </si>
  <si>
    <t>47-3102</t>
  </si>
  <si>
    <t>47-3103</t>
  </si>
  <si>
    <t>47-3104</t>
  </si>
  <si>
    <t>47-3105</t>
  </si>
  <si>
    <t>公寓区-48</t>
  </si>
  <si>
    <t>48-101</t>
  </si>
  <si>
    <t>48-102</t>
  </si>
  <si>
    <t>48-103</t>
  </si>
  <si>
    <t>48-104</t>
  </si>
  <si>
    <t>48-201</t>
  </si>
  <si>
    <t>48-202</t>
  </si>
  <si>
    <t>48-203</t>
  </si>
  <si>
    <t>48-204</t>
  </si>
  <si>
    <t>48-205</t>
  </si>
  <si>
    <t>48-301</t>
  </si>
  <si>
    <t>48-302</t>
  </si>
  <si>
    <t>48-1403</t>
  </si>
  <si>
    <t>48-2403</t>
  </si>
  <si>
    <t>48-2703</t>
  </si>
  <si>
    <t>48-3101</t>
  </si>
  <si>
    <t>48-3102</t>
  </si>
  <si>
    <t>48-3103</t>
  </si>
  <si>
    <t>48-3104</t>
  </si>
  <si>
    <t>48-3105</t>
  </si>
  <si>
    <t>公寓区-50</t>
  </si>
  <si>
    <t>50-101</t>
  </si>
  <si>
    <t>50-102</t>
  </si>
  <si>
    <t>50-103</t>
  </si>
  <si>
    <t>50-104</t>
  </si>
  <si>
    <t>50-105</t>
  </si>
  <si>
    <t>50-201</t>
  </si>
  <si>
    <t>50-202</t>
  </si>
  <si>
    <t>50-203</t>
  </si>
  <si>
    <t>50-204</t>
  </si>
  <si>
    <t>50-205</t>
  </si>
  <si>
    <t>50-301</t>
  </si>
  <si>
    <t>50-303</t>
  </si>
  <si>
    <t>50-401</t>
  </si>
  <si>
    <t>50-503</t>
  </si>
  <si>
    <t>50-1103</t>
  </si>
  <si>
    <t>50-1201</t>
  </si>
  <si>
    <t>50-1302</t>
  </si>
  <si>
    <t>50-2105</t>
  </si>
  <si>
    <t>50-3101</t>
  </si>
  <si>
    <t>50-3102</t>
  </si>
  <si>
    <t>50-3103</t>
  </si>
  <si>
    <t>50-3104</t>
  </si>
  <si>
    <t>50-3105</t>
  </si>
  <si>
    <t>公寓区-51</t>
  </si>
  <si>
    <t>51-101</t>
  </si>
  <si>
    <t>51-102</t>
  </si>
  <si>
    <t>51-103</t>
  </si>
  <si>
    <t>51-104</t>
  </si>
  <si>
    <t>51-105</t>
  </si>
  <si>
    <t>51-201</t>
  </si>
  <si>
    <t>51-202</t>
  </si>
  <si>
    <t>51-203</t>
  </si>
  <si>
    <t>51-204</t>
  </si>
  <si>
    <t>51-205</t>
  </si>
  <si>
    <t>51-301</t>
  </si>
  <si>
    <t>51-302</t>
  </si>
  <si>
    <t>51-303</t>
  </si>
  <si>
    <t>51-304</t>
  </si>
  <si>
    <t>51-305</t>
  </si>
  <si>
    <t>51-401</t>
  </si>
  <si>
    <t>51-402</t>
  </si>
  <si>
    <t>51-403</t>
  </si>
  <si>
    <t>51-404</t>
  </si>
  <si>
    <t>51-405</t>
  </si>
  <si>
    <t>51-501</t>
  </si>
  <si>
    <t>51-502</t>
  </si>
  <si>
    <t>51-503</t>
  </si>
  <si>
    <t>51-504</t>
  </si>
  <si>
    <t>51-505</t>
  </si>
  <si>
    <t>51-601</t>
  </si>
  <si>
    <t>51-602</t>
  </si>
  <si>
    <t>51-603</t>
  </si>
  <si>
    <t>51-604</t>
  </si>
  <si>
    <t>51-605</t>
  </si>
  <si>
    <t>51-701</t>
  </si>
  <si>
    <t>51-702</t>
  </si>
  <si>
    <t>51-703</t>
  </si>
  <si>
    <t>51-704</t>
  </si>
  <si>
    <t>51-705</t>
  </si>
  <si>
    <t>51-801</t>
  </si>
  <si>
    <t>51-802</t>
  </si>
  <si>
    <t>51-803</t>
  </si>
  <si>
    <t>51-804</t>
  </si>
  <si>
    <t>51-805</t>
  </si>
  <si>
    <t>51-901</t>
  </si>
  <si>
    <t>51-902</t>
  </si>
  <si>
    <t>51-903</t>
  </si>
  <si>
    <t>51-904</t>
  </si>
  <si>
    <t>51-905</t>
  </si>
  <si>
    <t>51-1001</t>
  </si>
  <si>
    <t>51-1002</t>
  </si>
  <si>
    <t>51-1003</t>
  </si>
  <si>
    <t>51-1004</t>
  </si>
  <si>
    <t>51-1005</t>
  </si>
  <si>
    <t>51-1101</t>
  </si>
  <si>
    <t>51-1102</t>
  </si>
  <si>
    <t>51-1103</t>
  </si>
  <si>
    <t>51-1104</t>
  </si>
  <si>
    <t>51-1105</t>
  </si>
  <si>
    <t>51-1201</t>
  </si>
  <si>
    <t>51-1202</t>
  </si>
  <si>
    <t>51-1203</t>
  </si>
  <si>
    <t>51-1204</t>
  </si>
  <si>
    <t>51-1205</t>
  </si>
  <si>
    <t>51-1301</t>
  </si>
  <si>
    <t>51-1302</t>
  </si>
  <si>
    <t>51-1303</t>
  </si>
  <si>
    <t>51-1304</t>
  </si>
  <si>
    <t>51-1305</t>
  </si>
  <si>
    <t>51-1401</t>
  </si>
  <si>
    <t>51-1402</t>
  </si>
  <si>
    <t>51-1403</t>
  </si>
  <si>
    <t>51-1404</t>
  </si>
  <si>
    <t>51-1405</t>
  </si>
  <si>
    <t>51-1501</t>
  </si>
  <si>
    <t>51-1502</t>
  </si>
  <si>
    <t>51-1503</t>
  </si>
  <si>
    <t>51-1504</t>
  </si>
  <si>
    <t>51-1505</t>
  </si>
  <si>
    <t>51-1601</t>
  </si>
  <si>
    <t>51-1602</t>
  </si>
  <si>
    <t>51-1603</t>
  </si>
  <si>
    <t>51-1604</t>
  </si>
  <si>
    <t>51-1605</t>
  </si>
  <si>
    <t>51-1701</t>
  </si>
  <si>
    <t>51-1702</t>
  </si>
  <si>
    <t>51-1703</t>
  </si>
  <si>
    <t>51-1704</t>
  </si>
  <si>
    <t>51-1705</t>
  </si>
  <si>
    <t>51-1801</t>
  </si>
  <si>
    <t>51-1802</t>
  </si>
  <si>
    <t>51-1803</t>
  </si>
  <si>
    <t>51-1804</t>
  </si>
  <si>
    <t>51-1805</t>
  </si>
  <si>
    <t>51-1901</t>
  </si>
  <si>
    <t>51-1902</t>
  </si>
  <si>
    <t>51-1903</t>
  </si>
  <si>
    <t>51-1904</t>
  </si>
  <si>
    <t>51-1905</t>
  </si>
  <si>
    <t>51-2001</t>
  </si>
  <si>
    <t>51-2002</t>
  </si>
  <si>
    <t>51-2003</t>
  </si>
  <si>
    <t>51-2004</t>
  </si>
  <si>
    <t>51-2005</t>
  </si>
  <si>
    <t>51-2101</t>
  </si>
  <si>
    <t>51-2102</t>
  </si>
  <si>
    <t>51-2103</t>
  </si>
  <si>
    <t>51-2104</t>
  </si>
  <si>
    <t>51-2105</t>
  </si>
  <si>
    <t>三期</t>
  </si>
  <si>
    <t>公寓区-23</t>
  </si>
  <si>
    <t>1单元</t>
  </si>
  <si>
    <t>23-1-1004</t>
  </si>
  <si>
    <t>二期</t>
  </si>
  <si>
    <t>公寓区-37栋1单元</t>
  </si>
  <si>
    <t>37-1-101</t>
  </si>
  <si>
    <t>37-1-102</t>
  </si>
  <si>
    <t>37-1-103</t>
  </si>
  <si>
    <t>37-1-104</t>
  </si>
  <si>
    <t>37-1-105</t>
  </si>
  <si>
    <t>公寓区-37栋2单元</t>
  </si>
  <si>
    <t>37-2-101</t>
  </si>
  <si>
    <t>37-2-102</t>
  </si>
  <si>
    <t>37-2-103</t>
  </si>
  <si>
    <t>37-2-104</t>
  </si>
  <si>
    <t>37-2-105</t>
  </si>
  <si>
    <t>公寓区-38</t>
  </si>
  <si>
    <t>38-101</t>
  </si>
  <si>
    <t>38-102</t>
  </si>
  <si>
    <t>38-103</t>
  </si>
  <si>
    <t>38-104</t>
  </si>
  <si>
    <t>38-105</t>
  </si>
  <si>
    <t>38-106</t>
  </si>
  <si>
    <t>公寓区-39</t>
  </si>
  <si>
    <t>39-1-101</t>
  </si>
  <si>
    <t>39-1-102</t>
  </si>
  <si>
    <t>39-1-103</t>
  </si>
  <si>
    <t>39-1-104</t>
  </si>
  <si>
    <t>39-1-105</t>
  </si>
  <si>
    <t>39-1-106</t>
  </si>
  <si>
    <t>39-2-101</t>
  </si>
  <si>
    <t>39-2-102</t>
  </si>
  <si>
    <t>39-2-103</t>
  </si>
  <si>
    <t>39-2-104</t>
  </si>
  <si>
    <t>39-2-105</t>
  </si>
  <si>
    <t>39-2-106</t>
  </si>
  <si>
    <t>公寓区-40</t>
  </si>
  <si>
    <t>40-102</t>
  </si>
  <si>
    <t>40-103</t>
  </si>
  <si>
    <t>40-104</t>
  </si>
  <si>
    <t>40-105</t>
  </si>
  <si>
    <t>公寓区-41栋1单元</t>
  </si>
  <si>
    <t>41-1-101</t>
  </si>
  <si>
    <t>41-1-102</t>
  </si>
  <si>
    <t>41-1-103</t>
  </si>
  <si>
    <t>41-1-104</t>
  </si>
  <si>
    <t>41-1-105</t>
  </si>
  <si>
    <t>公寓区-41栋2单元</t>
  </si>
  <si>
    <t>41-2-101</t>
  </si>
  <si>
    <t>41-2-102</t>
  </si>
  <si>
    <t>41-2-103</t>
  </si>
  <si>
    <t>41-2-104</t>
  </si>
  <si>
    <t>41-2-105</t>
  </si>
  <si>
    <t>41-2-506</t>
  </si>
  <si>
    <t>公寓区-49</t>
  </si>
  <si>
    <t>49-201</t>
  </si>
  <si>
    <t>49-202</t>
  </si>
  <si>
    <t>49-203</t>
  </si>
  <si>
    <t>49-204</t>
  </si>
  <si>
    <t>49-205</t>
  </si>
  <si>
    <t>49-301</t>
  </si>
  <si>
    <t>49-302</t>
  </si>
  <si>
    <t>49-303</t>
  </si>
  <si>
    <t>49-304</t>
  </si>
  <si>
    <t>49-305</t>
  </si>
  <si>
    <t>49-401</t>
  </si>
  <si>
    <t>49-402</t>
  </si>
  <si>
    <t>49-403</t>
  </si>
  <si>
    <t>49-404</t>
  </si>
  <si>
    <t>49-405</t>
  </si>
  <si>
    <t>49-501</t>
  </si>
  <si>
    <t>49-502</t>
  </si>
  <si>
    <t>49-503</t>
  </si>
  <si>
    <t>49-504</t>
  </si>
  <si>
    <t>49-505</t>
  </si>
  <si>
    <t>49-601</t>
  </si>
  <si>
    <t>49-602</t>
  </si>
  <si>
    <t>49-603</t>
  </si>
  <si>
    <t>49-604</t>
  </si>
  <si>
    <t>49-605</t>
  </si>
  <si>
    <t>49-701</t>
  </si>
  <si>
    <t>49-702</t>
  </si>
  <si>
    <t>49-703</t>
  </si>
  <si>
    <t>49-704</t>
  </si>
  <si>
    <t>49-705</t>
  </si>
  <si>
    <t>49-801</t>
  </si>
  <si>
    <t>49-802</t>
  </si>
  <si>
    <t>49-803</t>
  </si>
  <si>
    <t>49-804</t>
  </si>
  <si>
    <t>49-805</t>
  </si>
  <si>
    <t>49-901</t>
  </si>
  <si>
    <t>49-902</t>
  </si>
  <si>
    <t>49-903</t>
  </si>
  <si>
    <t>49-904</t>
  </si>
  <si>
    <t>49-905</t>
  </si>
  <si>
    <t>49-1001</t>
  </si>
  <si>
    <t>49-1002</t>
  </si>
  <si>
    <t>49-1003</t>
  </si>
  <si>
    <t>49-1004</t>
  </si>
  <si>
    <t>49-1005</t>
  </si>
  <si>
    <t>49-1101</t>
  </si>
  <si>
    <t>49-1102</t>
  </si>
  <si>
    <t>49-1103</t>
  </si>
  <si>
    <t>49-1104</t>
  </si>
  <si>
    <t>49-1105</t>
  </si>
  <si>
    <t>49-1201</t>
  </si>
  <si>
    <t>49-1202</t>
  </si>
  <si>
    <t>49-1203</t>
  </si>
  <si>
    <t>49-1204</t>
  </si>
  <si>
    <t>49-1205</t>
  </si>
  <si>
    <t>49-1301</t>
  </si>
  <si>
    <t>49-1302</t>
  </si>
  <si>
    <t>49-1303</t>
  </si>
  <si>
    <t>49-1304</t>
  </si>
  <si>
    <t>49-1305</t>
  </si>
  <si>
    <t>49-1401</t>
  </si>
  <si>
    <t>49-1402</t>
  </si>
  <si>
    <t>49-1403</t>
  </si>
  <si>
    <t>49-1404</t>
  </si>
  <si>
    <t>49-1405</t>
  </si>
  <si>
    <t>49-1501</t>
  </si>
  <si>
    <t>49-1502</t>
  </si>
  <si>
    <t>49-1503</t>
  </si>
  <si>
    <t>49-1504</t>
  </si>
  <si>
    <t>49-1505</t>
  </si>
  <si>
    <t>49-1601</t>
  </si>
  <si>
    <t>49-1602</t>
  </si>
  <si>
    <t>49-1603</t>
  </si>
  <si>
    <t>49-1604</t>
  </si>
  <si>
    <t>49-1605</t>
  </si>
  <si>
    <t>49-1701</t>
  </si>
  <si>
    <t>49-1702</t>
  </si>
  <si>
    <t>49-1703</t>
  </si>
  <si>
    <t>49-1704</t>
  </si>
  <si>
    <t>49-1705</t>
  </si>
  <si>
    <t>49-1801</t>
  </si>
  <si>
    <t>49-1802</t>
  </si>
  <si>
    <t>49-1803</t>
  </si>
  <si>
    <t>49-1804</t>
  </si>
  <si>
    <t>49-1805</t>
  </si>
  <si>
    <t>49-1901</t>
  </si>
  <si>
    <t>49-1902</t>
  </si>
  <si>
    <t>49-1903</t>
  </si>
  <si>
    <t>49-1904</t>
  </si>
  <si>
    <t>49-1905</t>
  </si>
  <si>
    <t>49-2001</t>
  </si>
  <si>
    <t>49-2002</t>
  </si>
  <si>
    <t>49-2003</t>
  </si>
  <si>
    <t>49-2004</t>
  </si>
  <si>
    <t>49-2005</t>
  </si>
  <si>
    <t>49-2101</t>
  </si>
  <si>
    <t>49-2102</t>
  </si>
  <si>
    <t>49-2103</t>
  </si>
  <si>
    <t>49-2104</t>
  </si>
  <si>
    <t>49-2105</t>
  </si>
  <si>
    <t>49-2201</t>
  </si>
  <si>
    <t>49-2202</t>
  </si>
  <si>
    <t>49-2203</t>
  </si>
  <si>
    <t>49-2204</t>
  </si>
  <si>
    <t>49-2205</t>
  </si>
  <si>
    <t>49-2301</t>
  </si>
  <si>
    <t>49-2302</t>
  </si>
  <si>
    <t>49-2303</t>
  </si>
  <si>
    <t>49-2304</t>
  </si>
  <si>
    <t>49-2305</t>
  </si>
  <si>
    <t>49-2401</t>
  </si>
  <si>
    <t>49-2402</t>
  </si>
  <si>
    <t>49-2403</t>
  </si>
  <si>
    <t>49-2404</t>
  </si>
  <si>
    <t>49-2405</t>
  </si>
  <si>
    <t>49-2501</t>
  </si>
  <si>
    <t>49-2502</t>
  </si>
  <si>
    <t>49-2503</t>
  </si>
  <si>
    <t>49-2504</t>
  </si>
  <si>
    <t>49-2505</t>
  </si>
  <si>
    <t>49-2601</t>
  </si>
  <si>
    <t>49-2602</t>
  </si>
  <si>
    <t>49-2603</t>
  </si>
  <si>
    <t>49-2604</t>
  </si>
  <si>
    <t>49-2605</t>
  </si>
  <si>
    <t>49-2701</t>
  </si>
  <si>
    <t>49-2702</t>
  </si>
  <si>
    <t>49-2703</t>
  </si>
  <si>
    <t>49-2704</t>
  </si>
  <si>
    <t>49-2705</t>
  </si>
  <si>
    <t>49-2801</t>
  </si>
  <si>
    <t>49-2802</t>
  </si>
  <si>
    <t>49-2803</t>
  </si>
  <si>
    <t>49-2804</t>
  </si>
  <si>
    <t>49-2805</t>
  </si>
  <si>
    <t>49-2901</t>
  </si>
  <si>
    <t>49-2902</t>
  </si>
  <si>
    <t>49-2903</t>
  </si>
  <si>
    <t>49-2904</t>
  </si>
  <si>
    <t>49-2905</t>
  </si>
  <si>
    <t>49-3001</t>
  </si>
  <si>
    <t>49-3002</t>
  </si>
  <si>
    <t>49-3003</t>
  </si>
  <si>
    <t>49-3004</t>
  </si>
  <si>
    <t>49-3005</t>
  </si>
  <si>
    <t>49-3101</t>
  </si>
  <si>
    <t>49-3102</t>
  </si>
  <si>
    <t>49-3103</t>
  </si>
  <si>
    <t>49-3104</t>
  </si>
  <si>
    <t>49-3105</t>
  </si>
  <si>
    <t>五期</t>
    <phoneticPr fontId="143" type="noConversion"/>
  </si>
  <si>
    <t>双拼别墅区-52_110</t>
  </si>
  <si>
    <t>53栋</t>
  </si>
  <si>
    <t>102</t>
  </si>
  <si>
    <t>53-102</t>
    <phoneticPr fontId="143" type="noConversion"/>
  </si>
  <si>
    <t>54栋</t>
  </si>
  <si>
    <t>101</t>
  </si>
  <si>
    <t>54-101</t>
    <phoneticPr fontId="143" type="noConversion"/>
  </si>
  <si>
    <t>54-102</t>
    <phoneticPr fontId="143" type="noConversion"/>
  </si>
  <si>
    <t>74栋</t>
  </si>
  <si>
    <t>74-101</t>
    <phoneticPr fontId="143" type="noConversion"/>
  </si>
  <si>
    <t>是</t>
  </si>
  <si>
    <t>未包含在土地购买价格中</t>
  </si>
  <si>
    <t>已包含在土地取得成本中</t>
  </si>
  <si>
    <t>成本法</t>
  </si>
  <si>
    <t>假设开发法</t>
  </si>
  <si>
    <t>住宅</t>
  </si>
  <si>
    <t>住宅</t>
    <phoneticPr fontId="7" type="noConversion"/>
  </si>
  <si>
    <t>已全部缴纳</t>
  </si>
  <si>
    <t>现房</t>
    <phoneticPr fontId="143" type="noConversion"/>
  </si>
  <si>
    <t>总计</t>
    <phoneticPr fontId="143" type="noConversion"/>
  </si>
  <si>
    <t>在建</t>
    <phoneticPr fontId="143" type="noConversion"/>
  </si>
  <si>
    <t>钢</t>
    <phoneticPr fontId="25" type="noConversion"/>
  </si>
  <si>
    <t>钢混</t>
  </si>
  <si>
    <t>钢混</t>
    <phoneticPr fontId="25" type="noConversion"/>
  </si>
  <si>
    <t>砖混</t>
    <phoneticPr fontId="25" type="noConversion"/>
  </si>
  <si>
    <t>高档</t>
    <phoneticPr fontId="25" type="noConversion"/>
  </si>
  <si>
    <t>中档</t>
  </si>
  <si>
    <t>中档</t>
    <phoneticPr fontId="25" type="noConversion"/>
  </si>
  <si>
    <t>精装修</t>
  </si>
  <si>
    <t>精装修</t>
    <phoneticPr fontId="25" type="noConversion"/>
  </si>
  <si>
    <t>普通装修</t>
    <phoneticPr fontId="25" type="noConversion"/>
  </si>
  <si>
    <t>简单装修</t>
    <phoneticPr fontId="25" type="noConversion"/>
  </si>
  <si>
    <t>毛坯</t>
    <phoneticPr fontId="25" type="noConversion"/>
  </si>
  <si>
    <t>专业</t>
  </si>
  <si>
    <t>专业</t>
    <phoneticPr fontId="25" type="noConversion"/>
  </si>
  <si>
    <t>普通</t>
    <phoneticPr fontId="25" type="noConversion"/>
  </si>
  <si>
    <t>七通</t>
  </si>
  <si>
    <t>七通</t>
    <phoneticPr fontId="25" type="noConversion"/>
  </si>
  <si>
    <t>六通</t>
  </si>
  <si>
    <t>六通</t>
    <phoneticPr fontId="25" type="noConversion"/>
  </si>
  <si>
    <t>五通</t>
    <phoneticPr fontId="25" type="noConversion"/>
  </si>
  <si>
    <t>四通</t>
    <phoneticPr fontId="25" type="noConversion"/>
  </si>
  <si>
    <t>三通</t>
  </si>
  <si>
    <t>三通</t>
    <phoneticPr fontId="25" type="noConversion"/>
  </si>
  <si>
    <t>60-70（含）</t>
  </si>
  <si>
    <t>较差</t>
  </si>
  <si>
    <t>一般</t>
  </si>
  <si>
    <t>较好</t>
  </si>
  <si>
    <t>碧桂园·剑桥郡</t>
    <phoneticPr fontId="3" type="noConversion"/>
  </si>
  <si>
    <t>紫竹园</t>
    <phoneticPr fontId="3" type="noConversion"/>
  </si>
  <si>
    <t>金地华府</t>
    <phoneticPr fontId="3" type="noConversion"/>
  </si>
  <si>
    <t>海口市红城湖棚改片区</t>
  </si>
  <si>
    <t>综合用地(含住宅)</t>
  </si>
  <si>
    <t>≤3.54</t>
  </si>
  <si>
    <t>2019-04-11</t>
  </si>
  <si>
    <t>中国建筑一局(集团)有限公司</t>
  </si>
  <si>
    <t>≤5.18</t>
  </si>
  <si>
    <t>中国交通建设股份有限公司</t>
  </si>
  <si>
    <t>海口市坡博坡巷片区棚改C-6-13地块</t>
  </si>
  <si>
    <t>≥1且≤4.25</t>
  </si>
  <si>
    <t>2019-02-21</t>
  </si>
  <si>
    <t>中建一局</t>
  </si>
  <si>
    <t>海口市坡博坡巷棚改C-4-13地块</t>
  </si>
  <si>
    <t>≥1且≤4.4</t>
  </si>
  <si>
    <t>海口市美兰区滨江路南侧A0508-4地块</t>
  </si>
  <si>
    <t>住宅用地</t>
  </si>
  <si>
    <t>≥1且≤3.47</t>
  </si>
  <si>
    <t>龙华区龙桥镇</t>
  </si>
  <si>
    <t>≥1且≤1.2</t>
  </si>
  <si>
    <t>2018-12-30</t>
  </si>
  <si>
    <t>海南华谊冯小刚文化旅游实业有限公司</t>
  </si>
  <si>
    <t>≥1且≤1.5</t>
  </si>
  <si>
    <t>海南骏博旅游发展有限公司</t>
  </si>
  <si>
    <t>秀英区永兴镇</t>
  </si>
  <si>
    <t>≥1且≤2</t>
  </si>
  <si>
    <t>海南盛维旅游发展有限公司</t>
  </si>
  <si>
    <t>1星</t>
  </si>
  <si>
    <t>海口市面前坡片区棚户区改造项目回迁安置房用地B0602地块</t>
  </si>
  <si>
    <t>≥1且≤4.15</t>
  </si>
  <si>
    <t>2018-12-29</t>
  </si>
  <si>
    <t>海南第三建设工程有限公司</t>
  </si>
  <si>
    <t>海口市面前坡片区棚户区改造项目回迁安置房用地B0303地块</t>
  </si>
  <si>
    <t>海口市西海岸新区南片区</t>
  </si>
  <si>
    <t>≥1且≤3</t>
  </si>
  <si>
    <t>海南复兴城产业园投资管理有限公司</t>
  </si>
  <si>
    <t>≥1且≤3.5</t>
  </si>
  <si>
    <t>海口市面前坡片区棚户区改造项目回迁安置房B0103地块</t>
  </si>
  <si>
    <t>≤5.5</t>
  </si>
  <si>
    <t>海口市面前坡片区棚户区改造项目回迁安置房A0105地块</t>
  </si>
  <si>
    <t>海口市美苑路以西、美祥路南侧,下洋瓦灶片区棚户区改造项目C0502地块</t>
  </si>
  <si>
    <t>≥1且≤5.414</t>
  </si>
  <si>
    <t>2018-12-06</t>
  </si>
  <si>
    <t>山西建设发展有限公司</t>
  </si>
  <si>
    <t>海口市龙岐村</t>
  </si>
  <si>
    <t>≥1且≤5</t>
  </si>
  <si>
    <t>2018-11-16</t>
  </si>
  <si>
    <t>中交第四公路工程局有限公司</t>
  </si>
  <si>
    <t>海口市滨江西路西侧白沙坊棚户区</t>
  </si>
  <si>
    <t>≥1且≤5.72</t>
  </si>
  <si>
    <t>≥1且≤5.5</t>
  </si>
  <si>
    <t>绿地控股集团有限公司</t>
  </si>
  <si>
    <t>海口市龙华区龙桥镇</t>
  </si>
  <si>
    <t>2018-04-04</t>
  </si>
  <si>
    <t>海南观澜湖实业发展有限公司</t>
  </si>
  <si>
    <t>海口市椰海大道与永万路交汇处西北角</t>
  </si>
  <si>
    <t>≥1且≤2.8</t>
  </si>
  <si>
    <t>海南恩祥新城实业有限公司</t>
  </si>
  <si>
    <t>≥1且≤2.5</t>
  </si>
  <si>
    <t>海口市秀英区永兴镇</t>
  </si>
  <si>
    <t>≥1且≤1.9</t>
  </si>
  <si>
    <t>海南骏豪实业有限公司</t>
  </si>
  <si>
    <t>海南观澜湖华谊冯小刚文化旅游实业有限公司</t>
  </si>
  <si>
    <t>海口市江东组团白驹大道南侧E4002地块</t>
  </si>
  <si>
    <t>2017-12-12</t>
  </si>
  <si>
    <t>海南发展控股置业集团有限公司</t>
  </si>
  <si>
    <t>海口市江东组团白驹大道南侧E4502地块</t>
  </si>
  <si>
    <t>≥1且≤2.6</t>
  </si>
  <si>
    <t>海口市江东组团白驹大道南侧E4302地块</t>
  </si>
  <si>
    <t>海口市苍峄路西侧</t>
  </si>
  <si>
    <t>2017-10-12</t>
  </si>
  <si>
    <t>海南鼎坤实业有限公司</t>
  </si>
  <si>
    <t>2017-10-11</t>
  </si>
  <si>
    <t>西海岸南片区</t>
  </si>
  <si>
    <t>b6902、b6903、b7102:≥1,≤2,b7001:≤2,b7005:≤0.8</t>
  </si>
  <si>
    <t>2017-07-21</t>
  </si>
  <si>
    <t>北辰</t>
  </si>
  <si>
    <t>海口市龙昆南路东侧道客村内</t>
  </si>
  <si>
    <t>≥1且≤3.2</t>
  </si>
  <si>
    <t>2017-04-25</t>
  </si>
  <si>
    <t>海南润龙房地产开发有限公司</t>
  </si>
  <si>
    <t>b5702、b5704、b5803≤3;b5705、b5804≥1且≤2</t>
  </si>
  <si>
    <t>2017-04-20</t>
  </si>
  <si>
    <t>海南华侨城实业有限公司</t>
  </si>
  <si>
    <t>住宅</t>
    <phoneticPr fontId="31" type="noConversion"/>
  </si>
  <si>
    <t>高速</t>
    <phoneticPr fontId="31" type="noConversion"/>
  </si>
  <si>
    <t>快速</t>
    <phoneticPr fontId="31" type="noConversion"/>
  </si>
  <si>
    <t>主</t>
    <phoneticPr fontId="31" type="noConversion"/>
  </si>
  <si>
    <t>次</t>
    <phoneticPr fontId="31" type="noConversion"/>
  </si>
  <si>
    <t>支</t>
  </si>
  <si>
    <t>支</t>
    <phoneticPr fontId="31" type="noConversion"/>
  </si>
  <si>
    <t>规则</t>
    <phoneticPr fontId="31" type="noConversion"/>
  </si>
  <si>
    <t>较规则</t>
    <phoneticPr fontId="31" type="noConversion"/>
  </si>
  <si>
    <t>较不规则</t>
  </si>
  <si>
    <t>较不规则</t>
    <phoneticPr fontId="31" type="noConversion"/>
  </si>
  <si>
    <t>不规则</t>
    <phoneticPr fontId="31"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</si>
  <si>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</si>
  <si>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</si>
  <si>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</si>
  <si>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</si>
  <si>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</si>
  <si>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</si>
  <si>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</si>
  <si>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</si>
  <si>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</si>
  <si>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</si>
  <si>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单面临街</t>
  </si>
  <si>
    <t>城市支路—迎宾大道</t>
    <phoneticPr fontId="31" type="noConversion"/>
  </si>
  <si>
    <t>双面临街</t>
  </si>
  <si>
    <t>吴薇</t>
  </si>
  <si>
    <t>郑燚</t>
  </si>
  <si>
    <t>普通住宅</t>
  </si>
  <si>
    <t>成本比率</t>
  </si>
  <si>
    <t>普通装修</t>
  </si>
  <si>
    <t>测算结果</t>
  </si>
  <si>
    <t>总价</t>
  </si>
  <si>
    <t>单价</t>
  </si>
  <si>
    <t>评估价值</t>
  </si>
  <si>
    <t>(规划)建筑面积</t>
  </si>
  <si>
    <t>(分摊)土地面积</t>
  </si>
  <si>
    <t>出让国有建设用地使用权价值</t>
  </si>
  <si>
    <t>在建建筑物价值</t>
  </si>
  <si>
    <t>房地产价值</t>
  </si>
  <si>
    <t>总 价</t>
  </si>
  <si>
    <t>楼面单价</t>
  </si>
  <si>
    <t>商业</t>
    <phoneticPr fontId="31" type="noConversion"/>
  </si>
  <si>
    <t>推出楼面价(元/㎡)</t>
  </si>
  <si>
    <t>≤4</t>
  </si>
  <si>
    <t>≤2.5</t>
  </si>
  <si>
    <t>≤2.494</t>
  </si>
  <si>
    <t>海口市城西片区</t>
  </si>
  <si>
    <t>2016-04-21</t>
  </si>
  <si>
    <t>≤3.5</t>
  </si>
  <si>
    <t>海口市滨涯路北侧</t>
  </si>
  <si>
    <t>≤2</t>
  </si>
  <si>
    <t>≤1.07</t>
  </si>
  <si>
    <t>≤3</t>
  </si>
  <si>
    <t>≤1</t>
  </si>
  <si>
    <t>≤0.6</t>
  </si>
  <si>
    <t>≤1.1</t>
  </si>
  <si>
    <t>≤1.15</t>
  </si>
  <si>
    <t>价值时点</t>
  </si>
  <si>
    <t>法定最高/出让年限</t>
  </si>
  <si>
    <t>终止日期</t>
  </si>
  <si>
    <t>剩余土地使用年限</t>
  </si>
  <si>
    <t>年期修正系数</t>
  </si>
  <si>
    <t>报酬率-土地</t>
  </si>
  <si>
    <t>不同年限间价值的换算</t>
  </si>
  <si>
    <t>年限</t>
  </si>
  <si>
    <t>N</t>
  </si>
  <si>
    <r>
      <t>Y</t>
    </r>
    <r>
      <rPr>
        <sz val="11"/>
        <rFont val="仿宋_GB2312"/>
        <family val="3"/>
        <charset val="134"/>
      </rPr>
      <t>（</t>
    </r>
    <r>
      <rPr>
        <sz val="11"/>
        <rFont val="Arial"/>
        <family val="2"/>
      </rPr>
      <t>N</t>
    </r>
    <r>
      <rPr>
        <sz val="11"/>
        <rFont val="仿宋_GB2312"/>
        <family val="3"/>
        <charset val="134"/>
      </rPr>
      <t>）</t>
    </r>
  </si>
  <si>
    <t>K(N)</t>
  </si>
  <si>
    <t>n</t>
  </si>
  <si>
    <r>
      <t>Y</t>
    </r>
    <r>
      <rPr>
        <sz val="11"/>
        <rFont val="仿宋_GB2312"/>
        <family val="3"/>
        <charset val="134"/>
      </rPr>
      <t>（</t>
    </r>
    <r>
      <rPr>
        <sz val="11"/>
        <rFont val="Arial"/>
        <family val="2"/>
      </rPr>
      <t>n</t>
    </r>
    <r>
      <rPr>
        <sz val="11"/>
        <rFont val="仿宋_GB2312"/>
        <family val="3"/>
        <charset val="134"/>
      </rPr>
      <t>）</t>
    </r>
  </si>
  <si>
    <t>K(n)</t>
  </si>
  <si>
    <t>已知V（N），求取V（n）</t>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</si>
  <si>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</si>
  <si>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r>
      <t>V</t>
    </r>
    <r>
      <rPr>
        <sz val="11"/>
        <rFont val="仿宋_GB2312"/>
        <family val="3"/>
        <charset val="134"/>
      </rPr>
      <t>（</t>
    </r>
    <r>
      <rPr>
        <sz val="11"/>
        <rFont val="Arial"/>
        <family val="2"/>
      </rPr>
      <t>n</t>
    </r>
    <r>
      <rPr>
        <sz val="11"/>
        <rFont val="仿宋_GB2312"/>
        <family val="3"/>
        <charset val="134"/>
      </rPr>
      <t>）</t>
    </r>
    <phoneticPr fontId="3" type="noConversion"/>
  </si>
  <si>
    <t>已知V（n），求取V（N）</t>
    <phoneticPr fontId="3" type="noConversion"/>
  </si>
  <si>
    <r>
      <t>V</t>
    </r>
    <r>
      <rPr>
        <sz val="11"/>
        <rFont val="仿宋_GB2312"/>
        <family val="3"/>
        <charset val="134"/>
      </rPr>
      <t>（</t>
    </r>
    <r>
      <rPr>
        <sz val="11"/>
        <rFont val="Arial"/>
        <family val="2"/>
      </rPr>
      <t>n</t>
    </r>
    <r>
      <rPr>
        <sz val="11"/>
        <rFont val="仿宋_GB2312"/>
        <family val="3"/>
        <charset val="134"/>
      </rPr>
      <t>）</t>
    </r>
  </si>
  <si>
    <r>
      <t>V</t>
    </r>
    <r>
      <rPr>
        <sz val="11"/>
        <rFont val="仿宋_GB2312"/>
        <family val="3"/>
        <charset val="134"/>
      </rPr>
      <t>（</t>
    </r>
    <r>
      <rPr>
        <sz val="11"/>
        <rFont val="Arial"/>
        <family val="2"/>
      </rPr>
      <t>N</t>
    </r>
    <r>
      <rPr>
        <sz val="11"/>
        <rFont val="仿宋_GB2312"/>
        <family val="3"/>
        <charset val="134"/>
      </rPr>
      <t>）</t>
    </r>
  </si>
  <si>
    <t>40-50（含）</t>
  </si>
  <si>
    <r>
      <t>70</t>
    </r>
    <r>
      <rPr>
        <sz val="11"/>
        <color indexed="8"/>
        <rFont val="宋体"/>
        <family val="3"/>
        <charset val="134"/>
      </rPr>
      <t>年商业</t>
    </r>
    <phoneticPr fontId="25" type="noConversion"/>
  </si>
  <si>
    <r>
      <t>70</t>
    </r>
    <r>
      <rPr>
        <sz val="11"/>
        <color indexed="8"/>
        <rFont val="宋体"/>
        <family val="3"/>
        <charset val="134"/>
      </rPr>
      <t>住宅</t>
    </r>
    <phoneticPr fontId="25" type="noConversion"/>
  </si>
  <si>
    <t>商业</t>
    <phoneticPr fontId="25" type="noConversion"/>
  </si>
  <si>
    <t>住宅</t>
    <phoneticPr fontId="25" type="noConversion"/>
  </si>
  <si>
    <t>产权式酒店</t>
  </si>
  <si>
    <t>产权式酒店</t>
    <phoneticPr fontId="25" type="noConversion"/>
  </si>
  <si>
    <t>普通住宅</t>
    <phoneticPr fontId="25" type="noConversion"/>
  </si>
  <si>
    <r>
      <t>40</t>
    </r>
    <r>
      <rPr>
        <sz val="11"/>
        <color indexed="8"/>
        <rFont val="宋体"/>
        <family val="3"/>
        <charset val="134"/>
      </rPr>
      <t>（转</t>
    </r>
    <r>
      <rPr>
        <sz val="11"/>
        <color indexed="8"/>
        <rFont val="Arial"/>
        <family val="2"/>
      </rPr>
      <t>70</t>
    </r>
    <r>
      <rPr>
        <sz val="11"/>
        <color indexed="8"/>
        <rFont val="宋体"/>
        <family val="3"/>
        <charset val="134"/>
      </rPr>
      <t>）</t>
    </r>
    <phoneticPr fontId="3" type="noConversion"/>
  </si>
  <si>
    <r>
      <t>40</t>
    </r>
    <r>
      <rPr>
        <sz val="11"/>
        <color indexed="8"/>
        <rFont val="宋体"/>
        <family val="3"/>
        <charset val="134"/>
      </rPr>
      <t>（转</t>
    </r>
    <r>
      <rPr>
        <sz val="11"/>
        <color indexed="8"/>
        <rFont val="Arial"/>
        <family val="2"/>
      </rPr>
      <t>70</t>
    </r>
    <r>
      <rPr>
        <sz val="11"/>
        <color indexed="8"/>
        <rFont val="宋体"/>
        <family val="3"/>
        <charset val="134"/>
      </rPr>
      <t>）</t>
    </r>
    <phoneticPr fontId="3" type="noConversion"/>
  </si>
  <si>
    <r>
      <t>40</t>
    </r>
    <r>
      <rPr>
        <sz val="11"/>
        <color indexed="8"/>
        <rFont val="宋体"/>
        <family val="3"/>
        <charset val="134"/>
      </rPr>
      <t>（转</t>
    </r>
    <r>
      <rPr>
        <sz val="11"/>
        <color indexed="8"/>
        <rFont val="Arial"/>
        <family val="2"/>
      </rPr>
      <t>70</t>
    </r>
    <r>
      <rPr>
        <sz val="11"/>
        <color indexed="8"/>
        <rFont val="宋体"/>
        <family val="3"/>
        <charset val="134"/>
      </rPr>
      <t>）</t>
    </r>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</si>
</sst>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3">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10804]#,##0.00;\-#,##0.00"/>
    <numFmt numFmtId="198" formatCode="#,##0_ "/>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rgb="FF000000"/>
      <name val="宋体"/>
      <family val="3"/>
      <charset val="134"/>
      <scheme val="minor"/>
    </font>
    <font>
      <b/>
      <sz val="14"/>
      <name val="宋体"/>
      <family val="3"/>
      <charset val="134"/>
      <scheme val="minor"/>
    </font>
    <font>
      <sz val="10"/>
      <color rgb="FF000000"/>
      <name val="宋体"/>
      <family val="3"/>
      <charset val="134"/>
      <scheme val="minor"/>
    </font>
    <font>
      <sz val="10.5"/>
      <color theme="1"/>
      <name val="Arial"/>
      <family val="2"/>
    </font>
    <font>
      <sz val="11"/>
      <name val="仿宋_GB2312"/>
      <family val="3"/>
      <charset val="134"/>
    </font>
    <font>
      <sz val="11"/>
      <color indexed="8"/>
      <name val="仿宋_GB2312"/>
      <family val="3"/>
      <charset val="134"/>
    </font>
    <font>
      <b/>
      <sz val="11"/>
      <color rgb="FFFF0000"/>
      <name val="仿宋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197" fontId="254"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0" fillId="0" borderId="0" xfId="0" applyAlignment="1">
      <alignment horizontal="center" vertical="center" wrapText="1"/>
    </xf>
    <xf numFmtId="0" fontId="0" fillId="9" borderId="0" xfId="0" applyFill="1" applyAlignment="1">
      <alignment horizontal="center" vertical="center" wrapText="1"/>
    </xf>
    <xf numFmtId="197" fontId="206" fillId="0" borderId="1" xfId="17" applyNumberFormat="1" applyFont="1" applyFill="1" applyBorder="1" applyAlignment="1">
      <alignment horizontal="center" vertical="center" wrapText="1" readingOrder="1"/>
    </xf>
    <xf numFmtId="0" fontId="255" fillId="0" borderId="1" xfId="0" applyFont="1" applyFill="1" applyBorder="1" applyAlignment="1">
      <alignment horizontal="center" vertical="center" wrapText="1"/>
    </xf>
    <xf numFmtId="0" fontId="211" fillId="0" borderId="0" xfId="0" applyFont="1" applyAlignment="1">
      <alignment horizontal="center"/>
    </xf>
    <xf numFmtId="198" fontId="256" fillId="0" borderId="1" xfId="17" applyNumberFormat="1" applyFont="1" applyFill="1" applyBorder="1" applyAlignment="1">
      <alignment horizontal="center" vertical="center" wrapText="1" readingOrder="1"/>
    </xf>
    <xf numFmtId="197" fontId="256" fillId="0" borderId="1" xfId="17" applyNumberFormat="1" applyFont="1" applyFill="1" applyBorder="1" applyAlignment="1">
      <alignment horizontal="center" vertical="center" wrapText="1" readingOrder="1"/>
    </xf>
    <xf numFmtId="0" fontId="256" fillId="0" borderId="1" xfId="17" applyNumberFormat="1" applyFont="1" applyFill="1" applyBorder="1" applyAlignment="1">
      <alignment horizontal="center" vertical="center" wrapText="1" readingOrder="1"/>
    </xf>
    <xf numFmtId="0" fontId="0" fillId="0" borderId="0" xfId="0" applyFill="1" applyAlignment="1">
      <alignment horizontal="center"/>
    </xf>
    <xf numFmtId="0" fontId="0" fillId="0" borderId="0" xfId="0" applyAlignment="1">
      <alignment horizontal="center"/>
    </xf>
    <xf numFmtId="198" fontId="256" fillId="7" borderId="1" xfId="17" applyNumberFormat="1" applyFont="1" applyFill="1" applyBorder="1" applyAlignment="1">
      <alignment horizontal="center" vertical="center" wrapText="1" readingOrder="1"/>
    </xf>
    <xf numFmtId="197" fontId="256" fillId="7" borderId="1" xfId="17" applyNumberFormat="1" applyFont="1" applyFill="1" applyBorder="1" applyAlignment="1">
      <alignment horizontal="center" vertical="center" wrapText="1" readingOrder="1"/>
    </xf>
    <xf numFmtId="0" fontId="256" fillId="7" borderId="1" xfId="17" applyNumberFormat="1" applyFont="1" applyFill="1" applyBorder="1" applyAlignment="1">
      <alignment horizontal="center" vertical="center" wrapText="1" readingOrder="1"/>
    </xf>
    <xf numFmtId="0" fontId="100" fillId="7" borderId="1" xfId="0" applyFont="1" applyFill="1" applyBorder="1" applyAlignment="1">
      <alignment horizontal="center" vertical="center" wrapText="1" readingOrder="1"/>
    </xf>
    <xf numFmtId="197" fontId="100" fillId="7" borderId="1" xfId="0" applyNumberFormat="1" applyFont="1" applyFill="1" applyBorder="1" applyAlignment="1">
      <alignment horizontal="center" vertical="center" wrapText="1" readingOrder="1"/>
    </xf>
    <xf numFmtId="0" fontId="100" fillId="0" borderId="0" xfId="0" applyFont="1" applyAlignment="1">
      <alignment horizontal="center" vertical="center"/>
    </xf>
    <xf numFmtId="0" fontId="0" fillId="0" borderId="0" xfId="0" applyAlignment="1">
      <alignment horizontal="center" vertical="center" wrapText="1" readingOrder="1"/>
    </xf>
    <xf numFmtId="177" fontId="80" fillId="0" borderId="1" xfId="1" applyNumberFormat="1" applyFont="1" applyFill="1" applyBorder="1" applyAlignment="1" applyProtection="1">
      <alignment vertical="center"/>
      <protection locked="0" hidden="1"/>
    </xf>
    <xf numFmtId="0" fontId="99" fillId="0" borderId="0" xfId="0" applyFont="1" applyAlignment="1">
      <alignment horizontal="center" vertical="center" wrapText="1"/>
    </xf>
    <xf numFmtId="0" fontId="257" fillId="0" borderId="0" xfId="0" applyFont="1">
      <alignment vertical="center"/>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0" fillId="5" borderId="0" xfId="0" applyFill="1" applyAlignment="1"/>
    <xf numFmtId="49" fontId="98" fillId="0" borderId="14" xfId="0" applyNumberFormat="1" applyFont="1" applyFill="1" applyBorder="1" applyAlignment="1" applyProtection="1">
      <alignment horizontal="center" vertical="center" wrapText="1"/>
      <protection locked="0"/>
    </xf>
    <xf numFmtId="197" fontId="0" fillId="0" borderId="0" xfId="0" applyNumberFormat="1" applyAlignment="1">
      <alignment horizontal="center" vertical="center" wrapText="1"/>
    </xf>
    <xf numFmtId="0" fontId="113" fillId="0" borderId="0" xfId="0" applyFont="1" applyAlignment="1"/>
    <xf numFmtId="0" fontId="113" fillId="5" borderId="0" xfId="0" applyFont="1" applyFill="1" applyAlignment="1"/>
    <xf numFmtId="0" fontId="118" fillId="6" borderId="26" xfId="2" applyFont="1" applyFill="1" applyBorder="1"/>
    <xf numFmtId="184" fontId="47" fillId="0" borderId="67" xfId="2" applyNumberFormat="1" applyFont="1" applyFill="1" applyBorder="1" applyAlignment="1" applyProtection="1">
      <alignment horizontal="center" vertical="center"/>
      <protection locked="0"/>
    </xf>
    <xf numFmtId="0" fontId="118" fillId="0" borderId="0" xfId="2" applyFont="1"/>
    <xf numFmtId="180" fontId="258" fillId="6" borderId="6" xfId="1" applyNumberFormat="1" applyFont="1" applyFill="1" applyBorder="1" applyAlignment="1" applyProtection="1">
      <alignment horizontal="center" vertical="center" wrapText="1"/>
    </xf>
    <xf numFmtId="0" fontId="259" fillId="6" borderId="9" xfId="2" applyFont="1" applyFill="1" applyBorder="1" applyAlignment="1" applyProtection="1">
      <alignment horizontal="center" vertical="center" wrapText="1"/>
    </xf>
    <xf numFmtId="179" fontId="259" fillId="6" borderId="9" xfId="2" applyNumberFormat="1" applyFont="1" applyFill="1" applyBorder="1" applyAlignment="1" applyProtection="1">
      <alignment horizontal="center" vertical="center" wrapText="1"/>
    </xf>
    <xf numFmtId="0" fontId="259" fillId="6" borderId="10" xfId="2" applyFont="1" applyFill="1" applyBorder="1" applyAlignment="1" applyProtection="1">
      <alignment horizontal="center" vertical="center" wrapText="1"/>
    </xf>
    <xf numFmtId="177" fontId="47" fillId="5" borderId="23" xfId="1" applyNumberFormat="1" applyFont="1" applyFill="1" applyBorder="1" applyAlignment="1" applyProtection="1">
      <alignment horizontal="center" vertical="center"/>
      <protection locked="0"/>
    </xf>
    <xf numFmtId="184" fontId="47" fillId="0" borderId="1" xfId="2" applyNumberFormat="1" applyFont="1" applyFill="1" applyBorder="1" applyAlignment="1" applyProtection="1">
      <alignment horizontal="center" vertical="center"/>
      <protection locked="0"/>
    </xf>
    <xf numFmtId="181" fontId="104" fillId="0" borderId="24" xfId="2" applyNumberFormat="1" applyFont="1" applyFill="1" applyBorder="1" applyAlignment="1" applyProtection="1">
      <alignment horizontal="center" vertical="center"/>
      <protection locked="0"/>
    </xf>
    <xf numFmtId="177" fontId="47" fillId="5" borderId="25" xfId="1" applyNumberFormat="1" applyFont="1" applyFill="1" applyBorder="1" applyAlignment="1" applyProtection="1">
      <alignment horizontal="center" vertical="center"/>
      <protection locked="0"/>
    </xf>
    <xf numFmtId="184" fontId="47" fillId="0" borderId="32" xfId="2" applyNumberFormat="1" applyFont="1" applyFill="1" applyBorder="1" applyAlignment="1" applyProtection="1">
      <alignment horizontal="center" vertical="center"/>
      <protection locked="0"/>
    </xf>
    <xf numFmtId="179" fontId="54" fillId="6" borderId="32" xfId="1" applyNumberFormat="1" applyFont="1" applyFill="1" applyBorder="1" applyAlignment="1" applyProtection="1">
      <alignment horizontal="center" vertical="center"/>
    </xf>
    <xf numFmtId="180" fontId="54" fillId="6" borderId="32" xfId="1" applyNumberFormat="1" applyFont="1" applyFill="1" applyBorder="1" applyAlignment="1" applyProtection="1">
      <alignment horizontal="center" vertical="center"/>
    </xf>
    <xf numFmtId="181" fontId="104" fillId="0" borderId="49" xfId="2" applyNumberFormat="1" applyFont="1" applyFill="1" applyBorder="1" applyAlignment="1" applyProtection="1">
      <alignment horizontal="center" vertical="center"/>
      <protection locked="0"/>
    </xf>
    <xf numFmtId="0" fontId="260" fillId="6" borderId="16" xfId="2" applyFont="1" applyFill="1" applyBorder="1" applyAlignment="1">
      <alignment vertical="center"/>
    </xf>
    <xf numFmtId="0" fontId="118" fillId="6" borderId="31" xfId="2" applyFont="1" applyFill="1" applyBorder="1" applyAlignment="1">
      <alignment vertical="center"/>
    </xf>
    <xf numFmtId="0" fontId="118" fillId="0" borderId="0" xfId="2" applyFont="1" applyAlignment="1">
      <alignment vertical="center"/>
    </xf>
    <xf numFmtId="0" fontId="118" fillId="6" borderId="63" xfId="2" applyFont="1" applyFill="1" applyBorder="1"/>
    <xf numFmtId="0" fontId="258" fillId="6" borderId="64" xfId="2" applyFont="1" applyFill="1" applyBorder="1" applyAlignment="1">
      <alignment horizontal="right" vertical="center"/>
    </xf>
    <xf numFmtId="0" fontId="258" fillId="6" borderId="65" xfId="2" applyFont="1" applyFill="1" applyBorder="1" applyAlignment="1">
      <alignment horizontal="right" vertical="center"/>
    </xf>
    <xf numFmtId="0" fontId="54" fillId="6" borderId="6" xfId="2" applyFont="1" applyFill="1" applyBorder="1" applyAlignment="1">
      <alignment horizontal="center"/>
    </xf>
    <xf numFmtId="0" fontId="104" fillId="0" borderId="9" xfId="2" applyFont="1" applyBorder="1" applyAlignment="1" applyProtection="1">
      <alignment horizontal="center"/>
      <protection locked="0"/>
    </xf>
    <xf numFmtId="0" fontId="54" fillId="6" borderId="9" xfId="2" applyFont="1" applyFill="1" applyBorder="1" applyAlignment="1">
      <alignment horizontal="center"/>
    </xf>
    <xf numFmtId="0" fontId="54" fillId="6" borderId="10" xfId="2" applyFont="1" applyFill="1" applyBorder="1"/>
    <xf numFmtId="0" fontId="54" fillId="6" borderId="25" xfId="2" applyFont="1" applyFill="1" applyBorder="1" applyAlignment="1">
      <alignment horizontal="center"/>
    </xf>
    <xf numFmtId="0" fontId="104" fillId="0" borderId="32" xfId="2" applyFont="1" applyBorder="1" applyAlignment="1" applyProtection="1">
      <alignment horizontal="center"/>
      <protection locked="0"/>
    </xf>
    <xf numFmtId="0" fontId="54" fillId="6" borderId="32" xfId="2" applyFont="1" applyFill="1" applyBorder="1" applyAlignment="1">
      <alignment horizontal="center"/>
    </xf>
    <xf numFmtId="0" fontId="54" fillId="6" borderId="49" xfId="2" applyFont="1" applyFill="1" applyBorder="1"/>
    <xf numFmtId="0" fontId="98" fillId="6" borderId="0" xfId="2" applyFont="1" applyFill="1" applyBorder="1" applyAlignment="1">
      <alignment horizontal="left"/>
    </xf>
    <xf numFmtId="0" fontId="54" fillId="6" borderId="0" xfId="2" applyFont="1" applyFill="1" applyBorder="1" applyAlignment="1">
      <alignment horizontal="center"/>
    </xf>
    <xf numFmtId="0" fontId="104" fillId="0" borderId="9" xfId="2" applyFont="1" applyFill="1" applyBorder="1" applyAlignment="1" applyProtection="1">
      <alignment horizontal="center"/>
      <protection locked="0"/>
    </xf>
    <xf numFmtId="0" fontId="104" fillId="0" borderId="0" xfId="2" applyFont="1"/>
    <xf numFmtId="0" fontId="104" fillId="6" borderId="32" xfId="2" applyFont="1" applyFill="1" applyBorder="1" applyAlignment="1">
      <alignment horizontal="center"/>
    </xf>
    <xf numFmtId="0" fontId="104" fillId="6" borderId="0" xfId="2" applyFont="1" applyFill="1"/>
    <xf numFmtId="0" fontId="118" fillId="6" borderId="0" xfId="2" applyFont="1" applyFill="1"/>
    <xf numFmtId="0" fontId="104" fillId="0" borderId="10" xfId="2" applyFont="1" applyFill="1" applyBorder="1" applyAlignment="1" applyProtection="1">
      <alignment horizontal="center"/>
      <protection locked="0"/>
    </xf>
    <xf numFmtId="0" fontId="104" fillId="6" borderId="49" xfId="2" applyFont="1" applyFill="1" applyBorder="1" applyAlignment="1">
      <alignment horizontal="center"/>
    </xf>
    <xf numFmtId="181" fontId="104" fillId="0" borderId="9" xfId="2" applyNumberFormat="1" applyFont="1" applyBorder="1" applyAlignment="1" applyProtection="1">
      <alignment horizontal="center"/>
      <protection locked="0"/>
    </xf>
    <xf numFmtId="181" fontId="104" fillId="0" borderId="32" xfId="2" applyNumberFormat="1" applyFont="1" applyBorder="1" applyAlignment="1" applyProtection="1">
      <alignment horizontal="center"/>
      <protection locked="0"/>
    </xf>
    <xf numFmtId="179" fontId="118" fillId="0" borderId="0" xfId="2" applyNumberFormat="1" applyFont="1"/>
    <xf numFmtId="0" fontId="47" fillId="17" borderId="5" xfId="0" applyNumberFormat="1" applyFont="1" applyFill="1" applyBorder="1" applyAlignment="1" applyProtection="1">
      <alignment horizontal="center" vertical="center" wrapText="1"/>
    </xf>
    <xf numFmtId="0" fontId="47" fillId="17" borderId="24" xfId="0" applyNumberFormat="1" applyFont="1" applyFill="1" applyBorder="1" applyAlignment="1" applyProtection="1">
      <alignment horizontal="center"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100" fillId="7" borderId="1" xfId="0" applyFont="1" applyFill="1" applyBorder="1" applyAlignment="1">
      <alignment horizontal="center" vertical="center" wrapText="1" readingOrder="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258" fillId="6" borderId="63" xfId="2" applyFont="1" applyFill="1" applyBorder="1" applyAlignment="1">
      <alignment horizontal="center"/>
    </xf>
    <xf numFmtId="0" fontId="258" fillId="6" borderId="64" xfId="2" applyFont="1" applyFill="1" applyBorder="1" applyAlignment="1">
      <alignment horizont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225"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8">
    <cellStyle name="Normal" xfId="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23</xdr:row>
      <xdr:rowOff>95250</xdr:rowOff>
    </xdr:from>
    <xdr:to>
      <xdr:col>9</xdr:col>
      <xdr:colOff>533400</xdr:colOff>
      <xdr:row>60</xdr:row>
      <xdr:rowOff>142875</xdr:rowOff>
    </xdr:to>
    <xdr:pic>
      <xdr:nvPicPr>
        <xdr:cNvPr id="2" name="Picture 1"/>
        <xdr:cNvPicPr>
          <a:picLocks noChangeAspect="1" noChangeArrowheads="1"/>
        </xdr:cNvPicPr>
      </xdr:nvPicPr>
      <xdr:blipFill>
        <a:blip xmlns:r="http://schemas.openxmlformats.org/officeDocument/2006/relationships" r:embed="rId1"/>
        <a:srcRect/>
        <a:stretch>
          <a:fillRect/>
        </a:stretch>
      </xdr:blipFill>
      <xdr:spPr>
        <a:xfrm>
          <a:off x="0" y="4038600"/>
          <a:ext cx="10115550" cy="6391275"/>
        </a:xfrm>
        <a:prstGeom prst="rect">
          <a:avLst/>
        </a:prstGeom>
        <a:noFill/>
        <a:ln w="1">
          <a:noFill/>
          <a:miter lim="800000"/>
          <a:headEnd/>
          <a:tailEnd type="none" w="med" len="med"/>
        </a:ln>
        <a:effectLst/>
      </xdr:spPr>
    </xdr:pic>
    <xdr:clientData/>
  </xdr:twoCellAnchor>
  <xdr:twoCellAnchor>
    <xdr:from>
      <xdr:col>0</xdr:col>
      <xdr:colOff>0</xdr:colOff>
      <xdr:row>57</xdr:row>
      <xdr:rowOff>0</xdr:rowOff>
    </xdr:from>
    <xdr:to>
      <xdr:col>14</xdr:col>
      <xdr:colOff>161925</xdr:colOff>
      <xdr:row>84</xdr:row>
      <xdr:rowOff>161925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9772650"/>
          <a:ext cx="11468100" cy="4791075"/>
        </a:xfrm>
        <a:prstGeom prst="rect">
          <a:avLst/>
        </a:prstGeom>
        <a:noFill/>
        <a:ln w="9525">
          <a:noFill/>
        </a:ln>
      </xdr:spPr>
    </xdr:pic>
    <xdr:clientData/>
  </xdr:twoCellAnchor>
  <xdr:twoCellAnchor>
    <xdr:from>
      <xdr:col>0</xdr:col>
      <xdr:colOff>0</xdr:colOff>
      <xdr:row>88</xdr:row>
      <xdr:rowOff>0</xdr:rowOff>
    </xdr:from>
    <xdr:to>
      <xdr:col>8</xdr:col>
      <xdr:colOff>838200</xdr:colOff>
      <xdr:row>117</xdr:row>
      <xdr:rowOff>133350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5087600"/>
          <a:ext cx="7286625" cy="5105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1-cuikai-103\&#19968;&#37096;&#36164;&#26009;&#24211;\&#23828;&#38196;\&#24037;&#20316;\&#19968;&#37096;&#20869;&#37096;&#31649;&#29702;\&#27169;&#26495;\&#19968;&#37096;&#35780;&#20272;&#25216;&#26415;\&#27979;&#31639;&#34920;&#35843;&#25972;&#20013;\&#30005;&#31639;&#34920;\&#35780;&#20272;&#19968;&#37096;&#8212;&#30005;&#31639;&#34920;-&#39564;&#35777;0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E:\&#24352;&#24535;&#32753;\1-&#27491;&#24335;&#24037;&#20316;&#25991;&#20214;\2019\&#38134;&#34892;&#32452;\B\&#28023;&#21335;&#26032;\&#28023;&#21335;&#29616;&#2515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8023;&#21335;&#29616;&#25151;-&#25442;&#26696;&#20363;&#35299;&#349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使用说明"/>
      <sheetName val="定义"/>
      <sheetName val="权属及证件取得情况"/>
      <sheetName val="数据-基础表"/>
      <sheetName val="抵押物清单（分楼）"/>
      <sheetName val="数据-汇总表"/>
      <sheetName val="数据-取费表"/>
      <sheetName val="估价对象房地状况"/>
      <sheetName val="结果表"/>
      <sheetName val="成本法"/>
      <sheetName val="假设开发法"/>
      <sheetName val="收益法"/>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清单"/>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Sheet1"/>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704">
          <cell r="E704">
            <v>24350.95</v>
          </cell>
        </row>
        <row r="713">
          <cell r="E713">
            <v>14758.15</v>
          </cell>
        </row>
      </sheetData>
      <sheetData sheetId="13" refreshError="1"/>
      <sheetData sheetId="14" refreshError="1"/>
      <sheetData sheetId="15" refreshError="1"/>
      <sheetData sheetId="16" refreshError="1"/>
      <sheetData sheetId="17">
        <row r="14">
          <cell r="B14">
            <v>31364.38000000031</v>
          </cell>
          <cell r="C14">
            <v>14756.35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清单"/>
      <sheetName val="抵押物清单（分楼）"/>
      <sheetName val="数据-汇总表"/>
      <sheetName val="数据-取费表"/>
      <sheetName val="估价对象房地状况"/>
      <sheetName val="系统读取表"/>
      <sheetName val="结果表"/>
      <sheetName val="成本法 (元)"/>
      <sheetName val="成本法"/>
      <sheetName val="土地比较法-住宅、综合"/>
      <sheetName val="假设开发法"/>
      <sheetName val="收益法"/>
      <sheetName val="收益法 (元)"/>
      <sheetName val="收益法（汇总）"/>
      <sheetName val="酒店收入计算"/>
      <sheetName val="年期修正系数"/>
      <sheetName val="比较法-住宅"/>
      <sheetName val="比较法-商业"/>
      <sheetName val="比较法-办公"/>
      <sheetName val="比较法-工业"/>
      <sheetName val="比较法-车位"/>
      <sheetName val="比较法-仓储"/>
      <sheetName val="Sheet1"/>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 val="商业"/>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53590</v>
          </cell>
        </row>
      </sheetData>
      <sheetData sheetId="18"/>
      <sheetData sheetId="19"/>
      <sheetData sheetId="20"/>
      <sheetData sheetId="21"/>
      <sheetData sheetId="22"/>
      <sheetData sheetId="23"/>
      <sheetData sheetId="24"/>
      <sheetData sheetId="25"/>
      <sheetData sheetId="26"/>
      <sheetData sheetId="27">
        <row r="11">
          <cell r="I11">
            <v>0.85750000000000004</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6" customWidth="1"/>
    <col min="2" max="2" width="81" style="1603" customWidth="1"/>
    <col min="3" max="16384" width="9" style="1601"/>
  </cols>
  <sheetData>
    <row r="1" spans="1:2" s="1589" customFormat="1" ht="16.5" thickBot="1">
      <c r="A1" s="1588" t="s">
        <v>1215</v>
      </c>
      <c r="B1" s="1587" t="s">
        <v>1294</v>
      </c>
    </row>
    <row r="2" spans="1:2" s="1592" customFormat="1" ht="15" thickTop="1">
      <c r="A2" s="1590" t="s">
        <v>1216</v>
      </c>
      <c r="B2" s="1591" t="str">
        <f>'预评函-封皮'!B37:I37</f>
        <v>出让国有建设用地使用权及在建建筑物预评估</v>
      </c>
    </row>
    <row r="3" spans="1:2" s="1595" customFormat="1">
      <c r="A3" s="1593" t="s">
        <v>1217</v>
      </c>
      <c r="B3" s="1594">
        <f>'预评函-封皮'!B40</f>
        <v>0</v>
      </c>
    </row>
    <row r="4" spans="1:2" s="1595" customFormat="1">
      <c r="A4" s="1593" t="s">
        <v>1218</v>
      </c>
      <c r="B4" s="1594" t="str">
        <f ca="1">'预评函-封皮'!B46</f>
        <v>吴薇（注册号：1419970001)、郑燚（注册号：1120070131)</v>
      </c>
    </row>
    <row r="5" spans="1:2" s="1589" customFormat="1" ht="15" thickBot="1">
      <c r="A5" s="1596" t="s">
        <v>1219</v>
      </c>
      <c r="B5" s="1597" t="str">
        <f>'预评函-封皮'!B49</f>
        <v>康正预评字号</v>
      </c>
    </row>
    <row r="6" spans="1:2" s="1592" customFormat="1" ht="15" thickTop="1">
      <c r="A6" s="1590" t="s">
        <v>1220</v>
      </c>
      <c r="B6" s="1591" t="str">
        <f>'预评函-1'!A4</f>
        <v>受贵公司委托，我公司对出让国有建设用地使用权及在建建筑物房地产抵押价值进行了预评估。</v>
      </c>
    </row>
    <row r="7" spans="1:2" s="1595" customFormat="1">
      <c r="A7" s="1593" t="s">
        <v>1260</v>
      </c>
      <c r="B7" s="1594" t="str">
        <f>'预评函-1'!A7</f>
        <v>估价对象为出让国有建设用地使用权及在建建筑物房地产，为所有。根据《国有土地使用证》[]，估价对象（分摊）出让国有建设用地使用权面积为16074.03平方米，建筑面积为34338.32平方米。</v>
      </c>
    </row>
    <row r="8" spans="1:2" s="1595" customFormat="1">
      <c r="A8" s="1593" t="s">
        <v>1261</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1262</v>
      </c>
      <c r="B9" s="1594" t="str">
        <f>'预评函-1'!A10</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0" spans="1:2" s="1595" customFormat="1">
      <c r="A10" s="1593" t="s">
        <v>1263</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1221</v>
      </c>
      <c r="B11" s="1594" t="str">
        <f>'预评函-1'!A13</f>
        <v>为估价委托人了解估价对象房地产市场价值提供参考依据。</v>
      </c>
    </row>
    <row r="12" spans="1:2" s="1595" customFormat="1">
      <c r="A12" s="1593" t="s">
        <v>1222</v>
      </c>
      <c r="B12" s="1594" t="str">
        <f>'预评函-1'!A15</f>
        <v>2019年8月12日（评估专业人员实地查勘之日）</v>
      </c>
    </row>
    <row r="13" spans="1:2" s="1595" customFormat="1">
      <c r="A13" s="1593" t="s">
        <v>1223</v>
      </c>
      <c r="B13" s="1594" t="str">
        <f>'预评函-1'!A18</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4" spans="1:2" s="1595" customFormat="1">
      <c r="A14" s="1593" t="s">
        <v>1224</v>
      </c>
      <c r="B14" s="159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1225</v>
      </c>
      <c r="B15" s="159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5" customFormat="1">
      <c r="A16" s="1593" t="s">
        <v>1226</v>
      </c>
      <c r="B16" s="159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5" customFormat="1">
      <c r="A17" s="1593" t="s">
        <v>1227</v>
      </c>
      <c r="B17" s="159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9" customFormat="1" ht="15" thickBot="1">
      <c r="A18" s="1596" t="s">
        <v>1228</v>
      </c>
      <c r="B18" s="1597" t="str">
        <f>'预评函-1'!A24</f>
        <v>本次评估采用的主估价方法为成本法和假设开发法。</v>
      </c>
    </row>
    <row r="19" spans="1:2" s="1592" customFormat="1" ht="15" thickTop="1">
      <c r="A19" s="1590" t="s">
        <v>1229</v>
      </c>
      <c r="B19" s="15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5" customFormat="1">
      <c r="A20" s="1593" t="s">
        <v>1230</v>
      </c>
      <c r="B20" s="1594">
        <f ca="1">'预评函-2'!D5</f>
        <v>50596</v>
      </c>
    </row>
    <row r="21" spans="1:2" s="1595" customFormat="1">
      <c r="A21" s="1593" t="s">
        <v>1231</v>
      </c>
      <c r="B21" s="1594">
        <f ca="1">'预评函-2'!D7</f>
        <v>14735</v>
      </c>
    </row>
    <row r="22" spans="1:2" s="1595" customFormat="1">
      <c r="A22" s="1593" t="s">
        <v>1232</v>
      </c>
      <c r="B22" s="1594" t="str">
        <f ca="1">'预评函-2'!D6</f>
        <v>伍亿零伍佰玖拾陆万元整</v>
      </c>
    </row>
    <row r="23" spans="1:2" s="1595" customFormat="1">
      <c r="A23" s="1593" t="s">
        <v>1283</v>
      </c>
      <c r="B23" s="1594" t="str">
        <f>'预评函-2'!B8</f>
        <v>2.估价师知悉的法定优先受偿款</v>
      </c>
    </row>
    <row r="24" spans="1:2" s="1595" customFormat="1">
      <c r="A24" s="1593" t="s">
        <v>1289</v>
      </c>
      <c r="B24" s="1594">
        <f>'预评函-2'!D8</f>
        <v>0</v>
      </c>
    </row>
    <row r="25" spans="1:2" s="1595" customFormat="1">
      <c r="A25" s="1593" t="s">
        <v>1233</v>
      </c>
      <c r="B25" s="1594" t="str">
        <f>'预评函-2'!D9</f>
        <v>零元整</v>
      </c>
    </row>
    <row r="26" spans="1:2" s="1595" customFormat="1">
      <c r="A26" s="1593" t="s">
        <v>1234</v>
      </c>
      <c r="B26" s="1594">
        <f>'预评函-2'!D10</f>
        <v>0</v>
      </c>
    </row>
    <row r="27" spans="1:2" s="1595" customFormat="1">
      <c r="A27" s="1593" t="s">
        <v>1235</v>
      </c>
      <c r="B27" s="1594">
        <f>'预评函-2'!D11</f>
        <v>0</v>
      </c>
    </row>
    <row r="28" spans="1:2" s="1595" customFormat="1">
      <c r="A28" s="1593" t="s">
        <v>1236</v>
      </c>
      <c r="B28" s="1594">
        <f>'预评函-2'!D12</f>
        <v>0</v>
      </c>
    </row>
    <row r="29" spans="1:2" s="1595" customFormat="1">
      <c r="A29" s="1593" t="s">
        <v>1287</v>
      </c>
      <c r="B29" s="1594" t="str">
        <f>'预评函-2'!B13</f>
        <v>3.房地产抵押价值</v>
      </c>
    </row>
    <row r="30" spans="1:2" s="1595" customFormat="1">
      <c r="A30" s="1593" t="s">
        <v>1288</v>
      </c>
      <c r="B30" s="1594">
        <f ca="1">'预评函-2'!D13</f>
        <v>50596</v>
      </c>
    </row>
    <row r="31" spans="1:2" s="1595" customFormat="1">
      <c r="A31" s="1593" t="s">
        <v>1270</v>
      </c>
      <c r="B31" s="1594">
        <f ca="1">'预评函-2'!D15</f>
        <v>14735</v>
      </c>
    </row>
    <row r="32" spans="1:2" s="1595" customFormat="1">
      <c r="A32" s="1593" t="s">
        <v>1237</v>
      </c>
      <c r="B32" s="1594" t="str">
        <f ca="1">'预评函-2'!D14</f>
        <v>伍亿零伍佰玖拾陆万元整</v>
      </c>
    </row>
    <row r="33" spans="1:2" s="1595" customFormat="1">
      <c r="A33" s="1593" t="s">
        <v>1272</v>
      </c>
      <c r="B33" s="1594" t="str">
        <f>'预评函-2'!B16</f>
        <v>——</v>
      </c>
    </row>
    <row r="34" spans="1:2" s="1595" customFormat="1">
      <c r="A34" s="1593" t="s">
        <v>1290</v>
      </c>
      <c r="B34" s="1594" t="str">
        <f>'预评函-2'!D16</f>
        <v>——</v>
      </c>
    </row>
    <row r="35" spans="1:2" s="1595" customFormat="1">
      <c r="A35" s="1593" t="s">
        <v>1271</v>
      </c>
      <c r="B35" s="1594" t="str">
        <f>'预评函-2'!D18</f>
        <v>——</v>
      </c>
    </row>
    <row r="36" spans="1:2" s="1595" customFormat="1">
      <c r="A36" s="1593" t="s">
        <v>1238</v>
      </c>
      <c r="B36" s="1594" t="e">
        <f>'预评函-2'!D17</f>
        <v>#VALUE!</v>
      </c>
    </row>
    <row r="37" spans="1:2" s="1595" customFormat="1">
      <c r="A37" s="1593" t="s">
        <v>1273</v>
      </c>
      <c r="B37" s="1594" t="str">
        <f>'预评函-2'!B19</f>
        <v>——</v>
      </c>
    </row>
    <row r="38" spans="1:2" s="1595" customFormat="1">
      <c r="A38" s="1593" t="s">
        <v>1291</v>
      </c>
      <c r="B38" s="1594" t="str">
        <f>'预评函-2'!D19</f>
        <v>——</v>
      </c>
    </row>
    <row r="39" spans="1:2" s="1595" customFormat="1">
      <c r="A39" s="1593" t="s">
        <v>1239</v>
      </c>
      <c r="B39" s="1594" t="str">
        <f>'预评函-2'!D21</f>
        <v>——</v>
      </c>
    </row>
    <row r="40" spans="1:2" s="1595" customFormat="1">
      <c r="A40" s="1593" t="s">
        <v>1240</v>
      </c>
      <c r="B40" s="1594" t="e">
        <f>'预评函-2'!D20</f>
        <v>#VALUE!</v>
      </c>
    </row>
    <row r="41" spans="1:2" s="1595" customFormat="1">
      <c r="A41" s="1593" t="s">
        <v>1286</v>
      </c>
      <c r="B41" s="1594" t="str">
        <f>'预评函-3'!A4</f>
        <v>出让国有建设用地使用权及在建建筑物房地产</v>
      </c>
    </row>
    <row r="42" spans="1:2" s="1595" customFormat="1">
      <c r="A42" s="1593" t="s">
        <v>1284</v>
      </c>
      <c r="B42" s="1594" t="str">
        <f>'预评函-3'!B2</f>
        <v>建筑面积</v>
      </c>
    </row>
    <row r="43" spans="1:2" s="1595" customFormat="1">
      <c r="A43" s="1593" t="s">
        <v>1285</v>
      </c>
      <c r="B43" s="1594">
        <f>'预评函-3'!B4</f>
        <v>34338.32</v>
      </c>
    </row>
    <row r="44" spans="1:2" s="1595" customFormat="1">
      <c r="A44" s="1593" t="s">
        <v>1269</v>
      </c>
      <c r="B44" s="1594" t="str">
        <f>'预评函-3'!C2</f>
        <v>(分摊)土地面积</v>
      </c>
    </row>
    <row r="45" spans="1:2" s="1595" customFormat="1">
      <c r="A45" s="1593" t="s">
        <v>1241</v>
      </c>
      <c r="B45" s="1594">
        <f>'预评函-3'!C4</f>
        <v>16074.03</v>
      </c>
    </row>
    <row r="46" spans="1:2" s="1595" customFormat="1">
      <c r="A46" s="1593" t="s">
        <v>1267</v>
      </c>
      <c r="B46" s="1594" t="str">
        <f>'预评函-3'!D2</f>
        <v>出让国有建设用地使用权价值</v>
      </c>
    </row>
    <row r="47" spans="1:2" s="1595" customFormat="1">
      <c r="A47" s="1593" t="s">
        <v>1242</v>
      </c>
      <c r="B47" s="1594">
        <f ca="1">'预评函-3'!D4</f>
        <v>25855</v>
      </c>
    </row>
    <row r="48" spans="1:2" s="1595" customFormat="1">
      <c r="A48" s="1593" t="s">
        <v>1243</v>
      </c>
      <c r="B48" s="1594">
        <f ca="1">'预评函-3'!E4</f>
        <v>7530</v>
      </c>
    </row>
    <row r="49" spans="1:2" s="1595" customFormat="1">
      <c r="A49" s="1593" t="s">
        <v>1244</v>
      </c>
      <c r="B49" s="1594" t="str">
        <f ca="1">'预评函-3'!D5</f>
        <v>贰亿伍仟捌佰伍拾伍万元整</v>
      </c>
    </row>
    <row r="50" spans="1:2" s="1595" customFormat="1">
      <c r="A50" s="1593" t="s">
        <v>1268</v>
      </c>
      <c r="B50" s="1594" t="str">
        <f>'预评函-3'!F2</f>
        <v>在建建筑物价值</v>
      </c>
    </row>
    <row r="51" spans="1:2" s="1595" customFormat="1">
      <c r="A51" s="1593" t="s">
        <v>1245</v>
      </c>
      <c r="B51" s="1594">
        <f ca="1">'预评函-3'!F4</f>
        <v>24741</v>
      </c>
    </row>
    <row r="52" spans="1:2" s="1595" customFormat="1">
      <c r="A52" s="1593" t="s">
        <v>1246</v>
      </c>
      <c r="B52" s="1594">
        <f ca="1">'预评函-3'!G4</f>
        <v>7205</v>
      </c>
    </row>
    <row r="53" spans="1:2" s="1595" customFormat="1">
      <c r="A53" s="1593" t="s">
        <v>1274</v>
      </c>
      <c r="B53" s="1594" t="str">
        <f ca="1">'预评函-3'!F5</f>
        <v>贰亿肆仟柒佰肆拾壹万元整</v>
      </c>
    </row>
    <row r="54" spans="1:2" s="1595" customFormat="1">
      <c r="A54" s="1593" t="s">
        <v>1292</v>
      </c>
      <c r="B54" s="1594" t="str">
        <f>'预评函-3'!A8</f>
        <v>房地产抵押价值</v>
      </c>
    </row>
    <row r="55" spans="1:2" s="1595" customFormat="1">
      <c r="A55" s="1593" t="s">
        <v>1275</v>
      </c>
      <c r="B55" s="1594" t="str">
        <f>'预评函-3'!A10</f>
        <v/>
      </c>
    </row>
    <row r="56" spans="1:2" s="1595" customFormat="1">
      <c r="A56" s="1593" t="s">
        <v>1276</v>
      </c>
      <c r="B56" s="1594" t="str">
        <f>'预评函-3'!A12</f>
        <v/>
      </c>
    </row>
    <row r="57" spans="1:2" s="1589" customFormat="1" ht="15" thickBot="1">
      <c r="A57" s="1596" t="s">
        <v>1293</v>
      </c>
      <c r="B57" s="1597" t="str">
        <f>'预评函-3'!A6</f>
        <v>估价师知悉的法定优先受偿款</v>
      </c>
    </row>
    <row r="58" spans="1:2" s="1592" customFormat="1" ht="15" thickTop="1">
      <c r="A58" s="1590" t="s">
        <v>1247</v>
      </c>
      <c r="B58" s="1591" t="str">
        <f>'预评函-4'!A12</f>
        <v>2.本次评估设定估价对象房地产权属无争议，未被查封或者以其他形式限制其房地产权利，未设定抵押权等他项权利，不涉及第三方权利义务。</v>
      </c>
    </row>
    <row r="59" spans="1:2" s="1595" customFormat="1">
      <c r="A59" s="1593" t="s">
        <v>1248</v>
      </c>
      <c r="B59" s="1594" t="str">
        <f>'预评函-4'!A13</f>
        <v>——</v>
      </c>
    </row>
    <row r="60" spans="1:2" s="1595" customFormat="1">
      <c r="A60" s="1593" t="s">
        <v>1249</v>
      </c>
      <c r="B60" s="1594" t="str">
        <f>'预评函-4'!A14</f>
        <v>——</v>
      </c>
    </row>
    <row r="61" spans="1:2" s="1595" customFormat="1">
      <c r="A61" s="1593" t="s">
        <v>1250</v>
      </c>
      <c r="B61" s="1594" t="str">
        <f>'预评函-4'!A15</f>
        <v>——</v>
      </c>
    </row>
    <row r="62" spans="1:2" s="1595" customFormat="1">
      <c r="A62" s="1593" t="s">
        <v>1251</v>
      </c>
      <c r="B62" s="1594" t="str">
        <f>'预评函-4'!A16</f>
        <v>（2）根据《工程款支付情况说明》，截至价值时点，估价对象不存在应付未付工程款项。（只要没有施工方盖章的，均“设定”进行表述）</v>
      </c>
    </row>
    <row r="63" spans="1:2" s="1595" customFormat="1">
      <c r="A63" s="1593" t="s">
        <v>1252</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1264</v>
      </c>
      <c r="B64" s="1594" t="str">
        <f>'预评函-4'!A18</f>
        <v>——</v>
      </c>
    </row>
    <row r="65" spans="1:2" s="1595" customFormat="1">
      <c r="A65" s="1593" t="s">
        <v>1253</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1254</v>
      </c>
      <c r="B66" s="159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1265</v>
      </c>
      <c r="B67" s="159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1266</v>
      </c>
      <c r="B68" s="1594" t="str">
        <f>'预评函-4'!A22</f>
        <v>8.其他需特殊说明事项：无（注意调整序号）</v>
      </c>
    </row>
    <row r="69" spans="1:2" s="1589" customFormat="1" ht="15" thickBot="1">
      <c r="A69" s="1596" t="s">
        <v>1255</v>
      </c>
      <c r="B69" s="1598">
        <f>'预评函-4'!C31</f>
        <v>42551</v>
      </c>
    </row>
    <row r="70" spans="1:2" ht="15" thickTop="1">
      <c r="A70" s="1599" t="s">
        <v>1256</v>
      </c>
      <c r="B70" s="1600" t="str">
        <f>'预评函-4'!A4</f>
        <v>吴薇</v>
      </c>
    </row>
    <row r="71" spans="1:2">
      <c r="A71" s="1593" t="s">
        <v>1257</v>
      </c>
      <c r="B71" s="1594">
        <f ca="1">'预评函-4'!B4</f>
        <v>1419970001</v>
      </c>
    </row>
    <row r="72" spans="1:2">
      <c r="A72" s="1593" t="s">
        <v>1258</v>
      </c>
      <c r="B72" s="1602" t="str">
        <f>'预评函-4'!A5</f>
        <v>郑燚</v>
      </c>
    </row>
    <row r="73" spans="1:2" s="1589" customFormat="1" ht="15" thickBot="1">
      <c r="A73" s="1596" t="s">
        <v>1259</v>
      </c>
      <c r="B73" s="1597">
        <f ca="1">'预评函-4'!B5</f>
        <v>1120070131</v>
      </c>
    </row>
    <row r="74" spans="1:2" ht="15" thickTop="1">
      <c r="A74" s="1586" t="s">
        <v>1295</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1" sqref="B41"/>
    </sheetView>
  </sheetViews>
  <sheetFormatPr defaultColWidth="9" defaultRowHeight="13.5"/>
  <cols>
    <col min="1" max="1" width="13.5" style="2026" customWidth="1"/>
    <col min="2" max="2" width="23.25" style="1977" customWidth="1"/>
    <col min="3" max="3" width="13" style="2021" customWidth="1"/>
    <col min="4" max="4" width="5.75" style="2018" customWidth="1"/>
    <col min="5" max="5" width="7.125" style="2018" customWidth="1"/>
    <col min="6" max="6" width="10.625" style="2018" customWidth="1"/>
    <col min="7" max="7" width="7.5" style="2018" customWidth="1"/>
    <col min="8" max="8" width="9" style="2021" customWidth="1"/>
    <col min="9" max="9" width="11.625" style="2021" customWidth="1"/>
    <col min="10" max="10" width="9" style="2021" customWidth="1"/>
    <col min="11" max="19" width="9" style="2018" customWidth="1"/>
    <col min="20" max="23" width="9" style="2021" customWidth="1"/>
    <col min="24" max="24" width="21.125" style="1977" customWidth="1"/>
    <col min="25" max="16384" width="9" style="1977"/>
  </cols>
  <sheetData>
    <row r="1" spans="1:23" s="2015" customFormat="1" ht="27">
      <c r="A1" s="2009" t="s">
        <v>71</v>
      </c>
      <c r="B1" s="2010" t="s">
        <v>1686</v>
      </c>
      <c r="C1" s="2011" t="s">
        <v>759</v>
      </c>
      <c r="D1" s="2012" t="s">
        <v>1687</v>
      </c>
      <c r="E1" s="2012" t="s">
        <v>1688</v>
      </c>
      <c r="F1" s="2012" t="s">
        <v>1689</v>
      </c>
      <c r="G1" s="2012" t="s">
        <v>1690</v>
      </c>
      <c r="H1" s="2012" t="s">
        <v>1691</v>
      </c>
      <c r="I1" s="2012" t="s">
        <v>1692</v>
      </c>
      <c r="J1" s="2012" t="s">
        <v>1693</v>
      </c>
      <c r="K1" s="2012" t="s">
        <v>1694</v>
      </c>
      <c r="L1" s="2012" t="s">
        <v>1695</v>
      </c>
      <c r="M1" s="2012" t="s">
        <v>1696</v>
      </c>
      <c r="N1" s="2012" t="s">
        <v>1697</v>
      </c>
      <c r="O1" s="2012" t="s">
        <v>1698</v>
      </c>
      <c r="P1" s="2013" t="s">
        <v>753</v>
      </c>
      <c r="Q1" s="2013" t="s">
        <v>1141</v>
      </c>
      <c r="R1" s="2012" t="s">
        <v>1135</v>
      </c>
      <c r="S1" s="2012" t="s">
        <v>1699</v>
      </c>
      <c r="T1" s="2014" t="s">
        <v>1700</v>
      </c>
      <c r="U1" s="2012" t="s">
        <v>1701</v>
      </c>
      <c r="V1" s="2012" t="s">
        <v>1702</v>
      </c>
      <c r="W1" s="2012" t="s">
        <v>755</v>
      </c>
    </row>
    <row r="2" spans="1:23">
      <c r="A2" s="2016" t="s">
        <v>22</v>
      </c>
      <c r="B2" s="2016" t="s">
        <v>1703</v>
      </c>
      <c r="C2" s="2017" t="s">
        <v>760</v>
      </c>
      <c r="D2" s="2018" t="s">
        <v>1704</v>
      </c>
      <c r="E2" s="2018" t="s">
        <v>1705</v>
      </c>
      <c r="F2" s="2018" t="s">
        <v>1706</v>
      </c>
      <c r="G2" s="2018">
        <v>40</v>
      </c>
      <c r="H2" s="2018" t="s">
        <v>1706</v>
      </c>
      <c r="I2" s="2018" t="s">
        <v>1707</v>
      </c>
      <c r="J2" s="2018" t="s">
        <v>1708</v>
      </c>
      <c r="K2" s="2018" t="s">
        <v>1709</v>
      </c>
      <c r="L2" s="2018" t="s">
        <v>1709</v>
      </c>
      <c r="M2" s="2018" t="s">
        <v>1709</v>
      </c>
      <c r="N2" s="2018" t="s">
        <v>1709</v>
      </c>
      <c r="O2" s="2018" t="s">
        <v>1709</v>
      </c>
      <c r="P2" s="2018" t="s">
        <v>1709</v>
      </c>
      <c r="Q2" s="2018" t="s">
        <v>1709</v>
      </c>
      <c r="R2" s="2018" t="s">
        <v>1137</v>
      </c>
      <c r="S2" s="2018" t="s">
        <v>1709</v>
      </c>
      <c r="T2" s="2018" t="s">
        <v>1710</v>
      </c>
      <c r="U2" s="2018" t="s">
        <v>1709</v>
      </c>
      <c r="V2" s="2018" t="s">
        <v>1711</v>
      </c>
      <c r="W2" s="2018" t="s">
        <v>1709</v>
      </c>
    </row>
    <row r="3" spans="1:23">
      <c r="A3" s="2016" t="s">
        <v>1712</v>
      </c>
      <c r="B3" s="2019" t="s">
        <v>1142</v>
      </c>
      <c r="C3" s="2020" t="s">
        <v>761</v>
      </c>
      <c r="D3" s="2018" t="s">
        <v>1713</v>
      </c>
      <c r="E3" s="2018" t="s">
        <v>16</v>
      </c>
      <c r="F3" s="2018" t="s">
        <v>1714</v>
      </c>
      <c r="G3" s="2018">
        <v>50</v>
      </c>
      <c r="H3" s="2018" t="s">
        <v>1714</v>
      </c>
      <c r="I3" s="2018" t="s">
        <v>1715</v>
      </c>
      <c r="J3" s="2018" t="s">
        <v>1716</v>
      </c>
      <c r="K3" s="2018" t="s">
        <v>1717</v>
      </c>
      <c r="L3" s="2018" t="s">
        <v>1717</v>
      </c>
      <c r="M3" s="2018" t="s">
        <v>1717</v>
      </c>
      <c r="N3" s="2018" t="s">
        <v>1717</v>
      </c>
      <c r="O3" s="2018" t="s">
        <v>1717</v>
      </c>
      <c r="P3" s="2018" t="s">
        <v>1717</v>
      </c>
      <c r="Q3" s="2018" t="s">
        <v>1717</v>
      </c>
      <c r="R3" s="2018" t="s">
        <v>1136</v>
      </c>
      <c r="S3" s="2018" t="s">
        <v>1717</v>
      </c>
      <c r="T3" s="2018" t="s">
        <v>1718</v>
      </c>
      <c r="U3" s="2018" t="s">
        <v>1717</v>
      </c>
      <c r="V3" s="2018" t="s">
        <v>1719</v>
      </c>
      <c r="W3" s="2018" t="s">
        <v>1717</v>
      </c>
    </row>
    <row r="4" spans="1:23">
      <c r="A4" s="2016" t="s">
        <v>1720</v>
      </c>
      <c r="B4" s="2016" t="s">
        <v>1721</v>
      </c>
      <c r="C4" s="2017" t="s">
        <v>762</v>
      </c>
      <c r="D4" s="2018" t="s">
        <v>865</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1138</v>
      </c>
      <c r="S4" s="2018" t="s">
        <v>1725</v>
      </c>
      <c r="T4" s="2018" t="s">
        <v>1726</v>
      </c>
      <c r="U4" s="2018" t="s">
        <v>1725</v>
      </c>
      <c r="W4" s="2018" t="s">
        <v>1725</v>
      </c>
    </row>
    <row r="5" spans="1:23">
      <c r="A5" s="2016" t="s">
        <v>1727</v>
      </c>
      <c r="B5" s="2016" t="s">
        <v>1728</v>
      </c>
      <c r="C5" s="2017" t="s">
        <v>763</v>
      </c>
      <c r="F5" s="2018" t="s">
        <v>1729</v>
      </c>
      <c r="H5" s="2018" t="s">
        <v>1730</v>
      </c>
      <c r="I5" s="2018" t="s">
        <v>1731</v>
      </c>
      <c r="K5" s="2018" t="s">
        <v>1732</v>
      </c>
      <c r="L5" s="2018" t="s">
        <v>1732</v>
      </c>
      <c r="M5" s="2018" t="s">
        <v>1732</v>
      </c>
      <c r="N5" s="2018" t="s">
        <v>1732</v>
      </c>
      <c r="O5" s="2018" t="s">
        <v>1732</v>
      </c>
      <c r="P5" s="2018" t="s">
        <v>1732</v>
      </c>
      <c r="Q5" s="2018" t="s">
        <v>1732</v>
      </c>
      <c r="R5" s="2018" t="s">
        <v>1139</v>
      </c>
      <c r="S5" s="2018" t="s">
        <v>1732</v>
      </c>
      <c r="T5" s="2018" t="s">
        <v>1733</v>
      </c>
      <c r="U5" s="2018" t="s">
        <v>1732</v>
      </c>
      <c r="W5" s="2018" t="s">
        <v>1732</v>
      </c>
    </row>
    <row r="6" spans="1:23">
      <c r="A6" s="2016" t="s">
        <v>1734</v>
      </c>
      <c r="B6" s="2019" t="s">
        <v>1143</v>
      </c>
      <c r="C6" s="2022" t="s">
        <v>30</v>
      </c>
      <c r="F6" s="2018" t="s">
        <v>1730</v>
      </c>
      <c r="H6" s="2018" t="s">
        <v>1735</v>
      </c>
      <c r="I6" s="2018" t="s">
        <v>1736</v>
      </c>
      <c r="K6" s="2018" t="s">
        <v>1737</v>
      </c>
      <c r="L6" s="2018" t="s">
        <v>1737</v>
      </c>
      <c r="M6" s="2018" t="s">
        <v>1737</v>
      </c>
      <c r="N6" s="2018" t="s">
        <v>1737</v>
      </c>
      <c r="O6" s="2018" t="s">
        <v>1737</v>
      </c>
      <c r="P6" s="2018" t="s">
        <v>1737</v>
      </c>
      <c r="Q6" s="2018" t="s">
        <v>1737</v>
      </c>
      <c r="R6" s="2018" t="s">
        <v>1140</v>
      </c>
      <c r="S6" s="2018" t="s">
        <v>1737</v>
      </c>
      <c r="T6" s="2018"/>
      <c r="U6" s="2018" t="s">
        <v>1737</v>
      </c>
      <c r="W6" s="2018" t="s">
        <v>1737</v>
      </c>
    </row>
    <row r="7" spans="1:23">
      <c r="A7" s="2016" t="s">
        <v>1738</v>
      </c>
      <c r="B7" s="2019" t="s">
        <v>1144</v>
      </c>
      <c r="C7" s="2017" t="s">
        <v>31</v>
      </c>
      <c r="F7" s="2018" t="s">
        <v>1739</v>
      </c>
      <c r="H7" s="2018" t="s">
        <v>1740</v>
      </c>
      <c r="I7" s="2018" t="s">
        <v>1741</v>
      </c>
    </row>
    <row r="8" spans="1:23">
      <c r="A8" s="2016" t="s">
        <v>1742</v>
      </c>
      <c r="B8" s="2016" t="s">
        <v>1743</v>
      </c>
      <c r="C8" s="2017" t="s">
        <v>764</v>
      </c>
      <c r="F8" s="2018" t="s">
        <v>1744</v>
      </c>
      <c r="H8" s="2018"/>
      <c r="I8" s="2018" t="s">
        <v>1745</v>
      </c>
    </row>
    <row r="9" spans="1:23">
      <c r="A9" s="2016" t="s">
        <v>1746</v>
      </c>
      <c r="B9" s="2016" t="s">
        <v>1747</v>
      </c>
      <c r="C9" s="2017" t="s">
        <v>765</v>
      </c>
      <c r="F9" s="2018" t="s">
        <v>1748</v>
      </c>
      <c r="H9" s="2018"/>
    </row>
    <row r="10" spans="1:23">
      <c r="A10" s="2016" t="s">
        <v>1749</v>
      </c>
      <c r="B10" s="2016" t="s">
        <v>1750</v>
      </c>
      <c r="C10" s="2017" t="s">
        <v>766</v>
      </c>
      <c r="F10" s="2018" t="s">
        <v>16</v>
      </c>
    </row>
    <row r="11" spans="1:23">
      <c r="A11" s="2016" t="s">
        <v>1751</v>
      </c>
      <c r="B11" s="2016" t="s">
        <v>1752</v>
      </c>
      <c r="C11" s="2017" t="s">
        <v>767</v>
      </c>
    </row>
    <row r="12" spans="1:23">
      <c r="A12" s="2016" t="s">
        <v>1753</v>
      </c>
      <c r="B12" s="2016" t="s">
        <v>1754</v>
      </c>
      <c r="C12" s="2017" t="s">
        <v>768</v>
      </c>
    </row>
    <row r="13" spans="1:23">
      <c r="A13" s="2016" t="s">
        <v>1755</v>
      </c>
      <c r="B13" s="2016" t="s">
        <v>1756</v>
      </c>
      <c r="C13" s="2017" t="s">
        <v>769</v>
      </c>
    </row>
    <row r="14" spans="1:23">
      <c r="A14" s="2016" t="s">
        <v>1757</v>
      </c>
      <c r="B14" s="2016" t="s">
        <v>1758</v>
      </c>
      <c r="C14" s="2018" t="s">
        <v>16</v>
      </c>
    </row>
    <row r="15" spans="1:23">
      <c r="A15" s="2016" t="s">
        <v>1759</v>
      </c>
      <c r="B15" s="2016" t="s">
        <v>1760</v>
      </c>
      <c r="C15" s="2017"/>
    </row>
    <row r="16" spans="1:23">
      <c r="A16" s="2016" t="s">
        <v>1761</v>
      </c>
      <c r="B16" s="2016" t="s">
        <v>756</v>
      </c>
      <c r="C16" s="2017"/>
    </row>
    <row r="17" spans="1:3">
      <c r="A17" s="2016" t="s">
        <v>1762</v>
      </c>
      <c r="B17" s="2016" t="s">
        <v>757</v>
      </c>
      <c r="C17" s="2017"/>
    </row>
    <row r="18" spans="1:3">
      <c r="A18" s="2016" t="s">
        <v>1763</v>
      </c>
      <c r="B18" s="2016" t="s">
        <v>757</v>
      </c>
      <c r="C18" s="2017"/>
    </row>
    <row r="19" spans="1:3">
      <c r="A19" s="2016" t="s">
        <v>1764</v>
      </c>
      <c r="B19" s="2016" t="s">
        <v>757</v>
      </c>
      <c r="C19" s="2017"/>
    </row>
    <row r="20" spans="1:3">
      <c r="A20" s="2016" t="s">
        <v>1765</v>
      </c>
      <c r="B20" s="2016" t="s">
        <v>757</v>
      </c>
      <c r="C20" s="2017"/>
    </row>
    <row r="21" spans="1:3">
      <c r="A21" s="2016" t="s">
        <v>1766</v>
      </c>
      <c r="B21" s="2016" t="s">
        <v>757</v>
      </c>
      <c r="C21" s="2017"/>
    </row>
    <row r="22" spans="1:3">
      <c r="A22" s="2016" t="s">
        <v>1767</v>
      </c>
      <c r="B22" s="2016" t="s">
        <v>757</v>
      </c>
      <c r="C22" s="2017"/>
    </row>
    <row r="23" spans="1:3">
      <c r="A23" s="2016" t="s">
        <v>1768</v>
      </c>
      <c r="B23" s="2016" t="s">
        <v>757</v>
      </c>
      <c r="C23" s="2017"/>
    </row>
    <row r="24" spans="1:3">
      <c r="A24" s="2016" t="s">
        <v>1769</v>
      </c>
      <c r="B24" s="2016" t="s">
        <v>757</v>
      </c>
      <c r="C24" s="2017"/>
    </row>
    <row r="25" spans="1:3">
      <c r="A25" s="2016" t="s">
        <v>1770</v>
      </c>
      <c r="B25" s="2016" t="s">
        <v>757</v>
      </c>
      <c r="C25" s="2017"/>
    </row>
    <row r="26" spans="1:3">
      <c r="A26" s="2016" t="s">
        <v>1771</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854</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2024" t="s">
        <v>1280</v>
      </c>
    </row>
    <row r="52" spans="1:4">
      <c r="A52" s="2023" t="s">
        <v>855</v>
      </c>
      <c r="B52" s="2023" t="s">
        <v>856</v>
      </c>
      <c r="C52" s="2021" t="s">
        <v>857</v>
      </c>
      <c r="D52" s="2021" t="s">
        <v>858</v>
      </c>
    </row>
    <row r="53" spans="1:4">
      <c r="A53" s="3063" t="s">
        <v>859</v>
      </c>
      <c r="B53" s="2024" t="s">
        <v>860</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8月12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63"/>
      <c r="B54" s="2024" t="s">
        <v>861</v>
      </c>
      <c r="C54" s="2021" t="s">
        <v>1277</v>
      </c>
    </row>
    <row r="55" spans="1:4">
      <c r="A55" s="3063"/>
      <c r="B55" s="2024" t="s">
        <v>862</v>
      </c>
      <c r="C55" s="2021" t="s">
        <v>1278</v>
      </c>
    </row>
    <row r="56" spans="1:4">
      <c r="A56" s="3063"/>
      <c r="B56" s="2024" t="s">
        <v>863</v>
      </c>
      <c r="C56" s="2021" t="s">
        <v>1282</v>
      </c>
    </row>
    <row r="57" spans="1:4">
      <c r="A57" s="3063"/>
      <c r="B57" s="2024" t="s">
        <v>864</v>
      </c>
      <c r="C57" s="2021" t="s">
        <v>1279</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28" sqref="C28"/>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2" customWidth="1"/>
    <col min="10" max="10" width="10" style="2034" customWidth="1"/>
    <col min="11" max="11" width="10" style="2163" customWidth="1"/>
    <col min="12" max="13" width="10" style="2164" customWidth="1"/>
    <col min="14" max="14" width="10" style="2034" customWidth="1"/>
    <col min="15" max="15" width="10" style="2162" customWidth="1"/>
    <col min="16" max="17" width="10" style="2034"/>
    <col min="18" max="18" width="10" style="2034" customWidth="1"/>
    <col min="19" max="16384" width="10" style="2034"/>
  </cols>
  <sheetData>
    <row r="1" spans="1:19" ht="38.25" customHeight="1" thickBot="1">
      <c r="A1" s="2027" t="s">
        <v>1772</v>
      </c>
      <c r="B1" s="3072" t="str">
        <f>IF(B10="北京市","北京市",C10)&amp;F10&amp;IF(结果表!G1="在建","出让国有建设用地使用权及在建建筑物",IF(结果表!G1="土地","出让国有建设用地使用权",))&amp;B9&amp;"预评估"</f>
        <v>出让国有建设用地使用权及在建建筑物预评估</v>
      </c>
      <c r="C1" s="3073"/>
      <c r="D1" s="3073"/>
      <c r="E1" s="3073"/>
      <c r="F1" s="3073"/>
      <c r="G1" s="3073"/>
      <c r="H1" s="3073"/>
      <c r="I1" s="3074"/>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出让国有建设用地使用权及在建建筑物房地产抵押价值</v>
      </c>
    </row>
    <row r="2" spans="1:19" ht="18" customHeight="1">
      <c r="A2" s="2028" t="s">
        <v>1773</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出让国有建设用地使用权及在建建筑物房地产</v>
      </c>
    </row>
    <row r="3" spans="1:19" ht="18" customHeight="1">
      <c r="A3" s="2037" t="s">
        <v>1774</v>
      </c>
      <c r="B3" s="2038">
        <v>43689</v>
      </c>
      <c r="C3" s="2039" t="s">
        <v>1775</v>
      </c>
      <c r="D3" s="2038">
        <f>B3</f>
        <v>43689</v>
      </c>
      <c r="E3" s="2028"/>
      <c r="F3" s="2028"/>
      <c r="G3" s="2028"/>
      <c r="H3" s="2028"/>
      <c r="I3" s="2028"/>
      <c r="J3" s="2028"/>
      <c r="K3" s="2029"/>
      <c r="L3" s="2030"/>
      <c r="M3" s="2030"/>
      <c r="N3" s="2031"/>
      <c r="O3" s="2032"/>
      <c r="P3" s="2031"/>
      <c r="Q3" s="2031"/>
      <c r="R3" s="2031"/>
      <c r="S3" s="2033"/>
    </row>
    <row r="4" spans="1:19" ht="18" customHeight="1" thickBot="1">
      <c r="A4" s="2040" t="s">
        <v>1776</v>
      </c>
      <c r="B4" s="2041" t="s">
        <v>4011</v>
      </c>
      <c r="C4" s="1040">
        <f ca="1">SUMIF(注册房地产估价师,B4,估价师及机构信息!B3:B24)</f>
        <v>1419970001</v>
      </c>
      <c r="D4" s="2041" t="s">
        <v>4012</v>
      </c>
      <c r="E4" s="1041">
        <f ca="1">SUMIF(注册房地产估价师,D4,估价师及机构信息!B3:B24)</f>
        <v>1120070131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吴薇（注册号：1419970001)、郑燚（注册号：1120070131)</v>
      </c>
      <c r="L4" s="2030"/>
      <c r="M4" s="2030"/>
      <c r="N4" s="2031"/>
      <c r="O4" s="2032"/>
      <c r="P4" s="2031"/>
      <c r="Q4" s="2031"/>
      <c r="R4" s="2031"/>
      <c r="S4" s="2033"/>
    </row>
    <row r="5" spans="1:19" ht="18" customHeight="1" thickTop="1">
      <c r="A5" s="2046" t="s">
        <v>1777</v>
      </c>
      <c r="B5" s="2047"/>
      <c r="C5" s="2048"/>
      <c r="D5" s="2049"/>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50" t="s">
        <v>1778</v>
      </c>
      <c r="B6" s="2051"/>
      <c r="C6" s="2052"/>
      <c r="D6" s="2053"/>
      <c r="E6" s="2036"/>
      <c r="F6" s="2044"/>
      <c r="G6" s="2044"/>
      <c r="H6" s="2044"/>
      <c r="I6" s="2044"/>
      <c r="J6" s="2044"/>
      <c r="K6" s="2054" t="str">
        <f>IF(COUNTIF(B6,"*上海银行*"),"上海银行","")</f>
        <v/>
      </c>
      <c r="L6" s="2030"/>
      <c r="M6" s="2030"/>
      <c r="N6" s="2031"/>
      <c r="O6" s="2032"/>
      <c r="P6" s="2031"/>
      <c r="Q6" s="2031"/>
      <c r="R6" s="2031"/>
    </row>
    <row r="7" spans="1:19" ht="18" customHeight="1">
      <c r="A7" s="2050" t="s">
        <v>1779</v>
      </c>
      <c r="B7" s="2055"/>
      <c r="C7" s="2052"/>
      <c r="D7" s="2053"/>
      <c r="E7" s="2036"/>
      <c r="F7" s="2044"/>
      <c r="G7" s="2044"/>
      <c r="H7" s="2044"/>
      <c r="I7" s="2044"/>
      <c r="J7" s="2044"/>
      <c r="K7" s="2056"/>
      <c r="L7" s="2030"/>
      <c r="M7" s="2030"/>
      <c r="N7" s="2031"/>
      <c r="O7" s="2032"/>
      <c r="P7" s="2031"/>
      <c r="Q7" s="2031"/>
      <c r="R7" s="2031"/>
    </row>
    <row r="8" spans="1:19" ht="18" customHeight="1">
      <c r="A8" s="2050" t="s">
        <v>1780</v>
      </c>
      <c r="B8" s="2057"/>
      <c r="C8" s="2058"/>
      <c r="D8" s="3075" t="s">
        <v>1781</v>
      </c>
      <c r="E8" s="2059"/>
      <c r="F8" s="2060"/>
      <c r="G8" s="2028"/>
      <c r="H8" s="2028"/>
      <c r="I8" s="2028"/>
      <c r="J8" s="2044"/>
      <c r="K8" s="2045"/>
      <c r="L8" s="2030"/>
      <c r="M8" s="2030"/>
      <c r="N8" s="2031"/>
      <c r="O8" s="2032"/>
      <c r="P8" s="2031"/>
      <c r="Q8" s="2031"/>
      <c r="R8" s="2031"/>
    </row>
    <row r="9" spans="1:19" ht="18" customHeight="1" thickBot="1">
      <c r="A9" s="2042" t="s">
        <v>1782</v>
      </c>
      <c r="B9" s="2061"/>
      <c r="C9" s="2062"/>
      <c r="D9" s="3076"/>
      <c r="E9" s="2061"/>
      <c r="F9" s="2063"/>
      <c r="G9" s="2064"/>
      <c r="H9" s="2064"/>
      <c r="I9" s="2064"/>
      <c r="J9" s="2044"/>
      <c r="K9" s="2056"/>
      <c r="L9" s="2030"/>
      <c r="M9" s="2030"/>
      <c r="N9" s="2031"/>
      <c r="O9" s="2032"/>
      <c r="P9" s="2031"/>
      <c r="Q9" s="2031"/>
      <c r="R9" s="2031"/>
    </row>
    <row r="10" spans="1:19" ht="18" customHeight="1" thickTop="1">
      <c r="A10" s="2065" t="s">
        <v>1783</v>
      </c>
      <c r="B10" s="2066"/>
      <c r="C10" s="2067"/>
      <c r="D10" s="2049"/>
      <c r="E10" s="2068" t="s">
        <v>1784</v>
      </c>
      <c r="F10" s="2069"/>
      <c r="G10" s="2070"/>
      <c r="H10" s="2071"/>
      <c r="I10" s="2049"/>
      <c r="J10" s="2044"/>
      <c r="K10" s="2056"/>
      <c r="L10" s="2030"/>
      <c r="M10" s="2030"/>
      <c r="N10" s="2031"/>
      <c r="O10" s="2032"/>
      <c r="P10" s="2031"/>
      <c r="Q10" s="2031"/>
      <c r="R10" s="2031"/>
    </row>
    <row r="11" spans="1:19" ht="18" customHeight="1">
      <c r="A11" s="2072" t="s">
        <v>1785</v>
      </c>
      <c r="B11" s="2073"/>
      <c r="C11" s="2074"/>
      <c r="D11" s="2075"/>
      <c r="E11" s="2044"/>
      <c r="F11" s="2044"/>
      <c r="G11" s="2044"/>
      <c r="H11" s="2044"/>
      <c r="I11" s="2044"/>
      <c r="J11" s="2044"/>
      <c r="K11" s="2056"/>
      <c r="L11" s="2030"/>
      <c r="M11" s="2030"/>
      <c r="N11" s="2031"/>
      <c r="O11" s="2032"/>
      <c r="P11" s="2031"/>
      <c r="Q11" s="2031"/>
      <c r="R11" s="2031"/>
    </row>
    <row r="12" spans="1:19" ht="18" customHeight="1">
      <c r="A12" s="2076" t="s">
        <v>1786</v>
      </c>
      <c r="B12" s="2073" t="s">
        <v>3055</v>
      </c>
      <c r="C12" s="2077" t="s">
        <v>1787</v>
      </c>
      <c r="D12" s="2078" t="s">
        <v>1788</v>
      </c>
      <c r="E12" s="2078" t="s">
        <v>1789</v>
      </c>
      <c r="F12" s="2078" t="s">
        <v>1790</v>
      </c>
      <c r="G12" s="2078" t="s">
        <v>1791</v>
      </c>
      <c r="H12" s="2078" t="s">
        <v>1792</v>
      </c>
      <c r="I12" s="2078" t="s">
        <v>1793</v>
      </c>
      <c r="J12" s="2044"/>
      <c r="K12" s="2056"/>
      <c r="L12" s="2030"/>
      <c r="M12" s="2030"/>
      <c r="N12" s="2031"/>
      <c r="O12" s="2032"/>
      <c r="P12" s="2031"/>
      <c r="Q12" s="2031"/>
      <c r="R12" s="2031"/>
    </row>
    <row r="13" spans="1:19" ht="18" customHeight="1">
      <c r="A13" s="2079"/>
      <c r="B13" s="2080"/>
      <c r="C13" s="2081" t="s">
        <v>1794</v>
      </c>
      <c r="D13" s="2082">
        <v>59849</v>
      </c>
      <c r="E13" s="2082">
        <v>59849</v>
      </c>
      <c r="F13" s="2082"/>
      <c r="G13" s="2082"/>
      <c r="H13" s="2082"/>
      <c r="I13" s="1050"/>
      <c r="J13" s="2044"/>
      <c r="K13" s="2056"/>
      <c r="L13" s="2030"/>
      <c r="M13" s="2030"/>
      <c r="N13" s="2031"/>
      <c r="O13" s="2032"/>
      <c r="P13" s="2031"/>
      <c r="Q13" s="2031"/>
      <c r="R13" s="2031"/>
    </row>
    <row r="14" spans="1:19" ht="18" customHeight="1">
      <c r="A14" s="2079"/>
      <c r="B14" s="2080"/>
      <c r="C14" s="2081" t="s">
        <v>1795</v>
      </c>
      <c r="D14" s="1053">
        <v>70</v>
      </c>
      <c r="E14" s="1053">
        <v>40</v>
      </c>
      <c r="F14" s="1053"/>
      <c r="G14" s="1053"/>
      <c r="H14" s="1053"/>
      <c r="I14" s="1053"/>
      <c r="J14" s="2044"/>
      <c r="K14" s="2083"/>
      <c r="L14" s="2030"/>
      <c r="M14" s="2030"/>
      <c r="N14" s="2031"/>
      <c r="O14" s="2032"/>
      <c r="P14" s="2031"/>
      <c r="Q14" s="2031"/>
      <c r="R14" s="2031"/>
    </row>
    <row r="15" spans="1:19" ht="18" customHeight="1">
      <c r="A15" s="2065"/>
      <c r="B15" s="2084"/>
      <c r="C15" s="2081" t="s">
        <v>1796</v>
      </c>
      <c r="D15" s="1052">
        <f>IF(B12="出让",IF(D13="","",ROUNDDOWN(MIN((D13-$D$3)/365,D14),2)),D14)</f>
        <v>44.27</v>
      </c>
      <c r="E15" s="1052">
        <f>IF(B12="出让",IF(E13="","",ROUNDDOWN(MIN((E13-$D$3)/365,E14),2)),E14)</f>
        <v>40</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5"/>
      <c r="L15" s="2086"/>
      <c r="M15" s="2086"/>
      <c r="N15" s="2087"/>
      <c r="O15" s="2086"/>
      <c r="P15" s="2087"/>
      <c r="Q15" s="2031"/>
      <c r="R15" s="2031"/>
    </row>
    <row r="16" spans="1:19" ht="30.75" customHeight="1">
      <c r="A16" s="2068" t="s">
        <v>1797</v>
      </c>
      <c r="B16" s="3082"/>
      <c r="C16" s="3083"/>
      <c r="D16" s="3084"/>
      <c r="E16" s="2088" t="s">
        <v>1798</v>
      </c>
      <c r="F16" s="3085"/>
      <c r="G16" s="3086"/>
      <c r="H16" s="3086"/>
      <c r="I16" s="3087"/>
      <c r="J16" s="2031"/>
      <c r="K16" s="2085"/>
      <c r="L16" s="2086"/>
      <c r="M16" s="2086"/>
      <c r="N16" s="2087"/>
      <c r="O16" s="2086"/>
      <c r="P16" s="2087"/>
      <c r="Q16" s="2031"/>
      <c r="R16" s="2031"/>
    </row>
    <row r="17" spans="1:22" ht="18" customHeight="1">
      <c r="A17" s="2089" t="s">
        <v>1799</v>
      </c>
      <c r="B17" s="2037" t="s">
        <v>1800</v>
      </c>
      <c r="C17" s="1057">
        <f>'数据-汇总表'!E3</f>
        <v>34338.32</v>
      </c>
      <c r="D17" s="2090" t="s">
        <v>1801</v>
      </c>
      <c r="E17" s="3088" t="s">
        <v>1802</v>
      </c>
      <c r="F17" s="3089"/>
      <c r="G17" s="3089"/>
      <c r="H17" s="3089"/>
      <c r="I17" s="3090"/>
      <c r="J17" s="2031"/>
      <c r="K17" s="2091"/>
      <c r="L17" s="2086"/>
      <c r="M17" s="2086"/>
      <c r="N17" s="2087"/>
      <c r="O17" s="2086"/>
      <c r="P17" s="2087"/>
      <c r="Q17" s="2031"/>
      <c r="R17" s="2031"/>
      <c r="S17" s="2031"/>
      <c r="T17" s="2031"/>
      <c r="U17" s="2031"/>
      <c r="V17" s="2031"/>
    </row>
    <row r="18" spans="1:22" ht="36" customHeight="1" thickBot="1">
      <c r="A18" s="2092" t="s">
        <v>1803</v>
      </c>
      <c r="B18" s="2040" t="s">
        <v>1804</v>
      </c>
      <c r="C18" s="1447">
        <f>'数据-汇总表'!D3</f>
        <v>16074.03</v>
      </c>
      <c r="D18" s="2093" t="s">
        <v>1801</v>
      </c>
      <c r="E18" s="3091" t="s">
        <v>1805</v>
      </c>
      <c r="F18" s="3092"/>
      <c r="G18" s="3092"/>
      <c r="H18" s="3092"/>
      <c r="I18" s="3093"/>
      <c r="J18" s="2031"/>
      <c r="K18" s="2091"/>
      <c r="L18" s="2086"/>
      <c r="M18" s="2086"/>
      <c r="N18" s="2087"/>
      <c r="O18" s="2086"/>
      <c r="P18" s="2087"/>
      <c r="Q18" s="2031"/>
      <c r="R18" s="2031"/>
      <c r="S18" s="2031"/>
      <c r="T18" s="2031"/>
      <c r="U18" s="2031"/>
      <c r="V18" s="2031"/>
    </row>
    <row r="19" spans="1:22" ht="37.5" customHeight="1" thickTop="1" thickBot="1">
      <c r="A19" s="373" t="s">
        <v>1806</v>
      </c>
      <c r="B19" s="352" t="s">
        <v>1807</v>
      </c>
      <c r="C19" s="2094"/>
      <c r="D19" s="2095" t="s">
        <v>1808</v>
      </c>
      <c r="E19" s="2096"/>
      <c r="F19" s="2097" t="str">
        <f>IF(AND(C19="是",E19="否"),"是否提供他项权证或相关说明","")</f>
        <v/>
      </c>
      <c r="G19" s="2098"/>
      <c r="H19" s="2044"/>
      <c r="I19" s="2044"/>
      <c r="J19" s="2044"/>
      <c r="K19" s="2056"/>
      <c r="L19" s="2030"/>
      <c r="M19" s="2030"/>
      <c r="N19" s="2087"/>
      <c r="O19" s="2086"/>
      <c r="P19" s="2087"/>
      <c r="Q19" s="2031"/>
      <c r="R19" s="2031"/>
      <c r="S19" s="2031"/>
      <c r="T19" s="2031"/>
      <c r="U19" s="2031"/>
      <c r="V19" s="2031"/>
    </row>
    <row r="20" spans="1:22" ht="18" customHeight="1">
      <c r="A20" s="2099" t="s">
        <v>1809</v>
      </c>
      <c r="B20" s="3078" t="s">
        <v>1810</v>
      </c>
      <c r="C20" s="3079"/>
      <c r="D20" s="3080" t="s">
        <v>1811</v>
      </c>
      <c r="E20" s="3081"/>
      <c r="F20" s="2100" t="s">
        <v>1812</v>
      </c>
      <c r="G20" s="2044"/>
      <c r="H20" s="2044"/>
      <c r="I20" s="2044"/>
      <c r="J20" s="2044"/>
      <c r="K20" s="3077" t="s">
        <v>1813</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7"/>
      <c r="O20" s="2086"/>
      <c r="P20" s="2087"/>
      <c r="Q20" s="2031"/>
      <c r="R20" s="2031"/>
      <c r="S20" s="2031"/>
      <c r="T20" s="2031"/>
      <c r="U20" s="2031"/>
      <c r="V20" s="2031"/>
    </row>
    <row r="21" spans="1:22" ht="24.75" customHeight="1">
      <c r="A21" s="2099"/>
      <c r="B21" s="2101" t="s">
        <v>1814</v>
      </c>
      <c r="C21" s="2102" t="s">
        <v>1815</v>
      </c>
      <c r="D21" s="2103" t="s">
        <v>1816</v>
      </c>
      <c r="E21" s="2104" t="s">
        <v>1815</v>
      </c>
      <c r="F21" s="2105"/>
      <c r="G21" s="2044"/>
      <c r="H21" s="2044"/>
      <c r="I21" s="2044"/>
      <c r="J21" s="2044"/>
      <c r="K21" s="307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7"/>
      <c r="O21" s="2086"/>
      <c r="P21" s="2087"/>
      <c r="Q21" s="2031"/>
      <c r="R21" s="2031"/>
      <c r="S21" s="2031"/>
      <c r="T21" s="2031"/>
      <c r="U21" s="2031"/>
      <c r="V21" s="2031"/>
    </row>
    <row r="22" spans="1:22" ht="24.75" customHeight="1" thickBot="1">
      <c r="A22" s="2099"/>
      <c r="B22" s="2106" t="s">
        <v>1817</v>
      </c>
      <c r="C22" s="2102" t="s">
        <v>1818</v>
      </c>
      <c r="D22" s="2028"/>
      <c r="E22" s="2028"/>
      <c r="F22" s="2107"/>
      <c r="G22" s="2044"/>
      <c r="H22" s="2044"/>
      <c r="I22" s="2044"/>
      <c r="J22" s="2044"/>
      <c r="K22" s="307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7"/>
      <c r="O22" s="2086"/>
      <c r="P22" s="2087"/>
      <c r="Q22" s="2031"/>
      <c r="R22" s="2031"/>
      <c r="S22" s="2031"/>
      <c r="T22" s="2031"/>
      <c r="U22" s="2031"/>
      <c r="V22" s="2031"/>
    </row>
    <row r="23" spans="1:22" ht="18" customHeight="1">
      <c r="A23" s="2108" t="s">
        <v>1819</v>
      </c>
      <c r="B23" s="183" t="s">
        <v>1820</v>
      </c>
      <c r="C23" s="2109"/>
      <c r="D23" s="2110" t="s">
        <v>1820</v>
      </c>
      <c r="E23" s="2111"/>
      <c r="F23" s="2107"/>
      <c r="G23" s="2044"/>
      <c r="H23" s="2044"/>
      <c r="I23" s="2044"/>
      <c r="J23" s="2044"/>
      <c r="K23" s="2112"/>
      <c r="L23" s="748"/>
      <c r="M23" s="2030"/>
      <c r="N23" s="2087"/>
      <c r="O23" s="2086"/>
      <c r="P23" s="2087"/>
      <c r="Q23" s="2031"/>
      <c r="R23" s="2031"/>
      <c r="S23" s="2031"/>
      <c r="T23" s="2031"/>
      <c r="U23" s="2031"/>
      <c r="V23" s="2031"/>
    </row>
    <row r="24" spans="1:22" ht="18" customHeight="1">
      <c r="A24" s="2113"/>
      <c r="B24" s="183" t="s">
        <v>1821</v>
      </c>
      <c r="C24" s="2114"/>
      <c r="D24" s="2108" t="s">
        <v>1821</v>
      </c>
      <c r="E24" s="2115"/>
      <c r="F24" s="2107"/>
      <c r="G24" s="2044"/>
      <c r="H24" s="2044"/>
      <c r="I24" s="2044"/>
      <c r="J24" s="2044"/>
      <c r="K24" s="2112"/>
      <c r="L24" s="748"/>
      <c r="M24" s="2030"/>
      <c r="N24" s="2087"/>
      <c r="O24" s="2086"/>
      <c r="P24" s="2087"/>
      <c r="Q24" s="2031"/>
      <c r="R24" s="2031"/>
      <c r="S24" s="2031"/>
      <c r="T24" s="2031"/>
      <c r="U24" s="2031"/>
      <c r="V24" s="2031"/>
    </row>
    <row r="25" spans="1:22" ht="18" customHeight="1">
      <c r="A25" s="2113"/>
      <c r="B25" s="183" t="s">
        <v>1822</v>
      </c>
      <c r="C25" s="2114"/>
      <c r="D25" s="2108" t="s">
        <v>1822</v>
      </c>
      <c r="E25" s="2115"/>
      <c r="F25" s="2107"/>
      <c r="G25" s="2044"/>
      <c r="H25" s="2044"/>
      <c r="I25" s="2044"/>
      <c r="J25" s="2044"/>
      <c r="K25" s="2056"/>
      <c r="L25" s="2030"/>
      <c r="M25" s="2030"/>
      <c r="N25" s="2087"/>
      <c r="O25" s="2086"/>
      <c r="P25" s="2087"/>
      <c r="Q25" s="2031"/>
      <c r="R25" s="2031"/>
      <c r="S25" s="2031"/>
      <c r="T25" s="2031"/>
      <c r="U25" s="2031"/>
      <c r="V25" s="2031"/>
    </row>
    <row r="26" spans="1:22" ht="18" customHeight="1" thickBot="1">
      <c r="A26" s="2116"/>
      <c r="B26" s="2117" t="s">
        <v>1823</v>
      </c>
      <c r="C26" s="2118"/>
      <c r="D26" s="2119" t="s">
        <v>1824</v>
      </c>
      <c r="E26" s="2120"/>
      <c r="F26" s="2121"/>
      <c r="G26" s="2064"/>
      <c r="H26" s="2064"/>
      <c r="I26" s="2064"/>
      <c r="J26" s="2044"/>
      <c r="K26" s="2056"/>
      <c r="L26" s="2030"/>
      <c r="M26" s="2030"/>
      <c r="N26" s="2087"/>
      <c r="O26" s="2086"/>
      <c r="P26" s="2087"/>
      <c r="Q26" s="2031"/>
      <c r="R26" s="2031"/>
      <c r="S26" s="2031"/>
      <c r="T26" s="2031"/>
      <c r="U26" s="2031"/>
      <c r="V26" s="2031"/>
    </row>
    <row r="27" spans="1:22" ht="18" customHeight="1" thickTop="1">
      <c r="A27" s="3065" t="s">
        <v>1825</v>
      </c>
      <c r="B27" s="2065" t="s">
        <v>1826</v>
      </c>
      <c r="C27" s="2122"/>
      <c r="D27" s="2123"/>
      <c r="E27" s="2044"/>
      <c r="F27" s="2044"/>
      <c r="G27" s="2044"/>
      <c r="H27" s="2044"/>
      <c r="I27" s="2044"/>
      <c r="J27" s="2031"/>
      <c r="K27" s="2085"/>
      <c r="L27" s="2086"/>
      <c r="M27" s="2086"/>
      <c r="N27" s="2087"/>
      <c r="O27" s="2086"/>
      <c r="P27" s="2087"/>
      <c r="Q27" s="2031"/>
      <c r="R27" s="2031"/>
      <c r="S27" s="2031"/>
      <c r="T27" s="2031"/>
      <c r="U27" s="2031"/>
      <c r="V27" s="2031"/>
    </row>
    <row r="28" spans="1:22" ht="18" customHeight="1">
      <c r="A28" s="3065"/>
      <c r="B28" s="2037" t="s">
        <v>1827</v>
      </c>
      <c r="C28" s="2124"/>
      <c r="D28" s="2125"/>
      <c r="E28" s="2044"/>
      <c r="F28" s="2044"/>
      <c r="G28" s="2044"/>
      <c r="H28" s="2044"/>
      <c r="I28" s="2044"/>
      <c r="J28" s="2031"/>
      <c r="K28" s="2126"/>
      <c r="L28" s="2030"/>
      <c r="M28" s="2030"/>
      <c r="N28" s="2031"/>
      <c r="O28" s="2032"/>
      <c r="P28" s="2031"/>
      <c r="Q28" s="2031"/>
      <c r="R28" s="2031"/>
      <c r="S28" s="2031"/>
      <c r="T28" s="2031"/>
      <c r="U28" s="2031"/>
      <c r="V28" s="2031"/>
    </row>
    <row r="29" spans="1:22" ht="18" customHeight="1">
      <c r="A29" s="3065"/>
      <c r="B29" s="2037" t="s">
        <v>1828</v>
      </c>
      <c r="C29" s="2127"/>
      <c r="D29" s="2128"/>
      <c r="E29" s="2044"/>
      <c r="F29" s="2044"/>
      <c r="G29" s="2044"/>
      <c r="H29" s="2044"/>
      <c r="I29" s="2044"/>
      <c r="J29" s="2031"/>
      <c r="K29" s="2126"/>
      <c r="L29" s="2030"/>
      <c r="M29" s="2030"/>
      <c r="N29" s="2031"/>
      <c r="O29" s="2032"/>
      <c r="P29" s="2031"/>
      <c r="Q29" s="2031"/>
      <c r="R29" s="2031"/>
      <c r="S29" s="2031"/>
      <c r="T29" s="2031"/>
      <c r="U29" s="2031"/>
      <c r="V29" s="2031"/>
    </row>
    <row r="30" spans="1:22" ht="18" customHeight="1">
      <c r="A30" s="3066"/>
      <c r="B30" s="2037" t="s">
        <v>1829</v>
      </c>
      <c r="C30" s="3067"/>
      <c r="D30" s="3068"/>
      <c r="E30" s="2044"/>
      <c r="F30" s="2044"/>
      <c r="G30" s="2044"/>
      <c r="H30" s="2044"/>
      <c r="I30" s="2044"/>
      <c r="J30" s="2031"/>
      <c r="K30" s="2126"/>
      <c r="L30" s="2030"/>
      <c r="M30" s="2030"/>
      <c r="N30" s="2031"/>
      <c r="O30" s="2032"/>
      <c r="P30" s="2031"/>
      <c r="Q30" s="2031"/>
      <c r="R30" s="2031"/>
      <c r="S30" s="2031"/>
      <c r="T30" s="2031"/>
      <c r="U30" s="2031"/>
      <c r="V30" s="2031"/>
    </row>
    <row r="31" spans="1:22" ht="18" customHeight="1">
      <c r="A31" s="3069" t="s">
        <v>1830</v>
      </c>
      <c r="B31" s="2129"/>
      <c r="C31" s="2130" t="str">
        <f>IF(B31="现房","成新及维护状况正常否",IF(B31="在建","工程状态是否正常",IF(B31="土地","是否闲置","-")))</f>
        <v>-</v>
      </c>
      <c r="D31" s="2131"/>
      <c r="E31" s="2132"/>
      <c r="F31" s="2044"/>
      <c r="G31" s="2044"/>
      <c r="H31" s="2044"/>
      <c r="I31" s="2044"/>
      <c r="J31" s="2044"/>
      <c r="K31" s="2054"/>
      <c r="L31" s="2030"/>
      <c r="M31" s="2030"/>
      <c r="N31" s="2031"/>
      <c r="O31" s="2032"/>
      <c r="P31" s="2031"/>
      <c r="Q31" s="2031"/>
      <c r="R31" s="2031"/>
      <c r="S31" s="2031"/>
      <c r="T31" s="2031"/>
      <c r="U31" s="2031"/>
      <c r="V31" s="2031"/>
    </row>
    <row r="32" spans="1:22" ht="18" customHeight="1">
      <c r="A32" s="3070"/>
      <c r="B32" s="2129"/>
      <c r="C32" s="2130" t="str">
        <f>IF(B32="现房","成新及维护状况是否正常",IF(B32="在建","工程状态是否正常",IF(B32="土地","是否闲置","-")))</f>
        <v>-</v>
      </c>
      <c r="D32" s="2131"/>
      <c r="E32" s="2132"/>
      <c r="F32" s="2044"/>
      <c r="G32" s="2044"/>
      <c r="H32" s="2044"/>
      <c r="I32" s="2044"/>
      <c r="J32" s="2044"/>
      <c r="K32" s="2056"/>
      <c r="L32" s="2030"/>
      <c r="M32" s="2030"/>
      <c r="N32" s="2031"/>
      <c r="O32" s="2032"/>
      <c r="P32" s="2031"/>
      <c r="Q32" s="2031"/>
      <c r="R32" s="2031"/>
      <c r="S32" s="2031"/>
      <c r="T32" s="2031"/>
      <c r="U32" s="2031"/>
      <c r="V32" s="2031"/>
    </row>
    <row r="33" spans="1:22" ht="18" customHeight="1">
      <c r="A33" s="3070"/>
      <c r="B33" s="2133"/>
      <c r="C33" s="2072" t="str">
        <f>IF(B33="现房","成新及维护状况是否正常",IF(B33="在建","工程状态是否正常",IF(B33="土地","是否闲置","-")))</f>
        <v>-</v>
      </c>
      <c r="D33" s="2134"/>
      <c r="E33" s="2135"/>
      <c r="F33" s="2044"/>
      <c r="G33" s="2044"/>
      <c r="H33" s="2044"/>
      <c r="I33" s="2044"/>
      <c r="J33" s="2044"/>
      <c r="K33" s="2056"/>
      <c r="L33" s="2030"/>
      <c r="M33" s="2030"/>
      <c r="N33" s="2031"/>
      <c r="O33" s="2032"/>
      <c r="P33" s="2031"/>
      <c r="Q33" s="2031"/>
      <c r="R33" s="2031"/>
      <c r="S33" s="2031"/>
      <c r="T33" s="2031"/>
      <c r="U33" s="2031"/>
      <c r="V33" s="2031"/>
    </row>
    <row r="34" spans="1:22" ht="18" customHeight="1">
      <c r="A34" s="2037" t="s">
        <v>1831</v>
      </c>
      <c r="B34" s="2136"/>
      <c r="C34" s="2136"/>
      <c r="D34" s="2136"/>
      <c r="E34" s="2136"/>
      <c r="F34" s="2136"/>
      <c r="G34" s="2136"/>
      <c r="H34" s="2136"/>
      <c r="I34" s="2044"/>
      <c r="J34" s="2044"/>
      <c r="K34" s="1797">
        <f>COUNTIF(B34:H34,"——")</f>
        <v>0</v>
      </c>
      <c r="L34" s="2077" t="s">
        <v>1832</v>
      </c>
      <c r="M34" s="2077" t="s">
        <v>1833</v>
      </c>
      <c r="N34" s="2077" t="s">
        <v>1834</v>
      </c>
      <c r="O34" s="2077" t="s">
        <v>1835</v>
      </c>
      <c r="P34" s="2077" t="s">
        <v>1836</v>
      </c>
      <c r="Q34" s="2077" t="s">
        <v>1837</v>
      </c>
      <c r="R34" s="2077" t="s">
        <v>1838</v>
      </c>
      <c r="S34" s="3064" t="s">
        <v>1839</v>
      </c>
      <c r="T34" s="2137" t="str">
        <f>NUMBERSTRING(7-K34,1)&amp;"通"</f>
        <v>七通</v>
      </c>
      <c r="U34" s="2031"/>
      <c r="V34" s="2031"/>
    </row>
    <row r="35" spans="1:22" ht="18" customHeight="1">
      <c r="A35" s="2138"/>
      <c r="B35" s="3071" t="s">
        <v>1840</v>
      </c>
      <c r="C35" s="3071"/>
      <c r="D35" s="3071"/>
      <c r="E35" s="3071"/>
      <c r="F35" s="2139">
        <f>C10</f>
        <v>0</v>
      </c>
      <c r="G35" s="2044"/>
      <c r="H35" s="2044"/>
      <c r="I35" s="2044"/>
      <c r="J35" s="2044"/>
      <c r="K35" s="2077"/>
      <c r="L35" s="207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64"/>
      <c r="T35" s="48" t="str">
        <f>IF(T34="一通",L35,IF(T34="二通",M35,IF(T34="三通",N35,IF(T34="四通",O35,IF(T34="五通",P35,IF(T34="六通",Q35,R35))))))</f>
        <v>、、、、、、</v>
      </c>
      <c r="U35" s="2031"/>
      <c r="V35" s="2031"/>
    </row>
    <row r="36" spans="1:22" ht="18" customHeight="1">
      <c r="A36" s="2140"/>
      <c r="B36" s="2139" t="s">
        <v>1841</v>
      </c>
      <c r="C36" s="2139" t="s">
        <v>1842</v>
      </c>
      <c r="D36" s="2139" t="s">
        <v>1843</v>
      </c>
      <c r="E36" s="2139" t="s">
        <v>1844</v>
      </c>
      <c r="F36" s="2141"/>
      <c r="G36" s="2044"/>
      <c r="H36" s="2044"/>
      <c r="I36" s="2044"/>
      <c r="J36" s="2044"/>
      <c r="K36" s="2056"/>
      <c r="L36" s="2030"/>
      <c r="M36" s="2030"/>
      <c r="N36" s="2031"/>
      <c r="O36" s="2032"/>
      <c r="P36" s="2031"/>
      <c r="Q36" s="2031"/>
      <c r="R36" s="2031"/>
      <c r="S36" s="2031"/>
      <c r="T36" s="2031"/>
      <c r="U36" s="2031"/>
      <c r="V36" s="2031"/>
    </row>
    <row r="37" spans="1:22" ht="18" customHeight="1">
      <c r="A37" s="2142" t="s">
        <v>1845</v>
      </c>
      <c r="B37" s="2143"/>
      <c r="C37" s="2143"/>
      <c r="D37" s="2143"/>
      <c r="E37" s="2143"/>
      <c r="F37" s="2141"/>
      <c r="G37" s="2044"/>
      <c r="H37" s="2044"/>
      <c r="I37" s="2044"/>
      <c r="J37" s="2044"/>
      <c r="K37" s="2056"/>
      <c r="L37" s="2030"/>
      <c r="M37" s="2030"/>
      <c r="N37" s="2031"/>
      <c r="O37" s="2032"/>
      <c r="P37" s="2031"/>
      <c r="Q37" s="2031"/>
      <c r="R37" s="2031"/>
      <c r="S37" s="2031"/>
      <c r="T37" s="2031"/>
      <c r="U37" s="2031"/>
      <c r="V37" s="2031"/>
    </row>
    <row r="38" spans="1:22" ht="18" customHeight="1" thickBot="1">
      <c r="A38" s="2144" t="s">
        <v>1846</v>
      </c>
      <c r="B38" s="2145"/>
      <c r="C38" s="2145"/>
      <c r="D38" s="2145"/>
      <c r="E38" s="2145"/>
      <c r="F38" s="2146"/>
      <c r="G38" s="2064"/>
      <c r="H38" s="2064"/>
      <c r="I38" s="2064"/>
      <c r="J38" s="2044"/>
      <c r="K38" s="2056"/>
      <c r="L38" s="2030"/>
      <c r="M38" s="2030"/>
      <c r="N38" s="2031"/>
      <c r="O38" s="2032"/>
      <c r="P38" s="2031"/>
      <c r="Q38" s="2031"/>
      <c r="R38" s="2031"/>
      <c r="S38" s="2031"/>
      <c r="T38" s="2031"/>
      <c r="U38" s="2031"/>
      <c r="V38" s="2031"/>
    </row>
    <row r="39" spans="1:22" s="2151" customFormat="1" ht="18" customHeight="1" thickTop="1" thickBot="1">
      <c r="A39" s="2147" t="s">
        <v>1847</v>
      </c>
      <c r="B39" s="2148"/>
      <c r="C39" s="2148"/>
      <c r="D39" s="2148"/>
      <c r="E39" s="2148"/>
      <c r="F39" s="2148"/>
      <c r="G39" s="2148"/>
      <c r="H39" s="2148"/>
      <c r="I39" s="2148"/>
      <c r="J39" s="2148"/>
      <c r="K39" s="2149"/>
      <c r="L39" s="2148"/>
      <c r="M39" s="2148"/>
      <c r="N39" s="2148"/>
      <c r="O39" s="2150"/>
      <c r="P39" s="2148"/>
      <c r="Q39" s="2148"/>
      <c r="R39" s="2148"/>
      <c r="S39" s="2148"/>
      <c r="T39" s="2148"/>
      <c r="U39" s="2148"/>
      <c r="V39" s="2148"/>
    </row>
    <row r="40" spans="1:22" ht="18" customHeight="1">
      <c r="A40" s="2031"/>
      <c r="B40" s="2031"/>
      <c r="C40" s="2031"/>
      <c r="D40" s="2031"/>
      <c r="E40" s="2031"/>
      <c r="F40" s="2031"/>
      <c r="G40" s="2031"/>
      <c r="H40" s="2031"/>
      <c r="I40" s="2152"/>
      <c r="J40" s="2087"/>
      <c r="K40" s="666"/>
      <c r="L40" s="2086"/>
      <c r="M40" s="2086"/>
      <c r="N40" s="2087"/>
      <c r="O40" s="2086"/>
      <c r="P40" s="2031"/>
      <c r="Q40" s="2031"/>
      <c r="R40" s="2031"/>
      <c r="S40" s="2031"/>
      <c r="T40" s="2031"/>
      <c r="U40" s="2031"/>
      <c r="V40" s="2031"/>
    </row>
    <row r="41" spans="1:22" ht="18" customHeight="1">
      <c r="A41" s="8" t="s">
        <v>1848</v>
      </c>
      <c r="B41" s="2153"/>
      <c r="C41" s="2154"/>
      <c r="D41" s="2031"/>
      <c r="E41" s="2031"/>
      <c r="F41" s="2031"/>
      <c r="G41" s="2031"/>
      <c r="H41" s="2031"/>
      <c r="I41" s="2032"/>
      <c r="J41" s="2031"/>
      <c r="K41" s="2126"/>
      <c r="L41" s="2030"/>
      <c r="M41" s="2030"/>
      <c r="N41" s="2031"/>
      <c r="O41" s="2032"/>
      <c r="P41" s="2031"/>
      <c r="Q41" s="2031"/>
      <c r="R41" s="2031"/>
      <c r="S41" s="2031"/>
      <c r="T41" s="2031"/>
      <c r="U41" s="2031"/>
      <c r="V41" s="2031"/>
    </row>
    <row r="42" spans="1:22" ht="18" customHeight="1">
      <c r="A42" s="2077" t="s">
        <v>1849</v>
      </c>
      <c r="B42" s="1797" t="s">
        <v>1850</v>
      </c>
      <c r="C42" s="1797" t="s">
        <v>1851</v>
      </c>
      <c r="D42" s="1797" t="s">
        <v>1852</v>
      </c>
      <c r="E42" s="1797" t="s">
        <v>1853</v>
      </c>
      <c r="F42" s="1797" t="s">
        <v>1854</v>
      </c>
      <c r="G42" s="1797" t="s">
        <v>1855</v>
      </c>
      <c r="H42" s="1797" t="s">
        <v>1856</v>
      </c>
      <c r="I42" s="1797" t="s">
        <v>1857</v>
      </c>
      <c r="J42" s="2155" t="s">
        <v>1858</v>
      </c>
      <c r="K42" s="2078" t="s">
        <v>1859</v>
      </c>
      <c r="L42" s="2078" t="s">
        <v>1860</v>
      </c>
      <c r="M42" s="2078" t="s">
        <v>1861</v>
      </c>
      <c r="N42" s="1797" t="s">
        <v>1862</v>
      </c>
      <c r="O42" s="1797" t="s">
        <v>1863</v>
      </c>
      <c r="P42" s="1797" t="s">
        <v>1864</v>
      </c>
      <c r="Q42" s="2077" t="s">
        <v>1865</v>
      </c>
      <c r="R42" s="2077" t="s">
        <v>1866</v>
      </c>
      <c r="S42" s="2031"/>
      <c r="T42" s="2031"/>
      <c r="U42" s="2031"/>
      <c r="V42" s="2031"/>
    </row>
    <row r="43" spans="1:22" s="2160" customFormat="1" ht="18" customHeight="1">
      <c r="A43" s="2156"/>
      <c r="B43" s="1275"/>
      <c r="C43" s="1275"/>
      <c r="D43" s="1275"/>
      <c r="E43" s="1275"/>
      <c r="F43" s="1275"/>
      <c r="G43" s="1275"/>
      <c r="H43" s="9"/>
      <c r="I43" s="9"/>
      <c r="J43" s="2157"/>
      <c r="K43" s="2158"/>
      <c r="L43" s="2158"/>
      <c r="M43" s="9"/>
      <c r="N43" s="1275"/>
      <c r="O43" s="9"/>
      <c r="P43" s="1275"/>
      <c r="Q43" s="1275"/>
      <c r="R43" s="1275"/>
      <c r="S43" s="2159"/>
      <c r="T43" s="2159"/>
      <c r="U43" s="2159"/>
      <c r="V43" s="2159"/>
    </row>
    <row r="44" spans="1:22" s="2160" customFormat="1" ht="18" customHeight="1">
      <c r="A44" s="2156"/>
      <c r="B44" s="2156"/>
      <c r="C44" s="1275"/>
      <c r="D44" s="1275"/>
      <c r="E44" s="1275"/>
      <c r="F44" s="1275"/>
      <c r="G44" s="1275"/>
      <c r="H44" s="9"/>
      <c r="I44" s="9"/>
      <c r="J44" s="2157"/>
      <c r="K44" s="2158"/>
      <c r="L44" s="2158"/>
      <c r="M44" s="9"/>
      <c r="N44" s="1275"/>
      <c r="O44" s="9"/>
      <c r="P44" s="1275"/>
      <c r="Q44" s="1275"/>
      <c r="R44" s="1275"/>
      <c r="S44" s="2159"/>
      <c r="T44" s="2159"/>
      <c r="U44" s="2159"/>
      <c r="V44" s="2159"/>
    </row>
    <row r="45" spans="1:22" s="2160" customFormat="1" ht="18" customHeight="1">
      <c r="A45" s="2156"/>
      <c r="B45" s="2156"/>
      <c r="C45" s="1275"/>
      <c r="D45" s="1275"/>
      <c r="E45" s="1275"/>
      <c r="F45" s="1275"/>
      <c r="G45" s="1275"/>
      <c r="H45" s="9"/>
      <c r="I45" s="9"/>
      <c r="J45" s="2157"/>
      <c r="K45" s="2158"/>
      <c r="L45" s="2158"/>
      <c r="M45" s="9"/>
      <c r="N45" s="1275"/>
      <c r="O45" s="9"/>
      <c r="P45" s="1275"/>
      <c r="Q45" s="1275"/>
      <c r="R45" s="1275"/>
      <c r="S45" s="2159"/>
      <c r="T45" s="2159"/>
      <c r="U45" s="2159"/>
      <c r="V45" s="2159"/>
    </row>
    <row r="46" spans="1:22" s="2160" customFormat="1" ht="18" customHeight="1">
      <c r="A46" s="2156"/>
      <c r="B46" s="2156"/>
      <c r="C46" s="1275"/>
      <c r="D46" s="1275"/>
      <c r="E46" s="1275"/>
      <c r="F46" s="1275"/>
      <c r="G46" s="1275"/>
      <c r="H46" s="9"/>
      <c r="I46" s="9"/>
      <c r="J46" s="2157"/>
      <c r="K46" s="2158"/>
      <c r="L46" s="2158"/>
      <c r="M46" s="9"/>
      <c r="N46" s="1275"/>
      <c r="O46" s="9"/>
      <c r="P46" s="1275"/>
      <c r="Q46" s="1275"/>
      <c r="R46" s="1275"/>
      <c r="S46" s="2159"/>
      <c r="T46" s="2159"/>
      <c r="U46" s="2159"/>
      <c r="V46" s="2159"/>
    </row>
    <row r="47" spans="1:22" s="2160" customFormat="1" ht="18" customHeight="1">
      <c r="A47" s="2156"/>
      <c r="B47" s="2156"/>
      <c r="C47" s="1275"/>
      <c r="D47" s="1275"/>
      <c r="E47" s="1275"/>
      <c r="F47" s="1275"/>
      <c r="G47" s="1275"/>
      <c r="H47" s="9"/>
      <c r="I47" s="9"/>
      <c r="J47" s="2157"/>
      <c r="K47" s="2158"/>
      <c r="L47" s="2158"/>
      <c r="M47" s="9"/>
      <c r="N47" s="1275"/>
      <c r="O47" s="9"/>
      <c r="P47" s="1275"/>
      <c r="Q47" s="1275"/>
      <c r="R47" s="1275"/>
      <c r="S47" s="2159"/>
      <c r="T47" s="2159"/>
      <c r="U47" s="2159"/>
      <c r="V47" s="2159"/>
    </row>
    <row r="48" spans="1:22" s="2160" customFormat="1" ht="18" customHeight="1">
      <c r="A48" s="2156"/>
      <c r="B48" s="2156"/>
      <c r="C48" s="1275"/>
      <c r="D48" s="1275"/>
      <c r="E48" s="1275"/>
      <c r="F48" s="1275"/>
      <c r="G48" s="1275"/>
      <c r="H48" s="9"/>
      <c r="I48" s="9"/>
      <c r="J48" s="2157"/>
      <c r="K48" s="2158"/>
      <c r="L48" s="2158"/>
      <c r="M48" s="9"/>
      <c r="N48" s="1275"/>
      <c r="O48" s="9"/>
      <c r="P48" s="1275"/>
      <c r="Q48" s="1275"/>
      <c r="R48" s="1275"/>
      <c r="S48" s="2159"/>
      <c r="T48" s="2159"/>
      <c r="U48" s="2159"/>
      <c r="V48" s="2159"/>
    </row>
    <row r="49" spans="1:22" s="2160" customFormat="1" ht="18" customHeight="1">
      <c r="A49" s="2156"/>
      <c r="B49" s="2156"/>
      <c r="C49" s="1275"/>
      <c r="D49" s="1275"/>
      <c r="E49" s="1275"/>
      <c r="F49" s="1275"/>
      <c r="G49" s="1275"/>
      <c r="H49" s="9"/>
      <c r="I49" s="9"/>
      <c r="J49" s="2157"/>
      <c r="K49" s="2158"/>
      <c r="L49" s="2158"/>
      <c r="M49" s="9"/>
      <c r="N49" s="1275"/>
      <c r="O49" s="9"/>
      <c r="P49" s="1275"/>
      <c r="Q49" s="1275"/>
      <c r="R49" s="1275"/>
      <c r="S49" s="2159"/>
      <c r="T49" s="2159"/>
      <c r="U49" s="2159"/>
      <c r="V49" s="2159"/>
    </row>
    <row r="50" spans="1:22" s="2160" customFormat="1" ht="18" customHeight="1">
      <c r="A50" s="2156"/>
      <c r="B50" s="2156"/>
      <c r="C50" s="1275"/>
      <c r="D50" s="1275"/>
      <c r="E50" s="1275"/>
      <c r="F50" s="1275"/>
      <c r="G50" s="1275"/>
      <c r="H50" s="9"/>
      <c r="I50" s="9"/>
      <c r="J50" s="2157"/>
      <c r="K50" s="2158"/>
      <c r="L50" s="2158"/>
      <c r="M50" s="9"/>
      <c r="N50" s="1275"/>
      <c r="O50" s="9"/>
      <c r="P50" s="1275"/>
      <c r="Q50" s="1275"/>
      <c r="R50" s="1275"/>
      <c r="S50" s="2159"/>
      <c r="T50" s="2159"/>
      <c r="U50" s="2159"/>
      <c r="V50" s="2159"/>
    </row>
    <row r="51" spans="1:22" s="2160" customFormat="1" ht="18" customHeight="1">
      <c r="A51" s="2156"/>
      <c r="B51" s="2156"/>
      <c r="C51" s="1275"/>
      <c r="D51" s="1275"/>
      <c r="E51" s="1275"/>
      <c r="F51" s="1275"/>
      <c r="G51" s="1275"/>
      <c r="H51" s="9"/>
      <c r="I51" s="9"/>
      <c r="J51" s="2157"/>
      <c r="K51" s="2158"/>
      <c r="L51" s="2158"/>
      <c r="M51" s="9"/>
      <c r="N51" s="1275"/>
      <c r="O51" s="9"/>
      <c r="P51" s="1275"/>
      <c r="Q51" s="1275"/>
      <c r="R51" s="1275"/>
    </row>
    <row r="52" spans="1:22" s="2160" customFormat="1" ht="18" customHeight="1">
      <c r="A52" s="10"/>
      <c r="B52" s="10"/>
      <c r="C52" s="10"/>
      <c r="D52" s="10"/>
      <c r="E52" s="10"/>
      <c r="F52" s="9"/>
      <c r="G52" s="10"/>
      <c r="H52" s="10"/>
      <c r="I52" s="10"/>
      <c r="J52" s="2161"/>
      <c r="K52" s="2158"/>
      <c r="L52" s="2158"/>
      <c r="M52" s="2158"/>
      <c r="N52" s="10"/>
      <c r="O52" s="10"/>
      <c r="P52" s="10"/>
      <c r="Q52" s="10"/>
      <c r="R52" s="10"/>
    </row>
    <row r="53" spans="1:22" s="2160" customFormat="1" ht="18" customHeight="1">
      <c r="A53" s="10"/>
      <c r="B53" s="10"/>
      <c r="C53" s="10"/>
      <c r="D53" s="10"/>
      <c r="E53" s="10"/>
      <c r="F53" s="9"/>
      <c r="G53" s="10"/>
      <c r="H53" s="10"/>
      <c r="I53" s="10"/>
      <c r="J53" s="2161"/>
      <c r="K53" s="2158"/>
      <c r="L53" s="2158"/>
      <c r="M53" s="2158"/>
      <c r="N53" s="10"/>
      <c r="O53" s="10"/>
      <c r="P53" s="10"/>
      <c r="Q53" s="10"/>
      <c r="R53" s="10"/>
    </row>
    <row r="54" spans="1:22" s="2160" customFormat="1" ht="18" customHeight="1">
      <c r="A54" s="10"/>
      <c r="B54" s="10"/>
      <c r="C54" s="10"/>
      <c r="D54" s="10"/>
      <c r="E54" s="10"/>
      <c r="F54" s="9"/>
      <c r="G54" s="10"/>
      <c r="H54" s="10"/>
      <c r="I54" s="10"/>
      <c r="J54" s="2161"/>
      <c r="K54" s="2158"/>
      <c r="L54" s="2158"/>
      <c r="M54" s="2158"/>
      <c r="N54" s="10"/>
      <c r="O54" s="10"/>
      <c r="P54" s="10"/>
      <c r="Q54" s="10"/>
      <c r="R54" s="10"/>
    </row>
    <row r="55" spans="1:22" s="2160" customFormat="1" ht="18" customHeight="1">
      <c r="A55" s="10"/>
      <c r="B55" s="10"/>
      <c r="C55" s="10"/>
      <c r="D55" s="10"/>
      <c r="E55" s="10"/>
      <c r="F55" s="9"/>
      <c r="G55" s="10"/>
      <c r="H55" s="10"/>
      <c r="I55" s="10"/>
      <c r="J55" s="2161"/>
      <c r="K55" s="2158"/>
      <c r="L55" s="2158"/>
      <c r="M55" s="2158"/>
      <c r="N55" s="10"/>
      <c r="O55" s="10"/>
      <c r="P55" s="10"/>
      <c r="Q55" s="10"/>
      <c r="R55" s="10"/>
    </row>
    <row r="56" spans="1:22" s="2160" customFormat="1" ht="18" customHeight="1">
      <c r="A56" s="10"/>
      <c r="B56" s="10"/>
      <c r="C56" s="10"/>
      <c r="D56" s="10"/>
      <c r="E56" s="10"/>
      <c r="F56" s="9"/>
      <c r="G56" s="10"/>
      <c r="H56" s="10"/>
      <c r="I56" s="10"/>
      <c r="J56" s="2161"/>
      <c r="K56" s="2158"/>
      <c r="L56" s="2158"/>
      <c r="M56" s="215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2162" customWidth="1"/>
    <col min="2" max="2" width="11" style="2162" customWidth="1"/>
    <col min="3" max="3" width="10.375" style="2162" customWidth="1"/>
    <col min="4" max="4" width="9.125" style="2162" customWidth="1"/>
    <col min="5" max="6" width="10" style="2225" customWidth="1"/>
    <col min="7" max="8" width="10" style="2162" customWidth="1"/>
    <col min="9" max="9" width="10.625" style="2162" customWidth="1"/>
    <col min="10" max="10" width="9.5" style="2162" customWidth="1"/>
    <col min="11" max="11" width="11" style="2162" customWidth="1"/>
    <col min="12" max="14" width="9.5" style="2162" customWidth="1"/>
    <col min="15" max="15" width="9.875" style="2162" customWidth="1"/>
    <col min="16" max="16" width="9.75" style="2162" customWidth="1"/>
    <col min="17" max="17" width="9.375" style="2162" customWidth="1"/>
    <col min="18" max="18" width="9.25" style="2162" customWidth="1"/>
    <col min="19" max="19" width="10.875" style="2162" customWidth="1"/>
    <col min="20" max="21" width="10.75" style="2162" customWidth="1"/>
    <col min="22" max="22" width="10.875" style="2162" customWidth="1"/>
    <col min="23" max="27" width="10.75" style="2162" customWidth="1"/>
    <col min="28" max="28" width="10.875" style="2162" customWidth="1"/>
    <col min="29" max="29" width="11" style="2162" bestFit="1" customWidth="1"/>
    <col min="30" max="30" width="10" style="2162" bestFit="1" customWidth="1"/>
    <col min="31" max="31" width="9.75" style="2162" customWidth="1"/>
    <col min="32" max="46" width="9.5" style="2162" customWidth="1"/>
    <col min="47" max="47" width="18.125" style="2162" customWidth="1"/>
    <col min="48" max="50" width="9.75" style="2162" customWidth="1"/>
    <col min="51" max="55" width="10.5" style="2162" bestFit="1" customWidth="1"/>
    <col min="56" max="56" width="9.5" style="2162" bestFit="1" customWidth="1"/>
    <col min="57" max="63" width="9.125" style="2162" bestFit="1" customWidth="1"/>
    <col min="64" max="64" width="9.5" style="2162" bestFit="1" customWidth="1"/>
    <col min="65" max="65" width="9.125" style="2162" bestFit="1" customWidth="1"/>
    <col min="66" max="66" width="9.5" style="2162" bestFit="1" customWidth="1"/>
    <col min="67" max="69" width="9.125" style="2162" bestFit="1" customWidth="1"/>
    <col min="70" max="70" width="9.5" style="2162" bestFit="1" customWidth="1"/>
    <col min="71" max="71" width="9" style="2162" customWidth="1"/>
    <col min="72" max="72" width="9.125" style="2162" bestFit="1" customWidth="1"/>
    <col min="73" max="16384" width="8.875" style="2162"/>
  </cols>
  <sheetData>
    <row r="1" spans="1:72" ht="20.25">
      <c r="A1" s="2165" t="s">
        <v>1867</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6" t="s">
        <v>1868</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70" customFormat="1" ht="24">
      <c r="A2" s="11" t="s">
        <v>1869</v>
      </c>
      <c r="B2" s="11" t="s">
        <v>1870</v>
      </c>
      <c r="C2" s="11" t="s">
        <v>1871</v>
      </c>
      <c r="D2" s="2167"/>
      <c r="E2" s="2168"/>
      <c r="F2" s="2169"/>
      <c r="G2" s="2167"/>
      <c r="H2" s="2167"/>
      <c r="I2" s="2167"/>
      <c r="J2" s="2167"/>
      <c r="K2" s="2167"/>
      <c r="L2" s="2167"/>
      <c r="M2" s="2167"/>
      <c r="N2" s="2167"/>
      <c r="O2" s="2167"/>
      <c r="P2" s="2167"/>
      <c r="Q2" s="2167"/>
      <c r="R2" s="2167"/>
      <c r="S2" s="2167"/>
      <c r="T2" s="2167"/>
      <c r="U2" s="2167"/>
      <c r="V2" s="2167"/>
      <c r="W2" s="2167"/>
      <c r="X2" s="2167"/>
      <c r="Y2" s="2167"/>
      <c r="Z2" s="2167"/>
      <c r="AA2" s="2167"/>
      <c r="AB2" s="2167"/>
      <c r="AC2" s="2167"/>
      <c r="AD2" s="2167"/>
      <c r="AE2" s="2167"/>
      <c r="AF2" s="2167"/>
      <c r="AG2" s="2167"/>
      <c r="AH2" s="2167"/>
      <c r="AI2" s="2167"/>
      <c r="AJ2" s="2167"/>
      <c r="AK2" s="2167"/>
      <c r="AL2" s="2167"/>
      <c r="AM2" s="2167"/>
      <c r="AN2" s="2167"/>
      <c r="AO2" s="2167"/>
      <c r="AP2" s="2167"/>
      <c r="AQ2" s="2167"/>
      <c r="AR2" s="2167"/>
      <c r="AS2" s="2167"/>
      <c r="AT2" s="2167"/>
      <c r="AU2" s="2167"/>
      <c r="AV2" s="2167"/>
      <c r="AW2" s="2167"/>
      <c r="AX2" s="2167"/>
      <c r="AY2" s="1272" t="s">
        <v>1872</v>
      </c>
      <c r="AZ2" s="1273" t="s">
        <v>1873</v>
      </c>
      <c r="BA2" s="11" t="s">
        <v>1874</v>
      </c>
      <c r="BB2" s="2167"/>
      <c r="BC2" s="2167"/>
      <c r="BD2" s="2167"/>
      <c r="BE2" s="2167"/>
      <c r="BF2" s="2167"/>
      <c r="BG2" s="2167"/>
      <c r="BH2" s="2167"/>
      <c r="BI2" s="2167"/>
      <c r="BJ2" s="2167"/>
      <c r="BK2" s="2167"/>
      <c r="BL2" s="2167"/>
      <c r="BM2" s="2167"/>
      <c r="BN2" s="2167"/>
      <c r="BO2" s="2167"/>
      <c r="BP2" s="2167"/>
      <c r="BQ2" s="2167"/>
      <c r="BR2" s="2167"/>
      <c r="BS2" s="2167"/>
      <c r="BT2" s="2167"/>
    </row>
    <row r="3" spans="1:72" s="2170" customFormat="1" ht="12.75">
      <c r="A3" s="13">
        <f>26522.15/1.65</f>
        <v>16074.030303030304</v>
      </c>
      <c r="B3" s="14">
        <f>IF(C3="否",G5-AT5,G5)</f>
        <v>34338.32</v>
      </c>
      <c r="C3" s="2171" t="s">
        <v>1875</v>
      </c>
      <c r="D3" s="2167"/>
      <c r="E3" s="2167"/>
      <c r="F3" s="2167"/>
      <c r="G3" s="2167"/>
      <c r="H3" s="2167"/>
      <c r="I3" s="2167"/>
      <c r="J3" s="2167"/>
      <c r="K3" s="2167"/>
      <c r="L3" s="2167"/>
      <c r="M3" s="2167"/>
      <c r="N3" s="2167"/>
      <c r="O3" s="2167"/>
      <c r="P3" s="2167"/>
      <c r="Q3" s="2167"/>
      <c r="R3" s="2167"/>
      <c r="S3" s="2167"/>
      <c r="T3" s="2167"/>
      <c r="U3" s="2167"/>
      <c r="V3" s="2167"/>
      <c r="W3" s="2167"/>
      <c r="X3" s="2167"/>
      <c r="Y3" s="2167"/>
      <c r="Z3" s="2167"/>
      <c r="AA3" s="2167"/>
      <c r="AB3" s="2167"/>
      <c r="AC3" s="2167"/>
      <c r="AD3" s="2167"/>
      <c r="AE3" s="2167"/>
      <c r="AF3" s="2167"/>
      <c r="AG3" s="2167"/>
      <c r="AH3" s="2167"/>
      <c r="AI3" s="2167"/>
      <c r="AJ3" s="2167"/>
      <c r="AK3" s="2167"/>
      <c r="AL3" s="2167"/>
      <c r="AM3" s="2167"/>
      <c r="AN3" s="2167"/>
      <c r="AO3" s="2167"/>
      <c r="AP3" s="2167"/>
      <c r="AQ3" s="2167"/>
      <c r="AR3" s="2167"/>
      <c r="AS3" s="2167"/>
      <c r="AT3" s="2167"/>
      <c r="AU3" s="2167"/>
      <c r="AV3" s="2167"/>
      <c r="AW3" s="2167"/>
      <c r="AX3" s="2167"/>
      <c r="AY3" s="1274"/>
      <c r="AZ3" s="1275"/>
      <c r="BA3" s="1276"/>
      <c r="BB3" s="2167"/>
      <c r="BC3" s="2167"/>
      <c r="BD3" s="2167"/>
      <c r="BE3" s="2167"/>
      <c r="BF3" s="2167"/>
      <c r="BG3" s="2167"/>
      <c r="BH3" s="2167"/>
      <c r="BI3" s="2167"/>
      <c r="BJ3" s="2167"/>
      <c r="BK3" s="2167"/>
      <c r="BL3" s="2167"/>
      <c r="BM3" s="2167"/>
      <c r="BN3" s="2167"/>
      <c r="BO3" s="2167"/>
      <c r="BP3" s="2167"/>
      <c r="BQ3" s="2167"/>
      <c r="BR3" s="2167"/>
      <c r="BS3" s="2167"/>
      <c r="BT3" s="2167"/>
    </row>
    <row r="4" spans="1:72" s="2176" customFormat="1" ht="13.5" thickBot="1">
      <c r="A4" s="2172"/>
      <c r="B4" s="2173"/>
      <c r="C4" s="2174"/>
      <c r="D4" s="2167"/>
      <c r="E4" s="2167"/>
      <c r="F4" s="2167"/>
      <c r="G4" s="2167"/>
      <c r="H4" s="2167"/>
      <c r="I4" s="2167"/>
      <c r="J4" s="2167"/>
      <c r="K4" s="2167"/>
      <c r="L4" s="2167"/>
      <c r="M4" s="2167"/>
      <c r="N4" s="2167"/>
      <c r="O4" s="2167"/>
      <c r="P4" s="2167"/>
      <c r="Q4" s="2167"/>
      <c r="R4" s="2167"/>
      <c r="S4" s="2167"/>
      <c r="T4" s="2167"/>
      <c r="U4" s="2167"/>
      <c r="V4" s="2167"/>
      <c r="W4" s="2167"/>
      <c r="X4" s="2167"/>
      <c r="Y4" s="2167"/>
      <c r="Z4" s="2167"/>
      <c r="AA4" s="2167"/>
      <c r="AB4" s="2167"/>
      <c r="AC4" s="2167"/>
      <c r="AD4" s="2167"/>
      <c r="AE4" s="2167"/>
      <c r="AF4" s="2167"/>
      <c r="AG4" s="2167"/>
      <c r="AH4" s="2167"/>
      <c r="AI4" s="2167"/>
      <c r="AJ4" s="2167"/>
      <c r="AK4" s="2167"/>
      <c r="AL4" s="2167"/>
      <c r="AM4" s="2167"/>
      <c r="AN4" s="2167"/>
      <c r="AO4" s="2167"/>
      <c r="AP4" s="2167"/>
      <c r="AQ4" s="2167"/>
      <c r="AR4" s="2167"/>
      <c r="AS4" s="2167"/>
      <c r="AT4" s="2167"/>
      <c r="AU4" s="2167"/>
      <c r="AV4" s="2167"/>
      <c r="AW4" s="2167"/>
      <c r="AX4" s="2167"/>
      <c r="AY4" s="2167"/>
      <c r="AZ4" s="2167"/>
      <c r="BA4" s="2175"/>
      <c r="BB4" s="2167"/>
      <c r="BC4" s="2167"/>
      <c r="BD4" s="2167"/>
      <c r="BE4" s="2167"/>
      <c r="BF4" s="2167"/>
      <c r="BG4" s="2167"/>
      <c r="BH4" s="2167"/>
      <c r="BI4" s="2167"/>
      <c r="BJ4" s="2167"/>
      <c r="BK4" s="2167"/>
      <c r="BL4" s="2167"/>
      <c r="BM4" s="2167"/>
      <c r="BN4" s="2167"/>
      <c r="BO4" s="2167"/>
      <c r="BP4" s="2167"/>
      <c r="BQ4" s="2167"/>
      <c r="BR4" s="2167"/>
      <c r="BS4" s="2167"/>
      <c r="BT4" s="2167"/>
    </row>
    <row r="5" spans="1:72" s="2170" customFormat="1" ht="12.75">
      <c r="A5" s="15" t="s">
        <v>1876</v>
      </c>
      <c r="B5" s="1805"/>
      <c r="C5" s="1805"/>
      <c r="D5" s="1808"/>
      <c r="E5" s="16" t="s">
        <v>1</v>
      </c>
      <c r="F5" s="16">
        <f>SUM(F13:F587)</f>
        <v>0</v>
      </c>
      <c r="G5" s="16">
        <f>SUM(G13:G587)</f>
        <v>34338.32</v>
      </c>
      <c r="H5" s="16">
        <f t="shared" ref="H5:AT5" si="0">SUM(H13:H656)</f>
        <v>34338.32</v>
      </c>
      <c r="I5" s="16">
        <f t="shared" si="0"/>
        <v>34338.32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1876</v>
      </c>
      <c r="AW5" s="1805"/>
      <c r="AX5" s="1805"/>
      <c r="AY5" s="17" t="s">
        <v>3</v>
      </c>
      <c r="AZ5" s="18">
        <f t="shared" ref="AZ5:BT5" si="1">SUM(AZ13:AZ656)</f>
        <v>34338.32</v>
      </c>
      <c r="BA5" s="18">
        <f t="shared" si="1"/>
        <v>34338.32</v>
      </c>
      <c r="BB5" s="18">
        <f t="shared" si="1"/>
        <v>34338.32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80" customFormat="1" ht="12.75">
      <c r="A6" s="15" t="s">
        <v>1877</v>
      </c>
      <c r="B6" s="2177"/>
      <c r="C6" s="2177"/>
      <c r="D6" s="2178"/>
      <c r="E6" s="16">
        <f>H6+AC6+AT6</f>
        <v>16074.03</v>
      </c>
      <c r="F6" s="16" t="s">
        <v>1</v>
      </c>
      <c r="G6" s="16" t="s">
        <v>2</v>
      </c>
      <c r="H6" s="20">
        <f>SUMIF(I$12:AB$12,"总值",I6:AB6)</f>
        <v>16074.03</v>
      </c>
      <c r="I6" s="16">
        <f t="shared" ref="I6:AB6" si="2">ROUND($A$3*I5/$B$3,2)</f>
        <v>16074.03</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9"/>
      <c r="AV6" s="15" t="s">
        <v>1877</v>
      </c>
      <c r="AW6" s="2177"/>
      <c r="AX6" s="2177"/>
      <c r="AY6" s="21">
        <f>IF(AY3&gt;0,AY3,ROUND($A$3*AZ5/$B$3,2))</f>
        <v>16074.03</v>
      </c>
      <c r="AZ6" s="16" t="s">
        <v>3</v>
      </c>
      <c r="BA6" s="16">
        <f>ROUND($AY$6*BA5/$AZ$5,2)</f>
        <v>16074.03</v>
      </c>
      <c r="BB6" s="16">
        <f>ROUND($AY$6*BB5/$AZ$5,2)</f>
        <v>16074.03</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70" customFormat="1" ht="24.75">
      <c r="A7" s="2112" t="s">
        <v>1878</v>
      </c>
      <c r="B7" s="2112" t="s">
        <v>1879</v>
      </c>
      <c r="C7" s="2112" t="s">
        <v>1880</v>
      </c>
      <c r="D7" s="2112" t="s">
        <v>1881</v>
      </c>
      <c r="E7" s="2112" t="s">
        <v>1882</v>
      </c>
      <c r="F7" s="2112" t="s">
        <v>1883</v>
      </c>
      <c r="G7" s="2181" t="s">
        <v>1884</v>
      </c>
      <c r="H7" s="2182"/>
      <c r="I7" s="2182"/>
      <c r="J7" s="2182"/>
      <c r="K7" s="2182"/>
      <c r="L7" s="2182"/>
      <c r="M7" s="2182"/>
      <c r="N7" s="2182"/>
      <c r="O7" s="2182"/>
      <c r="P7" s="2182"/>
      <c r="Q7" s="2182"/>
      <c r="R7" s="2182"/>
      <c r="S7" s="2182"/>
      <c r="T7" s="2182"/>
      <c r="U7" s="2182"/>
      <c r="V7" s="2182"/>
      <c r="W7" s="2182"/>
      <c r="X7" s="2182"/>
      <c r="Y7" s="2182"/>
      <c r="Z7" s="2182"/>
      <c r="AA7" s="2182"/>
      <c r="AB7" s="2182"/>
      <c r="AC7" s="2182"/>
      <c r="AD7" s="2182"/>
      <c r="AE7" s="2182"/>
      <c r="AF7" s="2182"/>
      <c r="AG7" s="2182"/>
      <c r="AH7" s="2182"/>
      <c r="AI7" s="2182"/>
      <c r="AJ7" s="2182"/>
      <c r="AK7" s="2182"/>
      <c r="AL7" s="2182"/>
      <c r="AM7" s="2182"/>
      <c r="AN7" s="2182"/>
      <c r="AO7" s="2182"/>
      <c r="AP7" s="2182"/>
      <c r="AQ7" s="2182"/>
      <c r="AR7" s="2182"/>
      <c r="AS7" s="2182"/>
      <c r="AT7" s="1808"/>
      <c r="AU7" s="2182" t="s">
        <v>1885</v>
      </c>
      <c r="AV7" s="23" t="s">
        <v>1886</v>
      </c>
      <c r="AW7" s="2169" t="s">
        <v>1887</v>
      </c>
      <c r="AX7" s="23" t="s">
        <v>1880</v>
      </c>
      <c r="AY7" s="1805" t="s">
        <v>1888</v>
      </c>
      <c r="AZ7" s="2183"/>
      <c r="BA7" s="2182"/>
      <c r="BB7" s="2182"/>
      <c r="BC7" s="2182"/>
      <c r="BD7" s="2182"/>
      <c r="BE7" s="2182"/>
      <c r="BF7" s="2182"/>
      <c r="BG7" s="2182"/>
      <c r="BH7" s="2182"/>
      <c r="BI7" s="2182"/>
      <c r="BJ7" s="2182"/>
      <c r="BK7" s="2182"/>
      <c r="BL7" s="2182"/>
      <c r="BM7" s="2182"/>
      <c r="BN7" s="2182"/>
      <c r="BO7" s="2182"/>
      <c r="BP7" s="2182"/>
      <c r="BQ7" s="2182"/>
      <c r="BR7" s="2182"/>
      <c r="BS7" s="2182"/>
      <c r="BT7" s="2184"/>
    </row>
    <row r="8" spans="1:72" s="2192" customFormat="1" ht="24">
      <c r="A8" s="2185"/>
      <c r="B8" s="2185"/>
      <c r="C8" s="2185"/>
      <c r="D8" s="2185"/>
      <c r="E8" s="2185"/>
      <c r="F8" s="2185"/>
      <c r="G8" s="2186" t="s">
        <v>1889</v>
      </c>
      <c r="H8" s="2187" t="s">
        <v>1890</v>
      </c>
      <c r="I8" s="2188"/>
      <c r="J8" s="1820"/>
      <c r="K8" s="1820"/>
      <c r="L8" s="1820"/>
      <c r="M8" s="1820"/>
      <c r="N8" s="1820"/>
      <c r="O8" s="1820"/>
      <c r="P8" s="1820"/>
      <c r="Q8" s="1820"/>
      <c r="R8" s="1820"/>
      <c r="S8" s="1820"/>
      <c r="T8" s="1820"/>
      <c r="U8" s="1820"/>
      <c r="V8" s="2189"/>
      <c r="W8" s="1820"/>
      <c r="X8" s="1820"/>
      <c r="Y8" s="1820"/>
      <c r="Z8" s="1820"/>
      <c r="AA8" s="2189"/>
      <c r="AB8" s="2190"/>
      <c r="AC8" s="984" t="s">
        <v>1891</v>
      </c>
      <c r="AD8" s="2191"/>
      <c r="AE8" s="2183"/>
      <c r="AF8" s="1820"/>
      <c r="AG8" s="1820"/>
      <c r="AH8" s="1820"/>
      <c r="AI8" s="1820"/>
      <c r="AJ8" s="1820"/>
      <c r="AK8" s="1820"/>
      <c r="AL8" s="1820"/>
      <c r="AM8" s="1820"/>
      <c r="AN8" s="1820"/>
      <c r="AO8" s="1820"/>
      <c r="AP8" s="1820"/>
      <c r="AQ8" s="1820"/>
      <c r="AR8" s="1820"/>
      <c r="AS8" s="1820"/>
      <c r="AT8" s="1295" t="s">
        <v>1892</v>
      </c>
      <c r="AU8" s="2185" t="s">
        <v>1893</v>
      </c>
      <c r="AV8" s="1295"/>
      <c r="AW8" s="2168"/>
      <c r="AX8" s="1295"/>
      <c r="AY8" s="2169" t="s">
        <v>1894</v>
      </c>
      <c r="AZ8" s="1819" t="s">
        <v>1895</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2" customFormat="1" ht="12.75">
      <c r="A9" s="2185"/>
      <c r="B9" s="2185"/>
      <c r="C9" s="2185"/>
      <c r="D9" s="2185"/>
      <c r="E9" s="2185"/>
      <c r="F9" s="2185"/>
      <c r="G9" s="1295"/>
      <c r="H9" s="2193" t="s">
        <v>1896</v>
      </c>
      <c r="I9" s="2194" t="s">
        <v>3111</v>
      </c>
      <c r="J9" s="984"/>
      <c r="K9" s="2194"/>
      <c r="L9" s="984"/>
      <c r="M9" s="2194"/>
      <c r="N9" s="984"/>
      <c r="O9" s="2194"/>
      <c r="P9" s="984"/>
      <c r="Q9" s="2194"/>
      <c r="R9" s="984"/>
      <c r="S9" s="2194"/>
      <c r="T9" s="984"/>
      <c r="U9" s="2194"/>
      <c r="V9" s="984"/>
      <c r="W9" s="2194"/>
      <c r="X9" s="2195"/>
      <c r="Y9" s="2194"/>
      <c r="Z9" s="984"/>
      <c r="AA9" s="2194"/>
      <c r="AB9" s="984"/>
      <c r="AC9" s="2186" t="s">
        <v>1896</v>
      </c>
      <c r="AD9" s="15" t="s">
        <v>1897</v>
      </c>
      <c r="AE9" s="1301"/>
      <c r="AF9" s="15" t="s">
        <v>1898</v>
      </c>
      <c r="AG9" s="1301"/>
      <c r="AH9" s="15" t="s">
        <v>1897</v>
      </c>
      <c r="AI9" s="1301"/>
      <c r="AJ9" s="15" t="s">
        <v>1898</v>
      </c>
      <c r="AK9" s="1301"/>
      <c r="AL9" s="15" t="s">
        <v>1897</v>
      </c>
      <c r="AM9" s="1301"/>
      <c r="AN9" s="15" t="s">
        <v>1898</v>
      </c>
      <c r="AO9" s="1301"/>
      <c r="AP9" s="15" t="s">
        <v>1897</v>
      </c>
      <c r="AQ9" s="1301"/>
      <c r="AR9" s="15" t="s">
        <v>1898</v>
      </c>
      <c r="AS9" s="2196"/>
      <c r="AT9" s="2185"/>
      <c r="AU9" s="2185" t="s">
        <v>1899</v>
      </c>
      <c r="AV9" s="1295"/>
      <c r="AW9" s="2168"/>
      <c r="AX9" s="1295"/>
      <c r="AY9" s="28"/>
      <c r="AZ9" s="28" t="s">
        <v>1889</v>
      </c>
      <c r="BA9" s="2197" t="s">
        <v>1900</v>
      </c>
      <c r="BB9" s="2198"/>
      <c r="BC9" s="1341"/>
      <c r="BD9" s="1341"/>
      <c r="BE9" s="1341"/>
      <c r="BF9" s="1341"/>
      <c r="BG9" s="1341"/>
      <c r="BH9" s="1341"/>
      <c r="BI9" s="1341"/>
      <c r="BJ9" s="1341"/>
      <c r="BK9" s="2199"/>
      <c r="BL9" s="15" t="s">
        <v>1901</v>
      </c>
      <c r="BM9" s="1820"/>
      <c r="BN9" s="2188"/>
      <c r="BO9" s="1820"/>
      <c r="BP9" s="1820"/>
      <c r="BQ9" s="1820"/>
      <c r="BR9" s="1820"/>
      <c r="BS9" s="1820"/>
      <c r="BT9" s="26"/>
    </row>
    <row r="10" spans="1:72" s="2192" customFormat="1" ht="12.75">
      <c r="A10" s="2185"/>
      <c r="B10" s="2185"/>
      <c r="C10" s="2185"/>
      <c r="D10" s="2185"/>
      <c r="E10" s="2185"/>
      <c r="F10" s="2185"/>
      <c r="G10" s="1295"/>
      <c r="H10" s="28"/>
      <c r="I10" s="2194" t="s">
        <v>3868</v>
      </c>
      <c r="J10" s="984"/>
      <c r="K10" s="2200"/>
      <c r="L10" s="984"/>
      <c r="M10" s="2200"/>
      <c r="N10" s="984"/>
      <c r="O10" s="2200"/>
      <c r="P10" s="984"/>
      <c r="Q10" s="2200"/>
      <c r="R10" s="984"/>
      <c r="S10" s="2200"/>
      <c r="T10" s="984"/>
      <c r="U10" s="2200"/>
      <c r="V10" s="984"/>
      <c r="W10" s="2200"/>
      <c r="X10" s="984"/>
      <c r="Y10" s="2200"/>
      <c r="Z10" s="984"/>
      <c r="AA10" s="2200"/>
      <c r="AB10" s="984"/>
      <c r="AC10" s="1295"/>
      <c r="AD10" s="15" t="s">
        <v>1902</v>
      </c>
      <c r="AE10" s="2201"/>
      <c r="AF10" s="15" t="s">
        <v>1902</v>
      </c>
      <c r="AG10" s="2201"/>
      <c r="AH10" s="15" t="s">
        <v>1903</v>
      </c>
      <c r="AI10" s="2201"/>
      <c r="AJ10" s="15" t="s">
        <v>1903</v>
      </c>
      <c r="AK10" s="2201"/>
      <c r="AL10" s="15" t="s">
        <v>1904</v>
      </c>
      <c r="AM10" s="1301"/>
      <c r="AN10" s="15" t="s">
        <v>1904</v>
      </c>
      <c r="AO10" s="1301"/>
      <c r="AP10" s="15" t="s">
        <v>1905</v>
      </c>
      <c r="AQ10" s="1301"/>
      <c r="AR10" s="15" t="s">
        <v>1905</v>
      </c>
      <c r="AS10" s="1301"/>
      <c r="AT10" s="2185"/>
      <c r="AU10" s="2185"/>
      <c r="AV10" s="1295"/>
      <c r="AW10" s="2168"/>
      <c r="AX10" s="1295"/>
      <c r="AY10" s="28"/>
      <c r="AZ10" s="28"/>
      <c r="BA10" s="2202" t="s">
        <v>1896</v>
      </c>
      <c r="BB10" s="2203" t="str">
        <f>I9</f>
        <v>地上</v>
      </c>
      <c r="BC10" s="29">
        <f>K9</f>
        <v>0</v>
      </c>
      <c r="BD10" s="29">
        <f>M9</f>
        <v>0</v>
      </c>
      <c r="BE10" s="29">
        <f>O9</f>
        <v>0</v>
      </c>
      <c r="BF10" s="29">
        <f>Q9</f>
        <v>0</v>
      </c>
      <c r="BG10" s="29">
        <f>S9</f>
        <v>0</v>
      </c>
      <c r="BH10" s="29">
        <f>U9</f>
        <v>0</v>
      </c>
      <c r="BI10" s="29">
        <f>W9</f>
        <v>0</v>
      </c>
      <c r="BJ10" s="29">
        <f>Y9</f>
        <v>0</v>
      </c>
      <c r="BK10" s="29">
        <f>AA9</f>
        <v>0</v>
      </c>
      <c r="BL10" s="25" t="s">
        <v>1896</v>
      </c>
      <c r="BM10" s="1819" t="str">
        <f>AD9</f>
        <v>地上</v>
      </c>
      <c r="BN10" s="29" t="str">
        <f>AF9</f>
        <v>地下</v>
      </c>
      <c r="BO10" s="1819" t="str">
        <f>AH9</f>
        <v>地上</v>
      </c>
      <c r="BP10" s="29" t="str">
        <f>AJ9</f>
        <v>地下</v>
      </c>
      <c r="BQ10" s="1819" t="str">
        <f>AL9</f>
        <v>地上</v>
      </c>
      <c r="BR10" s="29" t="str">
        <f>AN9</f>
        <v>地下</v>
      </c>
      <c r="BS10" s="1819" t="str">
        <f>AP9</f>
        <v>地上</v>
      </c>
      <c r="BT10" s="2204" t="str">
        <f>AR9</f>
        <v>地下</v>
      </c>
    </row>
    <row r="11" spans="1:72" s="2192" customFormat="1" ht="12.75">
      <c r="A11" s="2185"/>
      <c r="B11" s="2185"/>
      <c r="C11" s="2185"/>
      <c r="D11" s="2185"/>
      <c r="E11" s="2185"/>
      <c r="F11" s="2185"/>
      <c r="G11" s="1295"/>
      <c r="H11" s="2202"/>
      <c r="I11" s="2205" t="s">
        <v>3112</v>
      </c>
      <c r="J11" s="2206"/>
      <c r="K11" s="2205"/>
      <c r="L11" s="2206"/>
      <c r="M11" s="2205"/>
      <c r="N11" s="2206"/>
      <c r="O11" s="2205"/>
      <c r="P11" s="2206"/>
      <c r="Q11" s="2205"/>
      <c r="R11" s="2206"/>
      <c r="S11" s="2205"/>
      <c r="T11" s="2206"/>
      <c r="U11" s="2205"/>
      <c r="V11" s="2206"/>
      <c r="W11" s="2205"/>
      <c r="X11" s="2206"/>
      <c r="Y11" s="2205"/>
      <c r="Z11" s="2206"/>
      <c r="AA11" s="2205"/>
      <c r="AB11" s="2206"/>
      <c r="AC11" s="1295"/>
      <c r="AD11" s="2207" t="s">
        <v>1906</v>
      </c>
      <c r="AE11" s="1821"/>
      <c r="AF11" s="2207" t="s">
        <v>1906</v>
      </c>
      <c r="AG11" s="1821"/>
      <c r="AH11" s="2207" t="s">
        <v>1907</v>
      </c>
      <c r="AI11" s="2208"/>
      <c r="AJ11" s="2207" t="s">
        <v>1907</v>
      </c>
      <c r="AK11" s="1821"/>
      <c r="AL11" s="1819"/>
      <c r="AM11" s="1821"/>
      <c r="AN11" s="1819"/>
      <c r="AO11" s="1821"/>
      <c r="AP11" s="1819"/>
      <c r="AQ11" s="1821"/>
      <c r="AR11" s="1819"/>
      <c r="AS11" s="1821"/>
      <c r="AT11" s="2168"/>
      <c r="AU11" s="2185"/>
      <c r="AV11" s="1295"/>
      <c r="AW11" s="2168"/>
      <c r="AX11" s="1295"/>
      <c r="AY11" s="28"/>
      <c r="AZ11" s="28"/>
      <c r="BA11" s="28"/>
      <c r="BB11" s="2190" t="str">
        <f>I10</f>
        <v>住宅</v>
      </c>
      <c r="BC11" s="2190">
        <f>K10</f>
        <v>0</v>
      </c>
      <c r="BD11" s="2190">
        <f>M10</f>
        <v>0</v>
      </c>
      <c r="BE11" s="2190">
        <f>O10</f>
        <v>0</v>
      </c>
      <c r="BF11" s="2190">
        <f>Q10</f>
        <v>0</v>
      </c>
      <c r="BG11" s="2190">
        <f>S10</f>
        <v>0</v>
      </c>
      <c r="BH11" s="2190">
        <f>U10</f>
        <v>0</v>
      </c>
      <c r="BI11" s="2190">
        <f>W10</f>
        <v>0</v>
      </c>
      <c r="BJ11" s="2190">
        <f>Y10</f>
        <v>0</v>
      </c>
      <c r="BK11" s="2190">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9" t="str">
        <f>AR10</f>
        <v>未注明</v>
      </c>
    </row>
    <row r="12" spans="1:72" s="2170" customFormat="1" ht="12.75">
      <c r="A12" s="2210"/>
      <c r="B12" s="2210"/>
      <c r="C12" s="2210"/>
      <c r="D12" s="2210"/>
      <c r="E12" s="2210"/>
      <c r="F12" s="2210"/>
      <c r="G12" s="30"/>
      <c r="H12" s="2211"/>
      <c r="I12" s="1808" t="s">
        <v>1908</v>
      </c>
      <c r="J12" s="11" t="s">
        <v>1909</v>
      </c>
      <c r="K12" s="11" t="s">
        <v>1908</v>
      </c>
      <c r="L12" s="11" t="s">
        <v>1909</v>
      </c>
      <c r="M12" s="11" t="s">
        <v>1908</v>
      </c>
      <c r="N12" s="11" t="s">
        <v>1909</v>
      </c>
      <c r="O12" s="11" t="s">
        <v>1908</v>
      </c>
      <c r="P12" s="11" t="s">
        <v>1909</v>
      </c>
      <c r="Q12" s="11" t="s">
        <v>1908</v>
      </c>
      <c r="R12" s="11" t="s">
        <v>1909</v>
      </c>
      <c r="S12" s="11" t="s">
        <v>1908</v>
      </c>
      <c r="T12" s="11" t="s">
        <v>1909</v>
      </c>
      <c r="U12" s="11" t="s">
        <v>1908</v>
      </c>
      <c r="V12" s="1804" t="s">
        <v>1909</v>
      </c>
      <c r="W12" s="11" t="s">
        <v>1908</v>
      </c>
      <c r="X12" s="11" t="s">
        <v>1909</v>
      </c>
      <c r="Y12" s="11" t="s">
        <v>1908</v>
      </c>
      <c r="Z12" s="11" t="s">
        <v>1909</v>
      </c>
      <c r="AA12" s="11" t="s">
        <v>1908</v>
      </c>
      <c r="AB12" s="11" t="s">
        <v>1909</v>
      </c>
      <c r="AC12" s="2212"/>
      <c r="AD12" s="1808" t="s">
        <v>1908</v>
      </c>
      <c r="AE12" s="11" t="s">
        <v>1909</v>
      </c>
      <c r="AF12" s="11" t="s">
        <v>1908</v>
      </c>
      <c r="AG12" s="11" t="s">
        <v>1909</v>
      </c>
      <c r="AH12" s="11" t="s">
        <v>1908</v>
      </c>
      <c r="AI12" s="11" t="s">
        <v>1909</v>
      </c>
      <c r="AJ12" s="11" t="s">
        <v>1908</v>
      </c>
      <c r="AK12" s="11" t="s">
        <v>1909</v>
      </c>
      <c r="AL12" s="11" t="s">
        <v>1908</v>
      </c>
      <c r="AM12" s="11" t="s">
        <v>1909</v>
      </c>
      <c r="AN12" s="11" t="s">
        <v>1908</v>
      </c>
      <c r="AO12" s="11" t="s">
        <v>1909</v>
      </c>
      <c r="AP12" s="11" t="s">
        <v>1908</v>
      </c>
      <c r="AQ12" s="11" t="s">
        <v>1909</v>
      </c>
      <c r="AR12" s="30" t="s">
        <v>1908</v>
      </c>
      <c r="AS12" s="2210" t="s">
        <v>1909</v>
      </c>
      <c r="AT12" s="2213"/>
      <c r="AU12" s="2210"/>
      <c r="AV12" s="31"/>
      <c r="AW12" s="2169"/>
      <c r="AX12" s="31"/>
      <c r="AY12" s="2214"/>
      <c r="AZ12" s="28"/>
      <c r="BA12" s="2202"/>
      <c r="BB12" s="24" t="str">
        <f>I11</f>
        <v>公寓</v>
      </c>
      <c r="BC12" s="2215">
        <f>K11</f>
        <v>0</v>
      </c>
      <c r="BD12" s="2215">
        <f>M11</f>
        <v>0</v>
      </c>
      <c r="BE12" s="2190">
        <f>O11</f>
        <v>0</v>
      </c>
      <c r="BF12" s="2190">
        <f>Q11</f>
        <v>0</v>
      </c>
      <c r="BG12" s="2190">
        <f>S11</f>
        <v>0</v>
      </c>
      <c r="BH12" s="2190">
        <f>U11</f>
        <v>0</v>
      </c>
      <c r="BI12" s="2190">
        <f>W11</f>
        <v>0</v>
      </c>
      <c r="BJ12" s="2190">
        <f>Y11</f>
        <v>0</v>
      </c>
      <c r="BK12" s="2190">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9">
        <f>AR11</f>
        <v>0</v>
      </c>
    </row>
    <row r="13" spans="1:72" s="2170" customFormat="1" ht="12.75">
      <c r="A13" s="1275"/>
      <c r="B13" s="1275"/>
      <c r="C13" s="1275"/>
      <c r="D13" s="2216" t="s">
        <v>3863</v>
      </c>
      <c r="E13" s="16">
        <f>IF($C$3="是",ROUND($A$3*G13/$B$3,2),ROUND($A$3*(G13-AT13)/$B$3,2))</f>
        <v>16074.03</v>
      </c>
      <c r="F13" s="32"/>
      <c r="G13" s="33">
        <f>H13+AC13+AT13</f>
        <v>34338.32</v>
      </c>
      <c r="H13" s="20">
        <f>SUMIF(I$12:AB$12,"总值",I13:AB13)</f>
        <v>34338.32</v>
      </c>
      <c r="I13" s="2217">
        <f>ROUND(34338.3159617979,2)</f>
        <v>34338.32</v>
      </c>
      <c r="J13" s="2217"/>
      <c r="K13" s="2217"/>
      <c r="L13" s="2217"/>
      <c r="M13" s="2217"/>
      <c r="N13" s="2217"/>
      <c r="O13" s="2217"/>
      <c r="P13" s="2217"/>
      <c r="Q13" s="2217"/>
      <c r="R13" s="2217"/>
      <c r="S13" s="2217"/>
      <c r="T13" s="2217"/>
      <c r="U13" s="2217"/>
      <c r="V13" s="2217"/>
      <c r="W13" s="2217"/>
      <c r="X13" s="2217"/>
      <c r="Y13" s="2217"/>
      <c r="Z13" s="2217"/>
      <c r="AA13" s="2217"/>
      <c r="AB13" s="2217"/>
      <c r="AC13" s="16">
        <f>SUMIF(AD$12:AS$12,"总值",AD13:AS13)</f>
        <v>0</v>
      </c>
      <c r="AD13" s="2218"/>
      <c r="AE13" s="2218"/>
      <c r="AF13" s="2218"/>
      <c r="AG13" s="2218"/>
      <c r="AH13" s="2218"/>
      <c r="AI13" s="2218"/>
      <c r="AJ13" s="2218"/>
      <c r="AK13" s="2218"/>
      <c r="AL13" s="2218"/>
      <c r="AM13" s="2218"/>
      <c r="AN13" s="2218"/>
      <c r="AO13" s="2218"/>
      <c r="AP13" s="2218"/>
      <c r="AQ13" s="2218"/>
      <c r="AR13" s="2218"/>
      <c r="AS13" s="2218"/>
      <c r="AT13" s="2219"/>
      <c r="AU13" s="2220"/>
      <c r="AV13" s="11">
        <f t="shared" ref="AV13:AX17" si="6">A13</f>
        <v>0</v>
      </c>
      <c r="AW13" s="11">
        <f t="shared" si="6"/>
        <v>0</v>
      </c>
      <c r="AX13" s="11">
        <f t="shared" si="6"/>
        <v>0</v>
      </c>
      <c r="AY13" s="1808">
        <f>ROUND($AY$6*AZ13/$AZ$5,2)</f>
        <v>16074.03</v>
      </c>
      <c r="AZ13" s="16">
        <f>BA13+BL13</f>
        <v>34338.32</v>
      </c>
      <c r="BA13" s="16">
        <f>SUM(BB13:BK13)</f>
        <v>34338.32</v>
      </c>
      <c r="BB13" s="16">
        <f>IF($D13="是",I13-J13,0)</f>
        <v>34338.32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70" customFormat="1" ht="12.75">
      <c r="A14" s="1275"/>
      <c r="B14" s="1275"/>
      <c r="C14" s="2156"/>
      <c r="D14" s="2216"/>
      <c r="E14" s="16">
        <f>IF($C$3="是",ROUND($A$3*G14/$B$3,2),ROUND($A$3*(G14-AT14)/$B$3,2))</f>
        <v>0</v>
      </c>
      <c r="F14" s="32"/>
      <c r="G14" s="33">
        <f>H14+AC14+AT14</f>
        <v>0</v>
      </c>
      <c r="H14" s="20">
        <f>SUMIF(I$12:AB$12,"总值",I14:AB14)</f>
        <v>0</v>
      </c>
      <c r="I14" s="2217"/>
      <c r="J14" s="2217"/>
      <c r="K14" s="2217"/>
      <c r="L14" s="2217"/>
      <c r="M14" s="2217"/>
      <c r="N14" s="2217"/>
      <c r="O14" s="2217"/>
      <c r="P14" s="2217"/>
      <c r="Q14" s="2217"/>
      <c r="R14" s="2217"/>
      <c r="S14" s="2217"/>
      <c r="T14" s="2217"/>
      <c r="U14" s="2217"/>
      <c r="V14" s="2217"/>
      <c r="W14" s="2217"/>
      <c r="X14" s="2217"/>
      <c r="Y14" s="2217"/>
      <c r="Z14" s="2217"/>
      <c r="AA14" s="2217"/>
      <c r="AB14" s="2217"/>
      <c r="AC14" s="16">
        <f>SUMIF(AD$12:AS$12,"总值",AD14:AS14)</f>
        <v>0</v>
      </c>
      <c r="AD14" s="2218"/>
      <c r="AE14" s="2218"/>
      <c r="AF14" s="2218"/>
      <c r="AG14" s="2218"/>
      <c r="AH14" s="2218"/>
      <c r="AI14" s="2218"/>
      <c r="AJ14" s="2218"/>
      <c r="AK14" s="2218"/>
      <c r="AL14" s="2218"/>
      <c r="AM14" s="2218"/>
      <c r="AN14" s="2218"/>
      <c r="AO14" s="2218"/>
      <c r="AP14" s="2218"/>
      <c r="AQ14" s="2218"/>
      <c r="AR14" s="2218"/>
      <c r="AS14" s="2218"/>
      <c r="AT14" s="2219"/>
      <c r="AU14" s="2220"/>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70" customFormat="1" ht="12.75">
      <c r="A15" s="1275"/>
      <c r="B15" s="1275"/>
      <c r="C15" s="2156"/>
      <c r="D15" s="2216"/>
      <c r="E15" s="16">
        <f>IF($C$3="是",ROUND($A$3*G15/$B$3,2),ROUND($A$3*(G15-AT15)/$B$3,2))</f>
        <v>0</v>
      </c>
      <c r="F15" s="32"/>
      <c r="G15" s="33">
        <f>H15+AC15+AT15</f>
        <v>0</v>
      </c>
      <c r="H15" s="20">
        <f>SUMIF(I$12:AB$12,"总值",I15:AB15)</f>
        <v>0</v>
      </c>
      <c r="I15" s="2217"/>
      <c r="J15" s="2217"/>
      <c r="K15" s="2217"/>
      <c r="L15" s="2217"/>
      <c r="M15" s="2217"/>
      <c r="N15" s="2217"/>
      <c r="O15" s="2217"/>
      <c r="P15" s="2217"/>
      <c r="Q15" s="2217"/>
      <c r="R15" s="2217"/>
      <c r="S15" s="2217"/>
      <c r="T15" s="2217"/>
      <c r="U15" s="2217"/>
      <c r="V15" s="2217"/>
      <c r="W15" s="2217"/>
      <c r="X15" s="2217"/>
      <c r="Y15" s="2217"/>
      <c r="Z15" s="2217"/>
      <c r="AA15" s="2217"/>
      <c r="AB15" s="2217"/>
      <c r="AC15" s="16">
        <f>SUMIF(AD$12:AS$12,"总值",AD15:AS15)</f>
        <v>0</v>
      </c>
      <c r="AD15" s="2218"/>
      <c r="AE15" s="2218"/>
      <c r="AF15" s="2218"/>
      <c r="AG15" s="2218"/>
      <c r="AH15" s="2218"/>
      <c r="AI15" s="2218"/>
      <c r="AJ15" s="2218"/>
      <c r="AK15" s="2218"/>
      <c r="AL15" s="2218"/>
      <c r="AM15" s="2218"/>
      <c r="AN15" s="2218"/>
      <c r="AO15" s="2218"/>
      <c r="AP15" s="2218"/>
      <c r="AQ15" s="2218"/>
      <c r="AR15" s="2218"/>
      <c r="AS15" s="2218"/>
      <c r="AT15" s="2219"/>
      <c r="AU15" s="2220"/>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70" customFormat="1" ht="12.75">
      <c r="A16" s="1275"/>
      <c r="B16" s="1275"/>
      <c r="C16" s="2156"/>
      <c r="D16" s="2216"/>
      <c r="E16" s="16">
        <f>IF($C$3="是",ROUND($A$3*G16/$B$3,2),ROUND($A$3*(G16-AT16)/$B$3,2))</f>
        <v>0</v>
      </c>
      <c r="F16" s="32"/>
      <c r="G16" s="33">
        <f>H16+AC16+AT16</f>
        <v>0</v>
      </c>
      <c r="H16" s="20">
        <f>SUMIF(I$12:AB$12,"总值",I16:AB16)</f>
        <v>0</v>
      </c>
      <c r="I16" s="2217"/>
      <c r="J16" s="2217"/>
      <c r="K16" s="2217"/>
      <c r="L16" s="2217"/>
      <c r="M16" s="2217"/>
      <c r="N16" s="2217"/>
      <c r="O16" s="2217"/>
      <c r="P16" s="2217"/>
      <c r="Q16" s="2217"/>
      <c r="R16" s="2217"/>
      <c r="S16" s="2217"/>
      <c r="T16" s="2217"/>
      <c r="U16" s="2217"/>
      <c r="V16" s="2217"/>
      <c r="W16" s="2217"/>
      <c r="X16" s="2217"/>
      <c r="Y16" s="2217"/>
      <c r="Z16" s="2217"/>
      <c r="AA16" s="2217"/>
      <c r="AB16" s="2217"/>
      <c r="AC16" s="16">
        <f>SUMIF(AD$12:AS$12,"总值",AD16:AS16)</f>
        <v>0</v>
      </c>
      <c r="AD16" s="2218"/>
      <c r="AE16" s="2218"/>
      <c r="AF16" s="2218"/>
      <c r="AG16" s="2218"/>
      <c r="AH16" s="2218"/>
      <c r="AI16" s="2218"/>
      <c r="AJ16" s="2218"/>
      <c r="AK16" s="2218"/>
      <c r="AL16" s="2218"/>
      <c r="AM16" s="2218"/>
      <c r="AN16" s="2218"/>
      <c r="AO16" s="2218"/>
      <c r="AP16" s="2218"/>
      <c r="AQ16" s="2218"/>
      <c r="AR16" s="2218"/>
      <c r="AS16" s="2218"/>
      <c r="AT16" s="2219"/>
      <c r="AU16" s="2220"/>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70" customFormat="1" ht="12.75">
      <c r="A17" s="1275"/>
      <c r="B17" s="1275"/>
      <c r="C17" s="2156"/>
      <c r="D17" s="2216"/>
      <c r="E17" s="16">
        <f>IF($C$3="是",ROUND($A$3*G17/$B$3,2),ROUND($A$3*(G17-AT17)/$B$3,2))</f>
        <v>0</v>
      </c>
      <c r="F17" s="32"/>
      <c r="G17" s="33">
        <f>H17+AC17+AT17</f>
        <v>0</v>
      </c>
      <c r="H17" s="20">
        <f>SUMIF(I$12:AB$12,"总值",I17:AB17)</f>
        <v>0</v>
      </c>
      <c r="I17" s="2217"/>
      <c r="J17" s="2217"/>
      <c r="K17" s="2217"/>
      <c r="L17" s="2217"/>
      <c r="M17" s="2217"/>
      <c r="N17" s="2217"/>
      <c r="O17" s="2217"/>
      <c r="P17" s="2217"/>
      <c r="Q17" s="2217"/>
      <c r="R17" s="2217"/>
      <c r="S17" s="2217"/>
      <c r="T17" s="2217"/>
      <c r="U17" s="2217"/>
      <c r="V17" s="2217"/>
      <c r="W17" s="2217"/>
      <c r="X17" s="2217"/>
      <c r="Y17" s="2217"/>
      <c r="Z17" s="2217"/>
      <c r="AA17" s="2217"/>
      <c r="AB17" s="2217"/>
      <c r="AC17" s="16">
        <f>SUMIF(AD$12:AS$12,"总值",AD17:AS17)</f>
        <v>0</v>
      </c>
      <c r="AD17" s="2218"/>
      <c r="AE17" s="2218"/>
      <c r="AF17" s="2218"/>
      <c r="AG17" s="2218"/>
      <c r="AH17" s="2218"/>
      <c r="AI17" s="2218"/>
      <c r="AJ17" s="2218"/>
      <c r="AK17" s="2218"/>
      <c r="AL17" s="2218"/>
      <c r="AM17" s="2218"/>
      <c r="AN17" s="2218"/>
      <c r="AO17" s="2218"/>
      <c r="AP17" s="2218"/>
      <c r="AQ17" s="2218"/>
      <c r="AR17" s="2218"/>
      <c r="AS17" s="2218"/>
      <c r="AT17" s="2219"/>
      <c r="AU17" s="2220"/>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2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2"/>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2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2"/>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2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2"/>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2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2"/>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2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2"/>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2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2"/>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2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2"/>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2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2"/>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2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2"/>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2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2"/>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2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2"/>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2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2"/>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2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2"/>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2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2"/>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2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2"/>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2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2"/>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2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2"/>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2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2"/>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2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2"/>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2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2"/>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2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2"/>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2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2"/>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2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2"/>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2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2"/>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2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2"/>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2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2"/>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2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2"/>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2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2"/>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2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2"/>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2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2"/>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2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2"/>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2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2"/>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2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2"/>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2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2"/>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2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2"/>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2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2"/>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2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2"/>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2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2"/>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2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2"/>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2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2"/>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2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2"/>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2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2"/>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2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2"/>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2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2"/>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2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2"/>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2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2"/>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2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2"/>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2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2"/>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2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2"/>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2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2"/>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2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2"/>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2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2"/>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2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2"/>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2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2"/>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2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2"/>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2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2"/>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2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2"/>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2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2"/>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2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2"/>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2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2"/>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2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2"/>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2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2"/>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2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2"/>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2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2"/>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2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2"/>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2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2"/>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2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2"/>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2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2"/>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2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2"/>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2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2"/>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2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2"/>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2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2"/>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2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2"/>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2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2"/>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2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2"/>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2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2"/>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2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2"/>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2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2"/>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2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2"/>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2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2"/>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2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2"/>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2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2"/>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2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2"/>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2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2"/>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2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2"/>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2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2"/>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2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2"/>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2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2"/>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2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2"/>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2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2"/>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2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2"/>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2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2"/>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2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7"/>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2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7"/>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2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7"/>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2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2"/>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2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2"/>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2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2"/>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2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2"/>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2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2"/>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2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2"/>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2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2"/>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2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2"/>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2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2"/>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2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2"/>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2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2"/>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2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2"/>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2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2"/>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2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2"/>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2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2"/>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2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2"/>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2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2"/>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2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2"/>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2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2"/>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2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2"/>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2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2"/>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2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2"/>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2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2"/>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2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2"/>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2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2"/>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2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2"/>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2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2"/>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2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2"/>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2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2"/>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2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2"/>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2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2"/>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2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2"/>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2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2"/>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2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2"/>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2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2"/>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2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2"/>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2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2"/>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2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2"/>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2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2"/>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2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2"/>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2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2"/>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2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2"/>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2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2"/>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2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2"/>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2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2"/>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2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2"/>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2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2"/>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2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2"/>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2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2"/>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2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2"/>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2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2"/>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2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2"/>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2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2"/>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2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2"/>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2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2"/>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2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2"/>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2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2"/>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2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2"/>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2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2"/>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2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2"/>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2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2"/>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2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2"/>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2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2"/>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2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2"/>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2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2"/>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2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2"/>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2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2"/>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2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2"/>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2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2"/>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2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2"/>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2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2"/>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2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2"/>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2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2"/>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2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2"/>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2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2"/>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2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2"/>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2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2"/>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2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2"/>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2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2"/>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2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2"/>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2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2"/>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2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2"/>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2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2"/>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2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2"/>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2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2"/>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2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2"/>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2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2"/>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2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2"/>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2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2"/>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2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2"/>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2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2"/>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2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2"/>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2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7"/>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2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7"/>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2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7"/>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2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2"/>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2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2"/>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2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2"/>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2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2"/>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2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2"/>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2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2"/>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2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2"/>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2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2"/>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2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2"/>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2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2"/>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2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2"/>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2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2"/>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2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2"/>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2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2"/>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2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2"/>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2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2"/>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2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2"/>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2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2"/>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2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2"/>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2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2"/>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2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2"/>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2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2"/>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2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2"/>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2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2"/>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2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2"/>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2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2"/>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2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2"/>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2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2"/>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2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2"/>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2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2"/>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2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2"/>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2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2"/>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2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2"/>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2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2"/>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2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2"/>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2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2"/>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2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2"/>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2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2"/>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2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2"/>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2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2"/>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2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2"/>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2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2"/>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2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2"/>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2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2"/>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2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2"/>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2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2"/>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2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2"/>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2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2"/>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2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2"/>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2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2"/>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2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2"/>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2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2"/>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2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2"/>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2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2"/>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2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2"/>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2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2"/>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2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2"/>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2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2"/>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2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2"/>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2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2"/>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2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2"/>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2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2"/>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2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2"/>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2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2"/>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2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2"/>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2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2"/>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2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2"/>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2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2"/>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2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2"/>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2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2"/>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2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2"/>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2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2"/>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2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2"/>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2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2"/>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2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2"/>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2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2"/>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2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2"/>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2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2"/>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2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2"/>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2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2"/>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2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2"/>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2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2"/>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2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2"/>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2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2"/>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2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2"/>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2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2"/>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2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2"/>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2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2"/>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2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2"/>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2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2"/>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2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2"/>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2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2"/>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2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7"/>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2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7"/>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2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7"/>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2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2"/>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2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2"/>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2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2"/>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2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2"/>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2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2"/>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2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2"/>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2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2"/>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2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2"/>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2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2"/>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2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2"/>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2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2"/>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2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2"/>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2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2"/>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2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2"/>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2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2"/>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2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2"/>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2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2"/>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2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2"/>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2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2"/>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2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2"/>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2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2"/>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2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2"/>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2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2"/>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2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2"/>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2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2"/>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2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2"/>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2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2"/>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2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2"/>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2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2"/>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2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2"/>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2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2"/>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2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2"/>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2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2"/>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2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2"/>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2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2"/>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2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2"/>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2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2"/>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2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2"/>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2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2"/>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2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2"/>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2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2"/>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2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2"/>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2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2"/>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2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2"/>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2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2"/>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2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2"/>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2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2"/>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2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2"/>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2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2"/>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2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2"/>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2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2"/>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2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2"/>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2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2"/>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2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2"/>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2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2"/>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2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2"/>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2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2"/>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2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2"/>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2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2"/>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2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2"/>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2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2"/>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2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2"/>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2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2"/>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2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2"/>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2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2"/>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2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2"/>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2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2"/>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2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2"/>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2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2"/>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2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2"/>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2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2"/>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2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2"/>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2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2"/>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2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2"/>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2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2"/>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2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2"/>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2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2"/>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2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2"/>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2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2"/>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2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2"/>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2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2"/>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2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2"/>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2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2"/>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2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2"/>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2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2"/>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2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2"/>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2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2"/>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2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2"/>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2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2"/>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2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2"/>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2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2"/>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2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2"/>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2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7"/>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2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7"/>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2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7"/>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2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2"/>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2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2"/>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2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2"/>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2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2"/>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2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2"/>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2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2"/>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2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2"/>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2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2"/>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2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2"/>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2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2"/>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2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2"/>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2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2"/>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2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2"/>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2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2"/>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2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2"/>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2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2"/>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2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2"/>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2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2"/>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2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2"/>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2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2"/>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2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2"/>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2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2"/>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2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2"/>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2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2"/>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2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2"/>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2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2"/>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2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2"/>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2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2"/>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2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2"/>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2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2"/>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2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2"/>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2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2"/>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2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2"/>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2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2"/>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2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2"/>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2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2"/>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2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2"/>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2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2"/>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2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2"/>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2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2"/>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2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2"/>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2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2"/>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2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2"/>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2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2"/>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2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2"/>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2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2"/>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2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2"/>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2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2"/>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2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2"/>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2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2"/>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2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2"/>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2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2"/>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2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2"/>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2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2"/>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2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2"/>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2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2"/>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2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2"/>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2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2"/>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2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2"/>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2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2"/>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2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2"/>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2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2"/>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2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2"/>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2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2"/>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2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2"/>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2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2"/>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2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2"/>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2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2"/>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2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2"/>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2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2"/>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2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2"/>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2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2"/>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2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2"/>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2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2"/>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2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2"/>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2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2"/>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2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2"/>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2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2"/>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2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2"/>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2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2"/>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2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2"/>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2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2"/>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2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2"/>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2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2"/>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2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2"/>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2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2"/>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2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2"/>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2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2"/>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2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2"/>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2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2"/>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2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2"/>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2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2"/>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2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7"/>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2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7"/>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2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7"/>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2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2"/>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2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2"/>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2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2"/>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2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2"/>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2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2"/>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2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2"/>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2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2"/>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2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2"/>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2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2"/>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2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2"/>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2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2"/>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2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2"/>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2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2"/>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2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2"/>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2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2"/>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2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2"/>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2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2"/>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2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2"/>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2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2"/>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2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2"/>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2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2"/>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2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2"/>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2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2"/>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2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2"/>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2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2"/>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2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2"/>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2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2"/>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2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2"/>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2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2"/>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2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2"/>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2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2"/>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2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2"/>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2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2"/>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2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2"/>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2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2"/>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2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2"/>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2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2"/>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2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2"/>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2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2"/>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2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2"/>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2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2"/>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2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2"/>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2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2"/>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2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2"/>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2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2"/>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2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2"/>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2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2"/>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2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2"/>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2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2"/>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2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2"/>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2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2"/>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2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2"/>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2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2"/>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2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2"/>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2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2"/>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2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2"/>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2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2"/>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2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2"/>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2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2"/>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2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2"/>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2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2"/>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2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2"/>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2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2"/>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2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2"/>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2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2"/>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2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2"/>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2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2"/>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2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2"/>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2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2"/>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2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2"/>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2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2"/>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2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2"/>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2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2"/>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2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2"/>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2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2"/>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2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2"/>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2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2"/>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2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2"/>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2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2"/>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2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2"/>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2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2"/>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2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2"/>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2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2"/>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2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2"/>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2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2"/>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2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2"/>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2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2"/>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2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2"/>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2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2"/>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2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2"/>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2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2"/>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2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2"/>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2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7"/>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2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7"/>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2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7"/>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5" customFormat="1">
      <c r="A588" s="2223"/>
      <c r="B588" s="2223"/>
      <c r="C588" s="2223"/>
      <c r="D588" s="2223"/>
      <c r="E588" s="2224"/>
      <c r="F588" s="2224"/>
      <c r="G588" s="2223"/>
      <c r="H588" s="2224"/>
      <c r="I588" s="2224"/>
      <c r="J588" s="2224"/>
      <c r="K588" s="2224"/>
      <c r="L588" s="2224"/>
      <c r="M588" s="2224"/>
      <c r="N588" s="2224"/>
      <c r="O588" s="2224"/>
      <c r="P588" s="2224"/>
      <c r="Q588" s="2224"/>
      <c r="R588" s="2224"/>
      <c r="S588" s="2224"/>
      <c r="T588" s="2224"/>
      <c r="U588" s="2224"/>
      <c r="V588" s="2224"/>
      <c r="W588" s="2224"/>
      <c r="X588" s="2224"/>
      <c r="Y588" s="2224"/>
      <c r="Z588" s="2224"/>
      <c r="AA588" s="2224"/>
      <c r="AB588" s="2224"/>
      <c r="AC588" s="2224"/>
      <c r="AD588" s="2224"/>
      <c r="AE588" s="2224"/>
      <c r="AF588" s="2224"/>
      <c r="AG588" s="2224"/>
      <c r="AH588" s="2224"/>
      <c r="AI588" s="2224"/>
      <c r="AJ588" s="2224"/>
      <c r="AK588" s="2224"/>
      <c r="AL588" s="2224"/>
      <c r="AM588" s="2224"/>
      <c r="AN588" s="2224"/>
      <c r="AO588" s="2224"/>
      <c r="AP588" s="2224"/>
      <c r="AQ588" s="2224"/>
      <c r="AR588" s="2224"/>
      <c r="AS588" s="2224"/>
      <c r="AT588" s="2224"/>
      <c r="AU588" s="2223"/>
      <c r="AV588" s="2223"/>
      <c r="AW588" s="2223"/>
      <c r="AX588" s="2223"/>
    </row>
    <row r="589" spans="1:72" s="2226" customFormat="1">
      <c r="C589" s="2227"/>
      <c r="D589" s="2227"/>
    </row>
    <row r="590" spans="1:72" s="2226" customFormat="1">
      <c r="C590" s="2227"/>
      <c r="D590" s="2227"/>
    </row>
    <row r="593" spans="2:2">
      <c r="B593" s="222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717"/>
  <sheetViews>
    <sheetView topLeftCell="D1" workbookViewId="0">
      <selection activeCell="J2" sqref="J2"/>
    </sheetView>
  </sheetViews>
  <sheetFormatPr defaultColWidth="9" defaultRowHeight="13.5"/>
  <cols>
    <col min="1" max="1" width="7.125" style="2964" bestFit="1" customWidth="1"/>
    <col min="2" max="2" width="5.25" style="2964" bestFit="1" customWidth="1"/>
    <col min="3" max="3" width="7.125" style="2964" bestFit="1" customWidth="1"/>
    <col min="4" max="4" width="16.875" style="2948" bestFit="1" customWidth="1"/>
    <col min="5" max="5" width="9.5" style="2948" bestFit="1" customWidth="1"/>
    <col min="6" max="6" width="9.75" style="2948" customWidth="1"/>
    <col min="7" max="7" width="12.75" style="2948" bestFit="1" customWidth="1"/>
    <col min="8" max="9" width="12.5" style="2948" bestFit="1" customWidth="1"/>
    <col min="10" max="16384" width="9" style="2957"/>
  </cols>
  <sheetData>
    <row r="1" spans="1:9" s="2952" customFormat="1" ht="36.75" customHeight="1">
      <c r="A1" s="2950" t="s">
        <v>3113</v>
      </c>
      <c r="B1" s="2950" t="s">
        <v>3114</v>
      </c>
      <c r="C1" s="2951" t="s">
        <v>3115</v>
      </c>
      <c r="D1" s="2950" t="s">
        <v>3116</v>
      </c>
      <c r="E1" s="2950" t="s">
        <v>3117</v>
      </c>
      <c r="F1" s="2950" t="s">
        <v>3118</v>
      </c>
      <c r="G1" s="2950" t="s">
        <v>3119</v>
      </c>
      <c r="H1" s="2950" t="s">
        <v>3120</v>
      </c>
      <c r="I1" s="2950" t="s">
        <v>3121</v>
      </c>
    </row>
    <row r="2" spans="1:9" s="2956" customFormat="1" ht="18.75" customHeight="1">
      <c r="A2" s="2953">
        <v>1</v>
      </c>
      <c r="B2" s="2954" t="s">
        <v>3122</v>
      </c>
      <c r="C2" s="2954" t="s">
        <v>3123</v>
      </c>
      <c r="D2" s="2954" t="s">
        <v>3124</v>
      </c>
      <c r="E2" s="2954" t="s">
        <v>3125</v>
      </c>
      <c r="F2" s="2955">
        <v>101</v>
      </c>
      <c r="G2" s="2954" t="s">
        <v>3126</v>
      </c>
      <c r="H2" s="2954">
        <v>105.98</v>
      </c>
      <c r="I2" s="2954">
        <v>84.24</v>
      </c>
    </row>
    <row r="3" spans="1:9" s="2956" customFormat="1" ht="18.75" customHeight="1">
      <c r="A3" s="2953">
        <v>2</v>
      </c>
      <c r="B3" s="2954" t="s">
        <v>3122</v>
      </c>
      <c r="C3" s="2954" t="s">
        <v>3123</v>
      </c>
      <c r="D3" s="2954" t="s">
        <v>3124</v>
      </c>
      <c r="E3" s="2954" t="s">
        <v>3125</v>
      </c>
      <c r="F3" s="2955">
        <v>102</v>
      </c>
      <c r="G3" s="2954" t="s">
        <v>3127</v>
      </c>
      <c r="H3" s="2954">
        <v>32.520000000000003</v>
      </c>
      <c r="I3" s="2954">
        <v>25.85</v>
      </c>
    </row>
    <row r="4" spans="1:9" s="2956" customFormat="1" ht="18.75" customHeight="1">
      <c r="A4" s="2953">
        <v>3</v>
      </c>
      <c r="B4" s="2954" t="s">
        <v>3122</v>
      </c>
      <c r="C4" s="2954" t="s">
        <v>3123</v>
      </c>
      <c r="D4" s="2954" t="s">
        <v>3124</v>
      </c>
      <c r="E4" s="2954" t="s">
        <v>3125</v>
      </c>
      <c r="F4" s="2955">
        <v>103</v>
      </c>
      <c r="G4" s="2954" t="s">
        <v>3128</v>
      </c>
      <c r="H4" s="2954">
        <v>35.5</v>
      </c>
      <c r="I4" s="2954">
        <v>28.22</v>
      </c>
    </row>
    <row r="5" spans="1:9" s="2956" customFormat="1" ht="18.75" customHeight="1">
      <c r="A5" s="2953">
        <v>4</v>
      </c>
      <c r="B5" s="2954" t="s">
        <v>3122</v>
      </c>
      <c r="C5" s="2954" t="s">
        <v>3123</v>
      </c>
      <c r="D5" s="2954" t="s">
        <v>3124</v>
      </c>
      <c r="E5" s="2954" t="s">
        <v>3125</v>
      </c>
      <c r="F5" s="2955">
        <v>104</v>
      </c>
      <c r="G5" s="2954" t="s">
        <v>3129</v>
      </c>
      <c r="H5" s="2954">
        <v>122.05</v>
      </c>
      <c r="I5" s="2954">
        <v>97.01</v>
      </c>
    </row>
    <row r="6" spans="1:9" ht="18.75" customHeight="1">
      <c r="A6" s="2953">
        <v>5</v>
      </c>
      <c r="B6" s="2954" t="s">
        <v>3122</v>
      </c>
      <c r="C6" s="2954" t="s">
        <v>3123</v>
      </c>
      <c r="D6" s="2954" t="s">
        <v>3124</v>
      </c>
      <c r="E6" s="2954" t="s">
        <v>3125</v>
      </c>
      <c r="F6" s="2955">
        <v>203</v>
      </c>
      <c r="G6" s="2954" t="s">
        <v>3130</v>
      </c>
      <c r="H6" s="2954">
        <v>123.17</v>
      </c>
      <c r="I6" s="2954">
        <v>97.9</v>
      </c>
    </row>
    <row r="7" spans="1:9" ht="18.75" customHeight="1">
      <c r="A7" s="2953">
        <v>6</v>
      </c>
      <c r="B7" s="2954" t="s">
        <v>3122</v>
      </c>
      <c r="C7" s="2954" t="s">
        <v>3123</v>
      </c>
      <c r="D7" s="2954" t="s">
        <v>3124</v>
      </c>
      <c r="E7" s="2954" t="s">
        <v>3125</v>
      </c>
      <c r="F7" s="2955">
        <v>901</v>
      </c>
      <c r="G7" s="2954" t="s">
        <v>3131</v>
      </c>
      <c r="H7" s="2954">
        <v>108.66</v>
      </c>
      <c r="I7" s="2954">
        <v>86.37</v>
      </c>
    </row>
    <row r="8" spans="1:9" ht="18.75" customHeight="1">
      <c r="A8" s="2953">
        <v>7</v>
      </c>
      <c r="B8" s="2954" t="s">
        <v>3122</v>
      </c>
      <c r="C8" s="2954" t="s">
        <v>3123</v>
      </c>
      <c r="D8" s="2954" t="s">
        <v>3124</v>
      </c>
      <c r="E8" s="2954" t="s">
        <v>3125</v>
      </c>
      <c r="F8" s="2955">
        <v>1302</v>
      </c>
      <c r="G8" s="2954" t="s">
        <v>3132</v>
      </c>
      <c r="H8" s="2954">
        <v>96.87</v>
      </c>
      <c r="I8" s="2954">
        <v>77</v>
      </c>
    </row>
    <row r="9" spans="1:9" ht="18.75" customHeight="1">
      <c r="A9" s="2953">
        <v>8</v>
      </c>
      <c r="B9" s="2954" t="s">
        <v>3122</v>
      </c>
      <c r="C9" s="2954" t="s">
        <v>3123</v>
      </c>
      <c r="D9" s="2954" t="s">
        <v>3124</v>
      </c>
      <c r="E9" s="2954" t="s">
        <v>3125</v>
      </c>
      <c r="F9" s="2955">
        <v>1802</v>
      </c>
      <c r="G9" s="2954" t="s">
        <v>3133</v>
      </c>
      <c r="H9" s="2954">
        <v>96.87</v>
      </c>
      <c r="I9" s="2954">
        <v>77</v>
      </c>
    </row>
    <row r="10" spans="1:9" ht="18.75" customHeight="1">
      <c r="A10" s="2953">
        <v>9</v>
      </c>
      <c r="B10" s="2954" t="s">
        <v>3122</v>
      </c>
      <c r="C10" s="2954" t="s">
        <v>3123</v>
      </c>
      <c r="D10" s="2954" t="s">
        <v>3134</v>
      </c>
      <c r="E10" s="2954" t="s">
        <v>3125</v>
      </c>
      <c r="F10" s="2955">
        <v>502</v>
      </c>
      <c r="G10" s="2954" t="s">
        <v>3135</v>
      </c>
      <c r="H10" s="2954">
        <v>96.87</v>
      </c>
      <c r="I10" s="2954">
        <v>77</v>
      </c>
    </row>
    <row r="11" spans="1:9" ht="18.75" customHeight="1">
      <c r="A11" s="2953">
        <v>10</v>
      </c>
      <c r="B11" s="2954" t="s">
        <v>3122</v>
      </c>
      <c r="C11" s="2954" t="s">
        <v>3123</v>
      </c>
      <c r="D11" s="2954" t="s">
        <v>3134</v>
      </c>
      <c r="E11" s="2954" t="s">
        <v>3125</v>
      </c>
      <c r="F11" s="2955">
        <v>1802</v>
      </c>
      <c r="G11" s="2954" t="s">
        <v>3136</v>
      </c>
      <c r="H11" s="2954">
        <v>96.87</v>
      </c>
      <c r="I11" s="2954">
        <v>77</v>
      </c>
    </row>
    <row r="12" spans="1:9" ht="18.75" customHeight="1">
      <c r="A12" s="2953">
        <v>11</v>
      </c>
      <c r="B12" s="2954" t="s">
        <v>3122</v>
      </c>
      <c r="C12" s="2954" t="s">
        <v>3123</v>
      </c>
      <c r="D12" s="2954" t="s">
        <v>3137</v>
      </c>
      <c r="E12" s="2954" t="s">
        <v>3125</v>
      </c>
      <c r="F12" s="2955">
        <v>1102</v>
      </c>
      <c r="G12" s="2954" t="s">
        <v>3138</v>
      </c>
      <c r="H12" s="2954">
        <v>82.91</v>
      </c>
      <c r="I12" s="2954">
        <v>64.33</v>
      </c>
    </row>
    <row r="13" spans="1:9" s="2956" customFormat="1" ht="18.75" customHeight="1">
      <c r="A13" s="2953">
        <v>12</v>
      </c>
      <c r="B13" s="2954" t="s">
        <v>3122</v>
      </c>
      <c r="C13" s="2954" t="s">
        <v>3123</v>
      </c>
      <c r="D13" s="2954" t="s">
        <v>3139</v>
      </c>
      <c r="E13" s="2954" t="s">
        <v>3125</v>
      </c>
      <c r="F13" s="2955">
        <v>101</v>
      </c>
      <c r="G13" s="2954" t="s">
        <v>3140</v>
      </c>
      <c r="H13" s="2954">
        <v>107.22</v>
      </c>
      <c r="I13" s="2954">
        <v>84.24</v>
      </c>
    </row>
    <row r="14" spans="1:9" s="2956" customFormat="1" ht="18.75" customHeight="1">
      <c r="A14" s="2953">
        <v>13</v>
      </c>
      <c r="B14" s="2954" t="s">
        <v>3122</v>
      </c>
      <c r="C14" s="2954" t="s">
        <v>3123</v>
      </c>
      <c r="D14" s="2954" t="s">
        <v>3139</v>
      </c>
      <c r="E14" s="2954" t="s">
        <v>3125</v>
      </c>
      <c r="F14" s="2955">
        <v>102</v>
      </c>
      <c r="G14" s="2954" t="s">
        <v>3141</v>
      </c>
      <c r="H14" s="2954">
        <v>32.9</v>
      </c>
      <c r="I14" s="2954">
        <v>25.85</v>
      </c>
    </row>
    <row r="15" spans="1:9" s="2956" customFormat="1" ht="18.75" customHeight="1">
      <c r="A15" s="2953">
        <v>14</v>
      </c>
      <c r="B15" s="2954" t="s">
        <v>3122</v>
      </c>
      <c r="C15" s="2954" t="s">
        <v>3123</v>
      </c>
      <c r="D15" s="2954" t="s">
        <v>3139</v>
      </c>
      <c r="E15" s="2954" t="s">
        <v>3125</v>
      </c>
      <c r="F15" s="2955">
        <v>103</v>
      </c>
      <c r="G15" s="2954" t="s">
        <v>3142</v>
      </c>
      <c r="H15" s="2954">
        <v>35.92</v>
      </c>
      <c r="I15" s="2954">
        <v>28.22</v>
      </c>
    </row>
    <row r="16" spans="1:9" s="2956" customFormat="1" ht="18.75" customHeight="1">
      <c r="A16" s="2958">
        <v>15</v>
      </c>
      <c r="B16" s="2959" t="s">
        <v>3122</v>
      </c>
      <c r="C16" s="2959" t="s">
        <v>3123</v>
      </c>
      <c r="D16" s="2959" t="s">
        <v>3139</v>
      </c>
      <c r="E16" s="2959" t="s">
        <v>3125</v>
      </c>
      <c r="F16" s="2960">
        <v>104</v>
      </c>
      <c r="G16" s="2959" t="s">
        <v>3143</v>
      </c>
      <c r="H16" s="2959">
        <v>123.47</v>
      </c>
      <c r="I16" s="2959">
        <v>97.01</v>
      </c>
    </row>
    <row r="17" spans="1:9" ht="18.75" customHeight="1">
      <c r="A17" s="2958">
        <v>16</v>
      </c>
      <c r="B17" s="2959" t="s">
        <v>3122</v>
      </c>
      <c r="C17" s="2959" t="s">
        <v>3123</v>
      </c>
      <c r="D17" s="2959" t="s">
        <v>3139</v>
      </c>
      <c r="E17" s="2959" t="s">
        <v>3125</v>
      </c>
      <c r="F17" s="2960">
        <v>203</v>
      </c>
      <c r="G17" s="2959" t="s">
        <v>3144</v>
      </c>
      <c r="H17" s="2959">
        <v>124.61</v>
      </c>
      <c r="I17" s="2959">
        <v>97.9</v>
      </c>
    </row>
    <row r="18" spans="1:9" ht="18.75" customHeight="1">
      <c r="A18" s="2958">
        <v>17</v>
      </c>
      <c r="B18" s="2959" t="s">
        <v>3122</v>
      </c>
      <c r="C18" s="2959" t="s">
        <v>3123</v>
      </c>
      <c r="D18" s="2959" t="s">
        <v>3139</v>
      </c>
      <c r="E18" s="2959" t="s">
        <v>3125</v>
      </c>
      <c r="F18" s="2960">
        <v>802</v>
      </c>
      <c r="G18" s="2959" t="s">
        <v>3145</v>
      </c>
      <c r="H18" s="2959">
        <v>98.01</v>
      </c>
      <c r="I18" s="2959">
        <v>77</v>
      </c>
    </row>
    <row r="19" spans="1:9" ht="18.75" customHeight="1">
      <c r="A19" s="2958">
        <v>18</v>
      </c>
      <c r="B19" s="2959" t="s">
        <v>3122</v>
      </c>
      <c r="C19" s="2959" t="s">
        <v>3123</v>
      </c>
      <c r="D19" s="2959" t="s">
        <v>3139</v>
      </c>
      <c r="E19" s="2959" t="s">
        <v>3125</v>
      </c>
      <c r="F19" s="2960">
        <v>902</v>
      </c>
      <c r="G19" s="2959" t="s">
        <v>3146</v>
      </c>
      <c r="H19" s="2959">
        <v>98.01</v>
      </c>
      <c r="I19" s="2959">
        <v>77</v>
      </c>
    </row>
    <row r="20" spans="1:9" ht="18.75" customHeight="1">
      <c r="A20" s="2958">
        <v>19</v>
      </c>
      <c r="B20" s="2959" t="s">
        <v>3122</v>
      </c>
      <c r="C20" s="2959" t="s">
        <v>3123</v>
      </c>
      <c r="D20" s="2959" t="s">
        <v>3139</v>
      </c>
      <c r="E20" s="2959" t="s">
        <v>3125</v>
      </c>
      <c r="F20" s="2960">
        <v>1802</v>
      </c>
      <c r="G20" s="2959" t="s">
        <v>3147</v>
      </c>
      <c r="H20" s="2959">
        <v>98.01</v>
      </c>
      <c r="I20" s="2959">
        <v>77</v>
      </c>
    </row>
    <row r="21" spans="1:9" s="2956" customFormat="1" ht="18.75" customHeight="1">
      <c r="A21" s="2958">
        <v>20</v>
      </c>
      <c r="B21" s="2959" t="s">
        <v>3122</v>
      </c>
      <c r="C21" s="2959" t="s">
        <v>3123</v>
      </c>
      <c r="D21" s="2959" t="s">
        <v>3148</v>
      </c>
      <c r="E21" s="2959" t="s">
        <v>3125</v>
      </c>
      <c r="F21" s="2960">
        <v>102</v>
      </c>
      <c r="G21" s="2959" t="s">
        <v>3149</v>
      </c>
      <c r="H21" s="2959">
        <v>35.92</v>
      </c>
      <c r="I21" s="2959">
        <v>28.22</v>
      </c>
    </row>
    <row r="22" spans="1:9" s="2956" customFormat="1" ht="18.75" customHeight="1">
      <c r="A22" s="2958">
        <v>21</v>
      </c>
      <c r="B22" s="2959" t="s">
        <v>3122</v>
      </c>
      <c r="C22" s="2959" t="s">
        <v>3123</v>
      </c>
      <c r="D22" s="2959" t="s">
        <v>3148</v>
      </c>
      <c r="E22" s="2959" t="s">
        <v>3125</v>
      </c>
      <c r="F22" s="2960">
        <v>104</v>
      </c>
      <c r="G22" s="2959" t="s">
        <v>3150</v>
      </c>
      <c r="H22" s="2959">
        <v>107.22</v>
      </c>
      <c r="I22" s="2959">
        <v>84.24</v>
      </c>
    </row>
    <row r="23" spans="1:9" ht="18.75" customHeight="1">
      <c r="A23" s="2958">
        <v>22</v>
      </c>
      <c r="B23" s="2959" t="s">
        <v>3122</v>
      </c>
      <c r="C23" s="2959" t="s">
        <v>3123</v>
      </c>
      <c r="D23" s="2959" t="s">
        <v>3151</v>
      </c>
      <c r="E23" s="2959" t="s">
        <v>3125</v>
      </c>
      <c r="F23" s="2960">
        <v>1601</v>
      </c>
      <c r="G23" s="2959" t="s">
        <v>3152</v>
      </c>
      <c r="H23" s="2959">
        <v>102.15</v>
      </c>
      <c r="I23" s="2959">
        <v>80.959999999999994</v>
      </c>
    </row>
    <row r="24" spans="1:9" ht="18.75" customHeight="1">
      <c r="A24" s="2958">
        <v>23</v>
      </c>
      <c r="B24" s="2959" t="s">
        <v>3122</v>
      </c>
      <c r="C24" s="2959" t="s">
        <v>3123</v>
      </c>
      <c r="D24" s="2959" t="s">
        <v>3151</v>
      </c>
      <c r="E24" s="2959" t="s">
        <v>3125</v>
      </c>
      <c r="F24" s="2960">
        <v>1602</v>
      </c>
      <c r="G24" s="2959" t="s">
        <v>3153</v>
      </c>
      <c r="H24" s="2959">
        <v>77.28</v>
      </c>
      <c r="I24" s="2959">
        <v>61.25</v>
      </c>
    </row>
    <row r="25" spans="1:9" ht="18.75" customHeight="1">
      <c r="A25" s="2958">
        <v>24</v>
      </c>
      <c r="B25" s="2959" t="s">
        <v>3122</v>
      </c>
      <c r="C25" s="2959" t="s">
        <v>3123</v>
      </c>
      <c r="D25" s="2959" t="s">
        <v>3151</v>
      </c>
      <c r="E25" s="2959" t="s">
        <v>3125</v>
      </c>
      <c r="F25" s="2960">
        <v>1603</v>
      </c>
      <c r="G25" s="2959" t="s">
        <v>3154</v>
      </c>
      <c r="H25" s="2959">
        <v>77.28</v>
      </c>
      <c r="I25" s="2959">
        <v>61.25</v>
      </c>
    </row>
    <row r="26" spans="1:9" ht="18.75" customHeight="1">
      <c r="A26" s="2958">
        <v>25</v>
      </c>
      <c r="B26" s="2959" t="s">
        <v>3122</v>
      </c>
      <c r="C26" s="2959" t="s">
        <v>3123</v>
      </c>
      <c r="D26" s="2959" t="s">
        <v>3151</v>
      </c>
      <c r="E26" s="2959" t="s">
        <v>3125</v>
      </c>
      <c r="F26" s="2960">
        <v>1604</v>
      </c>
      <c r="G26" s="2959" t="s">
        <v>3155</v>
      </c>
      <c r="H26" s="2959">
        <v>101.65</v>
      </c>
      <c r="I26" s="2959">
        <v>80.56</v>
      </c>
    </row>
    <row r="27" spans="1:9" ht="18.75" customHeight="1">
      <c r="A27" s="2958">
        <v>26</v>
      </c>
      <c r="B27" s="2959" t="s">
        <v>3122</v>
      </c>
      <c r="C27" s="2959" t="s">
        <v>3123</v>
      </c>
      <c r="D27" s="2959" t="s">
        <v>3151</v>
      </c>
      <c r="E27" s="2959" t="s">
        <v>3125</v>
      </c>
      <c r="F27" s="2960">
        <v>1701</v>
      </c>
      <c r="G27" s="2959" t="s">
        <v>3156</v>
      </c>
      <c r="H27" s="2959">
        <v>102.15</v>
      </c>
      <c r="I27" s="2959">
        <v>80.959999999999994</v>
      </c>
    </row>
    <row r="28" spans="1:9" s="2956" customFormat="1" ht="18.75" customHeight="1">
      <c r="A28" s="2958">
        <v>27</v>
      </c>
      <c r="B28" s="2959" t="s">
        <v>3122</v>
      </c>
      <c r="C28" s="2959" t="s">
        <v>3123</v>
      </c>
      <c r="D28" s="2959" t="s">
        <v>3157</v>
      </c>
      <c r="E28" s="2959" t="s">
        <v>3125</v>
      </c>
      <c r="F28" s="2960">
        <v>101</v>
      </c>
      <c r="G28" s="2959" t="s">
        <v>3158</v>
      </c>
      <c r="H28" s="2959">
        <v>79.09</v>
      </c>
      <c r="I28" s="2959">
        <v>62.15</v>
      </c>
    </row>
    <row r="29" spans="1:9" s="2956" customFormat="1" ht="18.75" customHeight="1">
      <c r="A29" s="2958">
        <v>28</v>
      </c>
      <c r="B29" s="2959" t="s">
        <v>3122</v>
      </c>
      <c r="C29" s="2959" t="s">
        <v>3123</v>
      </c>
      <c r="D29" s="2959" t="s">
        <v>3157</v>
      </c>
      <c r="E29" s="2959" t="s">
        <v>3125</v>
      </c>
      <c r="F29" s="2960">
        <v>102</v>
      </c>
      <c r="G29" s="2959" t="s">
        <v>3159</v>
      </c>
      <c r="H29" s="2959">
        <v>81.27</v>
      </c>
      <c r="I29" s="2959">
        <v>63.86</v>
      </c>
    </row>
    <row r="30" spans="1:9" s="2956" customFormat="1" ht="18.75" customHeight="1">
      <c r="A30" s="2958">
        <v>29</v>
      </c>
      <c r="B30" s="2959" t="s">
        <v>3122</v>
      </c>
      <c r="C30" s="2959" t="s">
        <v>3123</v>
      </c>
      <c r="D30" s="2959" t="s">
        <v>3157</v>
      </c>
      <c r="E30" s="2959" t="s">
        <v>3125</v>
      </c>
      <c r="F30" s="2960">
        <v>103</v>
      </c>
      <c r="G30" s="2959" t="s">
        <v>3160</v>
      </c>
      <c r="H30" s="2959">
        <v>110.24</v>
      </c>
      <c r="I30" s="2959">
        <v>86.62</v>
      </c>
    </row>
    <row r="31" spans="1:9" ht="18.75" customHeight="1">
      <c r="A31" s="2958">
        <v>30</v>
      </c>
      <c r="B31" s="2959" t="s">
        <v>3122</v>
      </c>
      <c r="C31" s="2959" t="s">
        <v>3123</v>
      </c>
      <c r="D31" s="2959" t="s">
        <v>3157</v>
      </c>
      <c r="E31" s="2959" t="s">
        <v>3125</v>
      </c>
      <c r="F31" s="2960">
        <v>502</v>
      </c>
      <c r="G31" s="2959" t="s">
        <v>3161</v>
      </c>
      <c r="H31" s="2959">
        <v>81.87</v>
      </c>
      <c r="I31" s="2959">
        <v>64.33</v>
      </c>
    </row>
    <row r="32" spans="1:9" s="2956" customFormat="1" ht="18.75" customHeight="1">
      <c r="A32" s="2958">
        <v>31</v>
      </c>
      <c r="B32" s="2959" t="s">
        <v>3122</v>
      </c>
      <c r="C32" s="2959" t="s">
        <v>3123</v>
      </c>
      <c r="D32" s="2959" t="s">
        <v>3162</v>
      </c>
      <c r="E32" s="2959" t="s">
        <v>3125</v>
      </c>
      <c r="F32" s="2960">
        <v>101</v>
      </c>
      <c r="G32" s="2959" t="s">
        <v>3163</v>
      </c>
      <c r="H32" s="2959">
        <v>110.24</v>
      </c>
      <c r="I32" s="2959">
        <v>86.62</v>
      </c>
    </row>
    <row r="33" spans="1:9" s="2956" customFormat="1" ht="18.75" customHeight="1">
      <c r="A33" s="2958">
        <v>32</v>
      </c>
      <c r="B33" s="2959" t="s">
        <v>3122</v>
      </c>
      <c r="C33" s="2959" t="s">
        <v>3123</v>
      </c>
      <c r="D33" s="2959" t="s">
        <v>3162</v>
      </c>
      <c r="E33" s="2959" t="s">
        <v>3125</v>
      </c>
      <c r="F33" s="2960">
        <v>102</v>
      </c>
      <c r="G33" s="2959" t="s">
        <v>3164</v>
      </c>
      <c r="H33" s="2959">
        <v>81.27</v>
      </c>
      <c r="I33" s="2959">
        <v>63.86</v>
      </c>
    </row>
    <row r="34" spans="1:9" s="2956" customFormat="1" ht="18.75" customHeight="1">
      <c r="A34" s="2958">
        <v>33</v>
      </c>
      <c r="B34" s="2959" t="s">
        <v>3122</v>
      </c>
      <c r="C34" s="2959" t="s">
        <v>3123</v>
      </c>
      <c r="D34" s="2959" t="s">
        <v>3162</v>
      </c>
      <c r="E34" s="2959" t="s">
        <v>3125</v>
      </c>
      <c r="F34" s="2960">
        <v>103</v>
      </c>
      <c r="G34" s="2959" t="s">
        <v>3165</v>
      </c>
      <c r="H34" s="2959">
        <v>79.09</v>
      </c>
      <c r="I34" s="2959">
        <v>62.15</v>
      </c>
    </row>
    <row r="35" spans="1:9" ht="18.75" customHeight="1">
      <c r="A35" s="2958">
        <v>34</v>
      </c>
      <c r="B35" s="2959" t="s">
        <v>3122</v>
      </c>
      <c r="C35" s="2959" t="s">
        <v>3123</v>
      </c>
      <c r="D35" s="2959" t="s">
        <v>3162</v>
      </c>
      <c r="E35" s="2959" t="s">
        <v>3125</v>
      </c>
      <c r="F35" s="2960">
        <v>602</v>
      </c>
      <c r="G35" s="2959" t="s">
        <v>3166</v>
      </c>
      <c r="H35" s="2959">
        <v>81.87</v>
      </c>
      <c r="I35" s="2959">
        <v>64.33</v>
      </c>
    </row>
    <row r="36" spans="1:9" ht="18.75" customHeight="1">
      <c r="A36" s="2958">
        <v>35</v>
      </c>
      <c r="B36" s="2959" t="s">
        <v>3122</v>
      </c>
      <c r="C36" s="2959" t="s">
        <v>3123</v>
      </c>
      <c r="D36" s="2959" t="s">
        <v>3162</v>
      </c>
      <c r="E36" s="2959" t="s">
        <v>3125</v>
      </c>
      <c r="F36" s="2960">
        <v>1002</v>
      </c>
      <c r="G36" s="2959" t="s">
        <v>3167</v>
      </c>
      <c r="H36" s="2959">
        <v>81.87</v>
      </c>
      <c r="I36" s="2959">
        <v>64.33</v>
      </c>
    </row>
    <row r="37" spans="1:9" ht="18.75" customHeight="1">
      <c r="A37" s="2958">
        <v>36</v>
      </c>
      <c r="B37" s="2959" t="s">
        <v>3122</v>
      </c>
      <c r="C37" s="2959" t="s">
        <v>3123</v>
      </c>
      <c r="D37" s="2959" t="s">
        <v>3162</v>
      </c>
      <c r="E37" s="2959" t="s">
        <v>3125</v>
      </c>
      <c r="F37" s="2960">
        <v>1102</v>
      </c>
      <c r="G37" s="2959" t="s">
        <v>3168</v>
      </c>
      <c r="H37" s="2959">
        <v>81.87</v>
      </c>
      <c r="I37" s="2959">
        <v>64.33</v>
      </c>
    </row>
    <row r="38" spans="1:9" ht="18.75" customHeight="1">
      <c r="A38" s="2958">
        <v>37</v>
      </c>
      <c r="B38" s="2959" t="s">
        <v>3122</v>
      </c>
      <c r="C38" s="2959" t="s">
        <v>3123</v>
      </c>
      <c r="D38" s="2959" t="s">
        <v>3162</v>
      </c>
      <c r="E38" s="2959" t="s">
        <v>3125</v>
      </c>
      <c r="F38" s="2960">
        <v>1202</v>
      </c>
      <c r="G38" s="2959" t="s">
        <v>3169</v>
      </c>
      <c r="H38" s="2959">
        <v>81.87</v>
      </c>
      <c r="I38" s="2959">
        <v>64.33</v>
      </c>
    </row>
    <row r="39" spans="1:9" ht="18.75" customHeight="1">
      <c r="A39" s="2958">
        <v>38</v>
      </c>
      <c r="B39" s="2959" t="s">
        <v>3122</v>
      </c>
      <c r="C39" s="2959" t="s">
        <v>3123</v>
      </c>
      <c r="D39" s="2959" t="s">
        <v>3162</v>
      </c>
      <c r="E39" s="2959" t="s">
        <v>3125</v>
      </c>
      <c r="F39" s="2960">
        <v>1402</v>
      </c>
      <c r="G39" s="2959" t="s">
        <v>3170</v>
      </c>
      <c r="H39" s="2959">
        <v>81.87</v>
      </c>
      <c r="I39" s="2959">
        <v>64.33</v>
      </c>
    </row>
    <row r="40" spans="1:9" ht="18.75" customHeight="1">
      <c r="A40" s="2958">
        <v>39</v>
      </c>
      <c r="B40" s="2959" t="s">
        <v>3122</v>
      </c>
      <c r="C40" s="2959" t="s">
        <v>3123</v>
      </c>
      <c r="D40" s="2959" t="s">
        <v>3162</v>
      </c>
      <c r="E40" s="2959" t="s">
        <v>3125</v>
      </c>
      <c r="F40" s="2960">
        <v>1602</v>
      </c>
      <c r="G40" s="2959" t="s">
        <v>3171</v>
      </c>
      <c r="H40" s="2959">
        <v>81.87</v>
      </c>
      <c r="I40" s="2959">
        <v>64.33</v>
      </c>
    </row>
    <row r="41" spans="1:9" ht="18.75" customHeight="1">
      <c r="A41" s="2958">
        <v>40</v>
      </c>
      <c r="B41" s="2959" t="s">
        <v>3122</v>
      </c>
      <c r="C41" s="2959" t="s">
        <v>3123</v>
      </c>
      <c r="D41" s="2959" t="s">
        <v>3162</v>
      </c>
      <c r="E41" s="2959" t="s">
        <v>3125</v>
      </c>
      <c r="F41" s="2960">
        <v>1801</v>
      </c>
      <c r="G41" s="2959" t="s">
        <v>3172</v>
      </c>
      <c r="H41" s="2959">
        <v>111.27</v>
      </c>
      <c r="I41" s="2959">
        <v>87.43</v>
      </c>
    </row>
    <row r="42" spans="1:9" ht="18.75" customHeight="1">
      <c r="A42" s="2958">
        <v>41</v>
      </c>
      <c r="B42" s="2959" t="s">
        <v>3122</v>
      </c>
      <c r="C42" s="2959" t="s">
        <v>3173</v>
      </c>
      <c r="D42" s="2959" t="s">
        <v>3174</v>
      </c>
      <c r="E42" s="2959" t="s">
        <v>3125</v>
      </c>
      <c r="F42" s="2960">
        <v>101</v>
      </c>
      <c r="G42" s="2959" t="s">
        <v>3175</v>
      </c>
      <c r="H42" s="2959">
        <v>47.58</v>
      </c>
      <c r="I42" s="2959">
        <v>37.130000000000003</v>
      </c>
    </row>
    <row r="43" spans="1:9" ht="18.75" customHeight="1">
      <c r="A43" s="2958">
        <v>42</v>
      </c>
      <c r="B43" s="2959" t="s">
        <v>3122</v>
      </c>
      <c r="C43" s="2959" t="s">
        <v>3173</v>
      </c>
      <c r="D43" s="2959" t="s">
        <v>3174</v>
      </c>
      <c r="E43" s="2959" t="s">
        <v>3125</v>
      </c>
      <c r="F43" s="2960">
        <v>102</v>
      </c>
      <c r="G43" s="2959" t="s">
        <v>3176</v>
      </c>
      <c r="H43" s="2959">
        <v>46.98</v>
      </c>
      <c r="I43" s="2959">
        <v>36.659999999999997</v>
      </c>
    </row>
    <row r="44" spans="1:9" ht="18.75" customHeight="1">
      <c r="A44" s="2958">
        <v>43</v>
      </c>
      <c r="B44" s="2959" t="s">
        <v>3122</v>
      </c>
      <c r="C44" s="2959" t="s">
        <v>3173</v>
      </c>
      <c r="D44" s="2959" t="s">
        <v>3174</v>
      </c>
      <c r="E44" s="2959" t="s">
        <v>3125</v>
      </c>
      <c r="F44" s="2960">
        <v>103</v>
      </c>
      <c r="G44" s="2959" t="s">
        <v>3177</v>
      </c>
      <c r="H44" s="2959">
        <v>46.98</v>
      </c>
      <c r="I44" s="2959">
        <v>36.659999999999997</v>
      </c>
    </row>
    <row r="45" spans="1:9" ht="18.75" customHeight="1">
      <c r="A45" s="2958">
        <v>44</v>
      </c>
      <c r="B45" s="2959" t="s">
        <v>3122</v>
      </c>
      <c r="C45" s="2959" t="s">
        <v>3173</v>
      </c>
      <c r="D45" s="2959" t="s">
        <v>3174</v>
      </c>
      <c r="E45" s="2959" t="s">
        <v>3125</v>
      </c>
      <c r="F45" s="2960">
        <v>104</v>
      </c>
      <c r="G45" s="2959" t="s">
        <v>3178</v>
      </c>
      <c r="H45" s="2959">
        <v>46.98</v>
      </c>
      <c r="I45" s="2959">
        <v>36.659999999999997</v>
      </c>
    </row>
    <row r="46" spans="1:9" ht="18.75" customHeight="1">
      <c r="A46" s="2958">
        <v>45</v>
      </c>
      <c r="B46" s="2959" t="s">
        <v>3122</v>
      </c>
      <c r="C46" s="2959" t="s">
        <v>3173</v>
      </c>
      <c r="D46" s="2959" t="s">
        <v>3174</v>
      </c>
      <c r="E46" s="2959" t="s">
        <v>3125</v>
      </c>
      <c r="F46" s="2960">
        <v>105</v>
      </c>
      <c r="G46" s="2959" t="s">
        <v>3179</v>
      </c>
      <c r="H46" s="2959">
        <v>46.98</v>
      </c>
      <c r="I46" s="2959">
        <v>36.659999999999997</v>
      </c>
    </row>
    <row r="47" spans="1:9" ht="18.75" customHeight="1">
      <c r="A47" s="2958">
        <v>46</v>
      </c>
      <c r="B47" s="2959" t="s">
        <v>3122</v>
      </c>
      <c r="C47" s="2959" t="s">
        <v>3173</v>
      </c>
      <c r="D47" s="2959" t="s">
        <v>3174</v>
      </c>
      <c r="E47" s="2959" t="s">
        <v>3125</v>
      </c>
      <c r="F47" s="2960">
        <v>106</v>
      </c>
      <c r="G47" s="2959" t="s">
        <v>3180</v>
      </c>
      <c r="H47" s="2959">
        <v>46.98</v>
      </c>
      <c r="I47" s="2959">
        <v>36.659999999999997</v>
      </c>
    </row>
    <row r="48" spans="1:9" ht="18.75" customHeight="1">
      <c r="A48" s="2958">
        <v>47</v>
      </c>
      <c r="B48" s="2959" t="s">
        <v>3122</v>
      </c>
      <c r="C48" s="2959" t="s">
        <v>3173</v>
      </c>
      <c r="D48" s="2959" t="s">
        <v>3174</v>
      </c>
      <c r="E48" s="2959" t="s">
        <v>3125</v>
      </c>
      <c r="F48" s="2960">
        <v>107</v>
      </c>
      <c r="G48" s="2959" t="s">
        <v>3181</v>
      </c>
      <c r="H48" s="2959">
        <v>46.98</v>
      </c>
      <c r="I48" s="2959">
        <v>36.659999999999997</v>
      </c>
    </row>
    <row r="49" spans="1:9" ht="18.75" customHeight="1">
      <c r="A49" s="2958">
        <v>48</v>
      </c>
      <c r="B49" s="2959" t="s">
        <v>3122</v>
      </c>
      <c r="C49" s="2959" t="s">
        <v>3173</v>
      </c>
      <c r="D49" s="2959" t="s">
        <v>3174</v>
      </c>
      <c r="E49" s="2959" t="s">
        <v>3125</v>
      </c>
      <c r="F49" s="2960">
        <v>108</v>
      </c>
      <c r="G49" s="2959" t="s">
        <v>3182</v>
      </c>
      <c r="H49" s="2959">
        <v>46.98</v>
      </c>
      <c r="I49" s="2959">
        <v>36.659999999999997</v>
      </c>
    </row>
    <row r="50" spans="1:9" ht="18.75" customHeight="1">
      <c r="A50" s="2958">
        <v>49</v>
      </c>
      <c r="B50" s="2959" t="s">
        <v>3122</v>
      </c>
      <c r="C50" s="2959" t="s">
        <v>3173</v>
      </c>
      <c r="D50" s="2959" t="s">
        <v>3174</v>
      </c>
      <c r="E50" s="2959" t="s">
        <v>3125</v>
      </c>
      <c r="F50" s="2960">
        <v>109</v>
      </c>
      <c r="G50" s="2959" t="s">
        <v>3183</v>
      </c>
      <c r="H50" s="2959">
        <v>46.98</v>
      </c>
      <c r="I50" s="2959">
        <v>36.659999999999997</v>
      </c>
    </row>
    <row r="51" spans="1:9" ht="18.75" customHeight="1">
      <c r="A51" s="2958">
        <v>50</v>
      </c>
      <c r="B51" s="2959" t="s">
        <v>3122</v>
      </c>
      <c r="C51" s="2959" t="s">
        <v>3173</v>
      </c>
      <c r="D51" s="2959" t="s">
        <v>3174</v>
      </c>
      <c r="E51" s="2959" t="s">
        <v>3125</v>
      </c>
      <c r="F51" s="2960">
        <v>110</v>
      </c>
      <c r="G51" s="2959" t="s">
        <v>3184</v>
      </c>
      <c r="H51" s="2959">
        <v>46.98</v>
      </c>
      <c r="I51" s="2959">
        <v>36.659999999999997</v>
      </c>
    </row>
    <row r="52" spans="1:9" ht="18.75" customHeight="1">
      <c r="A52" s="2958">
        <v>51</v>
      </c>
      <c r="B52" s="2959" t="s">
        <v>3122</v>
      </c>
      <c r="C52" s="2959" t="s">
        <v>3173</v>
      </c>
      <c r="D52" s="2959" t="s">
        <v>3174</v>
      </c>
      <c r="E52" s="2959" t="s">
        <v>3125</v>
      </c>
      <c r="F52" s="2960">
        <v>111</v>
      </c>
      <c r="G52" s="2959" t="s">
        <v>3185</v>
      </c>
      <c r="H52" s="2959">
        <v>46.98</v>
      </c>
      <c r="I52" s="2959">
        <v>36.659999999999997</v>
      </c>
    </row>
    <row r="53" spans="1:9" ht="18.75" customHeight="1">
      <c r="A53" s="2958">
        <v>52</v>
      </c>
      <c r="B53" s="2959" t="s">
        <v>3122</v>
      </c>
      <c r="C53" s="2959" t="s">
        <v>3173</v>
      </c>
      <c r="D53" s="2959" t="s">
        <v>3174</v>
      </c>
      <c r="E53" s="2959" t="s">
        <v>3125</v>
      </c>
      <c r="F53" s="2960">
        <v>112</v>
      </c>
      <c r="G53" s="2959" t="s">
        <v>3186</v>
      </c>
      <c r="H53" s="2959">
        <v>47.58</v>
      </c>
      <c r="I53" s="2959">
        <v>37.130000000000003</v>
      </c>
    </row>
    <row r="54" spans="1:9" ht="18.75" customHeight="1">
      <c r="A54" s="2958">
        <v>53</v>
      </c>
      <c r="B54" s="2959" t="s">
        <v>3122</v>
      </c>
      <c r="C54" s="2959" t="s">
        <v>3173</v>
      </c>
      <c r="D54" s="2959" t="s">
        <v>3174</v>
      </c>
      <c r="E54" s="2959" t="s">
        <v>3125</v>
      </c>
      <c r="F54" s="2960">
        <v>113</v>
      </c>
      <c r="G54" s="2959" t="s">
        <v>3187</v>
      </c>
      <c r="H54" s="2959">
        <v>31.2</v>
      </c>
      <c r="I54" s="2959">
        <v>24.35</v>
      </c>
    </row>
    <row r="55" spans="1:9" ht="18.75" customHeight="1">
      <c r="A55" s="2958">
        <v>54</v>
      </c>
      <c r="B55" s="2959" t="s">
        <v>3122</v>
      </c>
      <c r="C55" s="2959" t="s">
        <v>3173</v>
      </c>
      <c r="D55" s="2959" t="s">
        <v>3174</v>
      </c>
      <c r="E55" s="2959" t="s">
        <v>3125</v>
      </c>
      <c r="F55" s="2960">
        <v>114</v>
      </c>
      <c r="G55" s="2959" t="s">
        <v>3188</v>
      </c>
      <c r="H55" s="2959">
        <v>31.61</v>
      </c>
      <c r="I55" s="2959">
        <v>24.67</v>
      </c>
    </row>
    <row r="56" spans="1:9" ht="18.75" customHeight="1">
      <c r="A56" s="2958">
        <v>55</v>
      </c>
      <c r="B56" s="2959" t="s">
        <v>3122</v>
      </c>
      <c r="C56" s="2959" t="s">
        <v>3173</v>
      </c>
      <c r="D56" s="2959" t="s">
        <v>3174</v>
      </c>
      <c r="E56" s="2959" t="s">
        <v>3125</v>
      </c>
      <c r="F56" s="2960">
        <v>115</v>
      </c>
      <c r="G56" s="2959" t="s">
        <v>3189</v>
      </c>
      <c r="H56" s="2959">
        <v>31.61</v>
      </c>
      <c r="I56" s="2959">
        <v>24.67</v>
      </c>
    </row>
    <row r="57" spans="1:9" ht="18.75" customHeight="1">
      <c r="A57" s="2958">
        <v>56</v>
      </c>
      <c r="B57" s="2959" t="s">
        <v>3122</v>
      </c>
      <c r="C57" s="2959" t="s">
        <v>3173</v>
      </c>
      <c r="D57" s="2959" t="s">
        <v>3174</v>
      </c>
      <c r="E57" s="2959" t="s">
        <v>3125</v>
      </c>
      <c r="F57" s="2960">
        <v>116</v>
      </c>
      <c r="G57" s="2959" t="s">
        <v>3190</v>
      </c>
      <c r="H57" s="2959">
        <v>31.82</v>
      </c>
      <c r="I57" s="2959">
        <v>24.83</v>
      </c>
    </row>
    <row r="58" spans="1:9" ht="18.75" customHeight="1">
      <c r="A58" s="2958">
        <v>57</v>
      </c>
      <c r="B58" s="2959" t="s">
        <v>3122</v>
      </c>
      <c r="C58" s="2959" t="s">
        <v>3173</v>
      </c>
      <c r="D58" s="2959" t="s">
        <v>3174</v>
      </c>
      <c r="E58" s="2959" t="s">
        <v>3125</v>
      </c>
      <c r="F58" s="2960">
        <v>117</v>
      </c>
      <c r="G58" s="2959" t="s">
        <v>3191</v>
      </c>
      <c r="H58" s="2959">
        <v>31.41</v>
      </c>
      <c r="I58" s="2959">
        <v>24.51</v>
      </c>
    </row>
    <row r="59" spans="1:9" ht="18.75" customHeight="1">
      <c r="A59" s="2958">
        <v>58</v>
      </c>
      <c r="B59" s="2959" t="s">
        <v>3122</v>
      </c>
      <c r="C59" s="2959" t="s">
        <v>3173</v>
      </c>
      <c r="D59" s="2959" t="s">
        <v>3174</v>
      </c>
      <c r="E59" s="2959" t="s">
        <v>3125</v>
      </c>
      <c r="F59" s="2960">
        <v>118</v>
      </c>
      <c r="G59" s="2959" t="s">
        <v>3192</v>
      </c>
      <c r="H59" s="2959">
        <v>31.61</v>
      </c>
      <c r="I59" s="2959">
        <v>24.67</v>
      </c>
    </row>
    <row r="60" spans="1:9" ht="18.75" customHeight="1">
      <c r="A60" s="2958">
        <v>59</v>
      </c>
      <c r="B60" s="2959" t="s">
        <v>3122</v>
      </c>
      <c r="C60" s="2959" t="s">
        <v>3173</v>
      </c>
      <c r="D60" s="2959" t="s">
        <v>3174</v>
      </c>
      <c r="E60" s="2959" t="s">
        <v>3125</v>
      </c>
      <c r="F60" s="2960">
        <v>119</v>
      </c>
      <c r="G60" s="2959" t="s">
        <v>3193</v>
      </c>
      <c r="H60" s="2959">
        <v>31.61</v>
      </c>
      <c r="I60" s="2959">
        <v>24.67</v>
      </c>
    </row>
    <row r="61" spans="1:9" ht="18.75" customHeight="1">
      <c r="A61" s="2958">
        <v>60</v>
      </c>
      <c r="B61" s="2959" t="s">
        <v>3122</v>
      </c>
      <c r="C61" s="2959" t="s">
        <v>3173</v>
      </c>
      <c r="D61" s="2959" t="s">
        <v>3174</v>
      </c>
      <c r="E61" s="2959" t="s">
        <v>3125</v>
      </c>
      <c r="F61" s="2960">
        <v>120</v>
      </c>
      <c r="G61" s="2959" t="s">
        <v>3194</v>
      </c>
      <c r="H61" s="2959">
        <v>31.82</v>
      </c>
      <c r="I61" s="2959">
        <v>24.83</v>
      </c>
    </row>
    <row r="62" spans="1:9" ht="18.75" customHeight="1">
      <c r="A62" s="2958">
        <v>61</v>
      </c>
      <c r="B62" s="2959" t="s">
        <v>3122</v>
      </c>
      <c r="C62" s="2959" t="s">
        <v>3173</v>
      </c>
      <c r="D62" s="2959" t="s">
        <v>3174</v>
      </c>
      <c r="E62" s="2959" t="s">
        <v>3125</v>
      </c>
      <c r="F62" s="2960">
        <v>121</v>
      </c>
      <c r="G62" s="2959" t="s">
        <v>3195</v>
      </c>
      <c r="H62" s="2959">
        <v>31.41</v>
      </c>
      <c r="I62" s="2959">
        <v>24.51</v>
      </c>
    </row>
    <row r="63" spans="1:9" ht="18.75" customHeight="1">
      <c r="A63" s="2958">
        <v>62</v>
      </c>
      <c r="B63" s="2959" t="s">
        <v>3122</v>
      </c>
      <c r="C63" s="2959" t="s">
        <v>3173</v>
      </c>
      <c r="D63" s="2959" t="s">
        <v>3174</v>
      </c>
      <c r="E63" s="2959" t="s">
        <v>3125</v>
      </c>
      <c r="F63" s="2960">
        <v>218</v>
      </c>
      <c r="G63" s="2959" t="s">
        <v>3196</v>
      </c>
      <c r="H63" s="2959">
        <v>31.61</v>
      </c>
      <c r="I63" s="2959">
        <v>24.67</v>
      </c>
    </row>
    <row r="64" spans="1:9" ht="18.75" customHeight="1">
      <c r="A64" s="2958">
        <v>63</v>
      </c>
      <c r="B64" s="2959" t="s">
        <v>3122</v>
      </c>
      <c r="C64" s="2959" t="s">
        <v>3173</v>
      </c>
      <c r="D64" s="2959" t="s">
        <v>3174</v>
      </c>
      <c r="E64" s="2959" t="s">
        <v>3125</v>
      </c>
      <c r="F64" s="2960">
        <v>913</v>
      </c>
      <c r="G64" s="2959" t="s">
        <v>3197</v>
      </c>
      <c r="H64" s="2959">
        <v>31.41</v>
      </c>
      <c r="I64" s="2959">
        <v>24.51</v>
      </c>
    </row>
    <row r="65" spans="1:9" ht="18.75" customHeight="1">
      <c r="A65" s="2958">
        <v>64</v>
      </c>
      <c r="B65" s="2959" t="s">
        <v>3122</v>
      </c>
      <c r="C65" s="2959" t="s">
        <v>3173</v>
      </c>
      <c r="D65" s="2959" t="s">
        <v>3174</v>
      </c>
      <c r="E65" s="2959" t="s">
        <v>3125</v>
      </c>
      <c r="F65" s="2960">
        <v>1503</v>
      </c>
      <c r="G65" s="2959" t="s">
        <v>3198</v>
      </c>
      <c r="H65" s="2959">
        <v>46.98</v>
      </c>
      <c r="I65" s="2959">
        <v>36.659999999999997</v>
      </c>
    </row>
    <row r="66" spans="1:9" ht="18.75" customHeight="1">
      <c r="A66" s="2958">
        <v>65</v>
      </c>
      <c r="B66" s="2959" t="s">
        <v>3122</v>
      </c>
      <c r="C66" s="2959" t="s">
        <v>3173</v>
      </c>
      <c r="D66" s="2959" t="s">
        <v>3174</v>
      </c>
      <c r="E66" s="2959" t="s">
        <v>3125</v>
      </c>
      <c r="F66" s="2960">
        <v>1518</v>
      </c>
      <c r="G66" s="2959" t="s">
        <v>3199</v>
      </c>
      <c r="H66" s="2959">
        <v>31.61</v>
      </c>
      <c r="I66" s="2959">
        <v>24.67</v>
      </c>
    </row>
    <row r="67" spans="1:9" ht="18.75" customHeight="1">
      <c r="A67" s="2958">
        <v>66</v>
      </c>
      <c r="B67" s="2959" t="s">
        <v>3122</v>
      </c>
      <c r="C67" s="2959" t="s">
        <v>3173</v>
      </c>
      <c r="D67" s="2959" t="s">
        <v>3200</v>
      </c>
      <c r="E67" s="2959" t="s">
        <v>3125</v>
      </c>
      <c r="F67" s="2960">
        <v>103</v>
      </c>
      <c r="G67" s="2959" t="s">
        <v>3201</v>
      </c>
      <c r="H67" s="2959">
        <v>47.25</v>
      </c>
      <c r="I67" s="2959">
        <v>36.659999999999997</v>
      </c>
    </row>
    <row r="68" spans="1:9" ht="18.75" customHeight="1">
      <c r="A68" s="2958">
        <v>67</v>
      </c>
      <c r="B68" s="2959" t="s">
        <v>3122</v>
      </c>
      <c r="C68" s="2959" t="s">
        <v>3173</v>
      </c>
      <c r="D68" s="2959" t="s">
        <v>3200</v>
      </c>
      <c r="E68" s="2959" t="s">
        <v>3125</v>
      </c>
      <c r="F68" s="2960">
        <v>104</v>
      </c>
      <c r="G68" s="2959" t="s">
        <v>3202</v>
      </c>
      <c r="H68" s="2959">
        <v>47.25</v>
      </c>
      <c r="I68" s="2959">
        <v>36.659999999999997</v>
      </c>
    </row>
    <row r="69" spans="1:9" ht="18.75" customHeight="1">
      <c r="A69" s="2958">
        <v>68</v>
      </c>
      <c r="B69" s="2959" t="s">
        <v>3122</v>
      </c>
      <c r="C69" s="2959" t="s">
        <v>3173</v>
      </c>
      <c r="D69" s="2959" t="s">
        <v>3200</v>
      </c>
      <c r="E69" s="2959" t="s">
        <v>3125</v>
      </c>
      <c r="F69" s="2960">
        <v>105</v>
      </c>
      <c r="G69" s="2959" t="s">
        <v>3203</v>
      </c>
      <c r="H69" s="2959">
        <v>47.25</v>
      </c>
      <c r="I69" s="2959">
        <v>36.659999999999997</v>
      </c>
    </row>
    <row r="70" spans="1:9" ht="18.75" customHeight="1">
      <c r="A70" s="2958">
        <v>69</v>
      </c>
      <c r="B70" s="2959" t="s">
        <v>3122</v>
      </c>
      <c r="C70" s="2959" t="s">
        <v>3173</v>
      </c>
      <c r="D70" s="2959" t="s">
        <v>3200</v>
      </c>
      <c r="E70" s="2959" t="s">
        <v>3125</v>
      </c>
      <c r="F70" s="2960">
        <v>106</v>
      </c>
      <c r="G70" s="2959" t="s">
        <v>3204</v>
      </c>
      <c r="H70" s="2959">
        <v>47.25</v>
      </c>
      <c r="I70" s="2959">
        <v>36.659999999999997</v>
      </c>
    </row>
    <row r="71" spans="1:9" ht="18.75" customHeight="1">
      <c r="A71" s="2958">
        <v>70</v>
      </c>
      <c r="B71" s="2959" t="s">
        <v>3122</v>
      </c>
      <c r="C71" s="2959" t="s">
        <v>3173</v>
      </c>
      <c r="D71" s="2959" t="s">
        <v>3200</v>
      </c>
      <c r="E71" s="2959" t="s">
        <v>3125</v>
      </c>
      <c r="F71" s="2960">
        <v>107</v>
      </c>
      <c r="G71" s="2959" t="s">
        <v>3205</v>
      </c>
      <c r="H71" s="2959">
        <v>47.25</v>
      </c>
      <c r="I71" s="2959">
        <v>36.659999999999997</v>
      </c>
    </row>
    <row r="72" spans="1:9" ht="18.75" customHeight="1">
      <c r="A72" s="2958">
        <v>71</v>
      </c>
      <c r="B72" s="2959" t="s">
        <v>3122</v>
      </c>
      <c r="C72" s="2959" t="s">
        <v>3173</v>
      </c>
      <c r="D72" s="2959" t="s">
        <v>3200</v>
      </c>
      <c r="E72" s="2959" t="s">
        <v>3125</v>
      </c>
      <c r="F72" s="2960">
        <v>108</v>
      </c>
      <c r="G72" s="2959" t="s">
        <v>3206</v>
      </c>
      <c r="H72" s="2959">
        <v>47.25</v>
      </c>
      <c r="I72" s="2959">
        <v>36.659999999999997</v>
      </c>
    </row>
    <row r="73" spans="1:9" ht="18.75" customHeight="1">
      <c r="A73" s="2958">
        <v>72</v>
      </c>
      <c r="B73" s="2959" t="s">
        <v>3122</v>
      </c>
      <c r="C73" s="2959" t="s">
        <v>3173</v>
      </c>
      <c r="D73" s="2959" t="s">
        <v>3200</v>
      </c>
      <c r="E73" s="2959" t="s">
        <v>3125</v>
      </c>
      <c r="F73" s="2960">
        <v>109</v>
      </c>
      <c r="G73" s="2959" t="s">
        <v>3207</v>
      </c>
      <c r="H73" s="2959">
        <v>47.85</v>
      </c>
      <c r="I73" s="2959">
        <v>37.130000000000003</v>
      </c>
    </row>
    <row r="74" spans="1:9" ht="18.75" customHeight="1">
      <c r="A74" s="2958">
        <v>73</v>
      </c>
      <c r="B74" s="2959" t="s">
        <v>3122</v>
      </c>
      <c r="C74" s="2959" t="s">
        <v>3173</v>
      </c>
      <c r="D74" s="2959" t="s">
        <v>3200</v>
      </c>
      <c r="E74" s="2959" t="s">
        <v>3125</v>
      </c>
      <c r="F74" s="2960">
        <v>110</v>
      </c>
      <c r="G74" s="2959" t="s">
        <v>3208</v>
      </c>
      <c r="H74" s="2959">
        <v>31.79</v>
      </c>
      <c r="I74" s="2959">
        <v>24.67</v>
      </c>
    </row>
    <row r="75" spans="1:9" ht="18.75" customHeight="1">
      <c r="A75" s="2958">
        <v>74</v>
      </c>
      <c r="B75" s="2959" t="s">
        <v>3122</v>
      </c>
      <c r="C75" s="2959" t="s">
        <v>3173</v>
      </c>
      <c r="D75" s="2959" t="s">
        <v>3200</v>
      </c>
      <c r="E75" s="2959" t="s">
        <v>3125</v>
      </c>
      <c r="F75" s="2960">
        <v>111</v>
      </c>
      <c r="G75" s="2959" t="s">
        <v>3209</v>
      </c>
      <c r="H75" s="2959">
        <v>31.79</v>
      </c>
      <c r="I75" s="2959">
        <v>24.67</v>
      </c>
    </row>
    <row r="76" spans="1:9" ht="18.75" customHeight="1">
      <c r="A76" s="2958">
        <v>75</v>
      </c>
      <c r="B76" s="2959" t="s">
        <v>3122</v>
      </c>
      <c r="C76" s="2959" t="s">
        <v>3173</v>
      </c>
      <c r="D76" s="2959" t="s">
        <v>3200</v>
      </c>
      <c r="E76" s="2959" t="s">
        <v>3125</v>
      </c>
      <c r="F76" s="2960">
        <v>112</v>
      </c>
      <c r="G76" s="2959" t="s">
        <v>3210</v>
      </c>
      <c r="H76" s="2959">
        <v>32.19</v>
      </c>
      <c r="I76" s="2959">
        <v>24.98</v>
      </c>
    </row>
    <row r="77" spans="1:9" ht="18.75" customHeight="1">
      <c r="A77" s="2958">
        <v>76</v>
      </c>
      <c r="B77" s="2959" t="s">
        <v>3122</v>
      </c>
      <c r="C77" s="2959" t="s">
        <v>3173</v>
      </c>
      <c r="D77" s="2959" t="s">
        <v>3200</v>
      </c>
      <c r="E77" s="2959" t="s">
        <v>3125</v>
      </c>
      <c r="F77" s="2960">
        <v>113</v>
      </c>
      <c r="G77" s="2959" t="s">
        <v>3211</v>
      </c>
      <c r="H77" s="2959">
        <v>32</v>
      </c>
      <c r="I77" s="2959">
        <v>24.83</v>
      </c>
    </row>
    <row r="78" spans="1:9" ht="18.75" customHeight="1">
      <c r="A78" s="2958">
        <v>77</v>
      </c>
      <c r="B78" s="2959" t="s">
        <v>3122</v>
      </c>
      <c r="C78" s="2959" t="s">
        <v>3173</v>
      </c>
      <c r="D78" s="2959" t="s">
        <v>3200</v>
      </c>
      <c r="E78" s="2959" t="s">
        <v>3125</v>
      </c>
      <c r="F78" s="2960">
        <v>114</v>
      </c>
      <c r="G78" s="2959" t="s">
        <v>3212</v>
      </c>
      <c r="H78" s="2959">
        <v>32.19</v>
      </c>
      <c r="I78" s="2959">
        <v>24.98</v>
      </c>
    </row>
    <row r="79" spans="1:9" ht="18.75" customHeight="1">
      <c r="A79" s="2958">
        <v>78</v>
      </c>
      <c r="B79" s="2959" t="s">
        <v>3122</v>
      </c>
      <c r="C79" s="2959" t="s">
        <v>3173</v>
      </c>
      <c r="D79" s="2959" t="s">
        <v>3200</v>
      </c>
      <c r="E79" s="2959" t="s">
        <v>3125</v>
      </c>
      <c r="F79" s="2960">
        <v>115</v>
      </c>
      <c r="G79" s="2959" t="s">
        <v>3213</v>
      </c>
      <c r="H79" s="2959">
        <v>47.85</v>
      </c>
      <c r="I79" s="2959">
        <v>37.130000000000003</v>
      </c>
    </row>
    <row r="80" spans="1:9" ht="18.75" customHeight="1">
      <c r="A80" s="2958">
        <v>79</v>
      </c>
      <c r="B80" s="2959" t="s">
        <v>3122</v>
      </c>
      <c r="C80" s="2959" t="s">
        <v>3173</v>
      </c>
      <c r="D80" s="2959" t="s">
        <v>3200</v>
      </c>
      <c r="E80" s="2959" t="s">
        <v>3125</v>
      </c>
      <c r="F80" s="2960">
        <v>116</v>
      </c>
      <c r="G80" s="2959" t="s">
        <v>3214</v>
      </c>
      <c r="H80" s="2959">
        <v>47.25</v>
      </c>
      <c r="I80" s="2959">
        <v>36.659999999999997</v>
      </c>
    </row>
    <row r="81" spans="1:9" ht="18.75" customHeight="1">
      <c r="A81" s="2958">
        <v>80</v>
      </c>
      <c r="B81" s="2959" t="s">
        <v>3122</v>
      </c>
      <c r="C81" s="2959" t="s">
        <v>3173</v>
      </c>
      <c r="D81" s="2959" t="s">
        <v>3200</v>
      </c>
      <c r="E81" s="2959" t="s">
        <v>3125</v>
      </c>
      <c r="F81" s="2960">
        <v>117</v>
      </c>
      <c r="G81" s="2959" t="s">
        <v>3215</v>
      </c>
      <c r="H81" s="2959">
        <v>47.25</v>
      </c>
      <c r="I81" s="2959">
        <v>36.659999999999997</v>
      </c>
    </row>
    <row r="82" spans="1:9" ht="18.75" customHeight="1">
      <c r="A82" s="2958">
        <v>81</v>
      </c>
      <c r="B82" s="2959" t="s">
        <v>3122</v>
      </c>
      <c r="C82" s="2959" t="s">
        <v>3173</v>
      </c>
      <c r="D82" s="2959" t="s">
        <v>3200</v>
      </c>
      <c r="E82" s="2959" t="s">
        <v>3125</v>
      </c>
      <c r="F82" s="2960">
        <v>118</v>
      </c>
      <c r="G82" s="2959" t="s">
        <v>3216</v>
      </c>
      <c r="H82" s="2959">
        <v>47.25</v>
      </c>
      <c r="I82" s="2959">
        <v>36.659999999999997</v>
      </c>
    </row>
    <row r="83" spans="1:9" ht="18.75" customHeight="1">
      <c r="A83" s="2958">
        <v>82</v>
      </c>
      <c r="B83" s="2959" t="s">
        <v>3122</v>
      </c>
      <c r="C83" s="2959" t="s">
        <v>3173</v>
      </c>
      <c r="D83" s="2959" t="s">
        <v>3200</v>
      </c>
      <c r="E83" s="2959" t="s">
        <v>3125</v>
      </c>
      <c r="F83" s="2960">
        <v>119</v>
      </c>
      <c r="G83" s="2959" t="s">
        <v>3217</v>
      </c>
      <c r="H83" s="2959">
        <v>47.25</v>
      </c>
      <c r="I83" s="2959">
        <v>36.659999999999997</v>
      </c>
    </row>
    <row r="84" spans="1:9" ht="18.75" customHeight="1">
      <c r="A84" s="2958">
        <v>83</v>
      </c>
      <c r="B84" s="2959" t="s">
        <v>3122</v>
      </c>
      <c r="C84" s="2959" t="s">
        <v>3173</v>
      </c>
      <c r="D84" s="2959" t="s">
        <v>3200</v>
      </c>
      <c r="E84" s="2959" t="s">
        <v>3125</v>
      </c>
      <c r="F84" s="2960">
        <v>120</v>
      </c>
      <c r="G84" s="2959" t="s">
        <v>3218</v>
      </c>
      <c r="H84" s="2959">
        <v>47.25</v>
      </c>
      <c r="I84" s="2959">
        <v>36.659999999999997</v>
      </c>
    </row>
    <row r="85" spans="1:9" ht="18.75" customHeight="1">
      <c r="A85" s="2958">
        <v>84</v>
      </c>
      <c r="B85" s="2959" t="s">
        <v>3122</v>
      </c>
      <c r="C85" s="2959" t="s">
        <v>3173</v>
      </c>
      <c r="D85" s="2959" t="s">
        <v>3200</v>
      </c>
      <c r="E85" s="2959" t="s">
        <v>3125</v>
      </c>
      <c r="F85" s="2960">
        <v>121</v>
      </c>
      <c r="G85" s="2959" t="s">
        <v>3219</v>
      </c>
      <c r="H85" s="2959">
        <v>47.25</v>
      </c>
      <c r="I85" s="2959">
        <v>36.659999999999997</v>
      </c>
    </row>
    <row r="86" spans="1:9" ht="18.75" customHeight="1">
      <c r="A86" s="2958">
        <v>85</v>
      </c>
      <c r="B86" s="2959" t="s">
        <v>3122</v>
      </c>
      <c r="C86" s="2959" t="s">
        <v>3173</v>
      </c>
      <c r="D86" s="2959" t="s">
        <v>3200</v>
      </c>
      <c r="E86" s="2959" t="s">
        <v>3125</v>
      </c>
      <c r="F86" s="2960">
        <v>122</v>
      </c>
      <c r="G86" s="2959" t="s">
        <v>3220</v>
      </c>
      <c r="H86" s="2959">
        <v>47.25</v>
      </c>
      <c r="I86" s="2959">
        <v>36.659999999999997</v>
      </c>
    </row>
    <row r="87" spans="1:9" ht="18.75" customHeight="1">
      <c r="A87" s="2958">
        <v>86</v>
      </c>
      <c r="B87" s="2959" t="s">
        <v>3122</v>
      </c>
      <c r="C87" s="2959" t="s">
        <v>3173</v>
      </c>
      <c r="D87" s="2959" t="s">
        <v>3200</v>
      </c>
      <c r="E87" s="2959" t="s">
        <v>3125</v>
      </c>
      <c r="F87" s="2960">
        <v>123</v>
      </c>
      <c r="G87" s="2959" t="s">
        <v>3221</v>
      </c>
      <c r="H87" s="2959">
        <v>47.85</v>
      </c>
      <c r="I87" s="2959">
        <v>37.130000000000003</v>
      </c>
    </row>
    <row r="88" spans="1:9" ht="18.75" customHeight="1">
      <c r="A88" s="2958">
        <v>87</v>
      </c>
      <c r="B88" s="2959" t="s">
        <v>3122</v>
      </c>
      <c r="C88" s="2959" t="s">
        <v>3173</v>
      </c>
      <c r="D88" s="2959" t="s">
        <v>3200</v>
      </c>
      <c r="E88" s="2959" t="s">
        <v>3125</v>
      </c>
      <c r="F88" s="2960">
        <v>124</v>
      </c>
      <c r="G88" s="2959" t="s">
        <v>3222</v>
      </c>
      <c r="H88" s="2959">
        <v>31.72</v>
      </c>
      <c r="I88" s="2959">
        <v>24.61</v>
      </c>
    </row>
    <row r="89" spans="1:9" ht="18.75" customHeight="1">
      <c r="A89" s="2958">
        <v>88</v>
      </c>
      <c r="B89" s="2959" t="s">
        <v>3122</v>
      </c>
      <c r="C89" s="2959" t="s">
        <v>3173</v>
      </c>
      <c r="D89" s="2959" t="s">
        <v>3200</v>
      </c>
      <c r="E89" s="2959" t="s">
        <v>3125</v>
      </c>
      <c r="F89" s="2960">
        <v>125</v>
      </c>
      <c r="G89" s="2959" t="s">
        <v>3223</v>
      </c>
      <c r="H89" s="2959">
        <v>31.72</v>
      </c>
      <c r="I89" s="2959">
        <v>24.61</v>
      </c>
    </row>
    <row r="90" spans="1:9" ht="18.75" customHeight="1">
      <c r="A90" s="2958">
        <v>89</v>
      </c>
      <c r="B90" s="2959" t="s">
        <v>3122</v>
      </c>
      <c r="C90" s="2959" t="s">
        <v>3173</v>
      </c>
      <c r="D90" s="2959" t="s">
        <v>3200</v>
      </c>
      <c r="E90" s="2959" t="s">
        <v>3125</v>
      </c>
      <c r="F90" s="2960">
        <v>126</v>
      </c>
      <c r="G90" s="2959" t="s">
        <v>3224</v>
      </c>
      <c r="H90" s="2959">
        <v>31.59</v>
      </c>
      <c r="I90" s="2959">
        <v>24.51</v>
      </c>
    </row>
    <row r="91" spans="1:9" ht="18.75" customHeight="1">
      <c r="A91" s="2958">
        <v>90</v>
      </c>
      <c r="B91" s="2959" t="s">
        <v>3122</v>
      </c>
      <c r="C91" s="2959" t="s">
        <v>3173</v>
      </c>
      <c r="D91" s="2959" t="s">
        <v>3200</v>
      </c>
      <c r="E91" s="2959" t="s">
        <v>3125</v>
      </c>
      <c r="F91" s="2960">
        <v>127</v>
      </c>
      <c r="G91" s="2959" t="s">
        <v>3225</v>
      </c>
      <c r="H91" s="2959">
        <v>31.79</v>
      </c>
      <c r="I91" s="2959">
        <v>24.67</v>
      </c>
    </row>
    <row r="92" spans="1:9" ht="18.75" customHeight="1">
      <c r="A92" s="2958">
        <v>91</v>
      </c>
      <c r="B92" s="2959" t="s">
        <v>3122</v>
      </c>
      <c r="C92" s="2959" t="s">
        <v>3173</v>
      </c>
      <c r="D92" s="2959" t="s">
        <v>3200</v>
      </c>
      <c r="E92" s="2959" t="s">
        <v>3125</v>
      </c>
      <c r="F92" s="2960">
        <v>128</v>
      </c>
      <c r="G92" s="2959" t="s">
        <v>3226</v>
      </c>
      <c r="H92" s="2959">
        <v>31.79</v>
      </c>
      <c r="I92" s="2959">
        <v>24.67</v>
      </c>
    </row>
    <row r="93" spans="1:9" ht="18.75" customHeight="1">
      <c r="A93" s="2958">
        <v>92</v>
      </c>
      <c r="B93" s="2959" t="s">
        <v>3122</v>
      </c>
      <c r="C93" s="2959" t="s">
        <v>3173</v>
      </c>
      <c r="D93" s="2959" t="s">
        <v>3200</v>
      </c>
      <c r="E93" s="2959" t="s">
        <v>3125</v>
      </c>
      <c r="F93" s="2960">
        <v>129</v>
      </c>
      <c r="G93" s="2959" t="s">
        <v>3227</v>
      </c>
      <c r="H93" s="2959">
        <v>31.79</v>
      </c>
      <c r="I93" s="2959">
        <v>24.67</v>
      </c>
    </row>
    <row r="94" spans="1:9" ht="18.75" customHeight="1">
      <c r="A94" s="2958">
        <v>93</v>
      </c>
      <c r="B94" s="2959" t="s">
        <v>3122</v>
      </c>
      <c r="C94" s="2959" t="s">
        <v>3173</v>
      </c>
      <c r="D94" s="2959" t="s">
        <v>3200</v>
      </c>
      <c r="E94" s="2959" t="s">
        <v>3125</v>
      </c>
      <c r="F94" s="2960">
        <v>130</v>
      </c>
      <c r="G94" s="2959" t="s">
        <v>3228</v>
      </c>
      <c r="H94" s="2959">
        <v>32</v>
      </c>
      <c r="I94" s="2959">
        <v>24.83</v>
      </c>
    </row>
    <row r="95" spans="1:9" ht="18.75" customHeight="1">
      <c r="A95" s="2958">
        <v>94</v>
      </c>
      <c r="B95" s="2959" t="s">
        <v>3122</v>
      </c>
      <c r="C95" s="2959" t="s">
        <v>3173</v>
      </c>
      <c r="D95" s="2959" t="s">
        <v>3200</v>
      </c>
      <c r="E95" s="2959" t="s">
        <v>3125</v>
      </c>
      <c r="F95" s="2960">
        <v>131</v>
      </c>
      <c r="G95" s="2959" t="s">
        <v>3229</v>
      </c>
      <c r="H95" s="2959">
        <v>31.59</v>
      </c>
      <c r="I95" s="2959">
        <v>24.51</v>
      </c>
    </row>
    <row r="96" spans="1:9" ht="18.75" customHeight="1">
      <c r="A96" s="2958">
        <v>95</v>
      </c>
      <c r="B96" s="2959" t="s">
        <v>3122</v>
      </c>
      <c r="C96" s="2959" t="s">
        <v>3173</v>
      </c>
      <c r="D96" s="2959" t="s">
        <v>3200</v>
      </c>
      <c r="E96" s="2959" t="s">
        <v>3125</v>
      </c>
      <c r="F96" s="2960">
        <v>132</v>
      </c>
      <c r="G96" s="2959" t="s">
        <v>3230</v>
      </c>
      <c r="H96" s="2959">
        <v>31.38</v>
      </c>
      <c r="I96" s="2959">
        <v>24.35</v>
      </c>
    </row>
    <row r="97" spans="1:9" ht="18.75" customHeight="1">
      <c r="A97" s="2958">
        <v>96</v>
      </c>
      <c r="B97" s="2959" t="s">
        <v>3122</v>
      </c>
      <c r="C97" s="2959" t="s">
        <v>3173</v>
      </c>
      <c r="D97" s="2959" t="s">
        <v>3200</v>
      </c>
      <c r="E97" s="2959" t="s">
        <v>3125</v>
      </c>
      <c r="F97" s="2960">
        <v>202</v>
      </c>
      <c r="G97" s="2959" t="s">
        <v>3231</v>
      </c>
      <c r="H97" s="2959">
        <v>47.25</v>
      </c>
      <c r="I97" s="2959">
        <v>36.659999999999997</v>
      </c>
    </row>
    <row r="98" spans="1:9" ht="18.75" customHeight="1">
      <c r="A98" s="2958">
        <v>97</v>
      </c>
      <c r="B98" s="2959" t="s">
        <v>3122</v>
      </c>
      <c r="C98" s="2959" t="s">
        <v>3173</v>
      </c>
      <c r="D98" s="2959" t="s">
        <v>3200</v>
      </c>
      <c r="E98" s="2959" t="s">
        <v>3125</v>
      </c>
      <c r="F98" s="2960">
        <v>203</v>
      </c>
      <c r="G98" s="2959" t="s">
        <v>3232</v>
      </c>
      <c r="H98" s="2959">
        <v>47.25</v>
      </c>
      <c r="I98" s="2959">
        <v>36.659999999999997</v>
      </c>
    </row>
    <row r="99" spans="1:9" ht="18.75" customHeight="1">
      <c r="A99" s="2958">
        <v>98</v>
      </c>
      <c r="B99" s="2959" t="s">
        <v>3122</v>
      </c>
      <c r="C99" s="2959" t="s">
        <v>3173</v>
      </c>
      <c r="D99" s="2959" t="s">
        <v>3200</v>
      </c>
      <c r="E99" s="2959" t="s">
        <v>3125</v>
      </c>
      <c r="F99" s="2960">
        <v>204</v>
      </c>
      <c r="G99" s="2959" t="s">
        <v>3233</v>
      </c>
      <c r="H99" s="2959">
        <v>47.25</v>
      </c>
      <c r="I99" s="2959">
        <v>36.659999999999997</v>
      </c>
    </row>
    <row r="100" spans="1:9" ht="18.75" customHeight="1">
      <c r="A100" s="2958">
        <v>99</v>
      </c>
      <c r="B100" s="2959" t="s">
        <v>3122</v>
      </c>
      <c r="C100" s="2959" t="s">
        <v>3173</v>
      </c>
      <c r="D100" s="2959" t="s">
        <v>3200</v>
      </c>
      <c r="E100" s="2959" t="s">
        <v>3125</v>
      </c>
      <c r="F100" s="2960">
        <v>205</v>
      </c>
      <c r="G100" s="2959" t="s">
        <v>3234</v>
      </c>
      <c r="H100" s="2959">
        <v>47.25</v>
      </c>
      <c r="I100" s="2959">
        <v>36.659999999999997</v>
      </c>
    </row>
    <row r="101" spans="1:9" ht="18.75" customHeight="1">
      <c r="A101" s="2958">
        <v>100</v>
      </c>
      <c r="B101" s="2959" t="s">
        <v>3122</v>
      </c>
      <c r="C101" s="2959" t="s">
        <v>3173</v>
      </c>
      <c r="D101" s="2959" t="s">
        <v>3200</v>
      </c>
      <c r="E101" s="2959" t="s">
        <v>3125</v>
      </c>
      <c r="F101" s="2960">
        <v>206</v>
      </c>
      <c r="G101" s="2959" t="s">
        <v>3235</v>
      </c>
      <c r="H101" s="2959">
        <v>47.25</v>
      </c>
      <c r="I101" s="2959">
        <v>36.659999999999997</v>
      </c>
    </row>
    <row r="102" spans="1:9" ht="18.75" customHeight="1">
      <c r="A102" s="2958">
        <v>101</v>
      </c>
      <c r="B102" s="2959" t="s">
        <v>3122</v>
      </c>
      <c r="C102" s="2959" t="s">
        <v>3173</v>
      </c>
      <c r="D102" s="2959" t="s">
        <v>3200</v>
      </c>
      <c r="E102" s="2959" t="s">
        <v>3125</v>
      </c>
      <c r="F102" s="2960">
        <v>207</v>
      </c>
      <c r="G102" s="2959" t="s">
        <v>3236</v>
      </c>
      <c r="H102" s="2959">
        <v>47.25</v>
      </c>
      <c r="I102" s="2959">
        <v>36.659999999999997</v>
      </c>
    </row>
    <row r="103" spans="1:9" ht="18.75" customHeight="1">
      <c r="A103" s="2958">
        <v>102</v>
      </c>
      <c r="B103" s="2959" t="s">
        <v>3122</v>
      </c>
      <c r="C103" s="2959" t="s">
        <v>3173</v>
      </c>
      <c r="D103" s="2959" t="s">
        <v>3200</v>
      </c>
      <c r="E103" s="2959" t="s">
        <v>3125</v>
      </c>
      <c r="F103" s="2960">
        <v>208</v>
      </c>
      <c r="G103" s="2959" t="s">
        <v>3237</v>
      </c>
      <c r="H103" s="2959">
        <v>47.25</v>
      </c>
      <c r="I103" s="2959">
        <v>36.659999999999997</v>
      </c>
    </row>
    <row r="104" spans="1:9" ht="18.75" customHeight="1">
      <c r="A104" s="2958">
        <v>103</v>
      </c>
      <c r="B104" s="2959" t="s">
        <v>3122</v>
      </c>
      <c r="C104" s="2959" t="s">
        <v>3173</v>
      </c>
      <c r="D104" s="2959" t="s">
        <v>3200</v>
      </c>
      <c r="E104" s="2959" t="s">
        <v>3125</v>
      </c>
      <c r="F104" s="2960">
        <v>209</v>
      </c>
      <c r="G104" s="2959" t="s">
        <v>3238</v>
      </c>
      <c r="H104" s="2959">
        <v>47.85</v>
      </c>
      <c r="I104" s="2959">
        <v>37.130000000000003</v>
      </c>
    </row>
    <row r="105" spans="1:9" ht="18.75" customHeight="1">
      <c r="A105" s="2958">
        <v>104</v>
      </c>
      <c r="B105" s="2959" t="s">
        <v>3122</v>
      </c>
      <c r="C105" s="2959" t="s">
        <v>3173</v>
      </c>
      <c r="D105" s="2959" t="s">
        <v>3200</v>
      </c>
      <c r="E105" s="2959" t="s">
        <v>3125</v>
      </c>
      <c r="F105" s="2960">
        <v>210</v>
      </c>
      <c r="G105" s="2959" t="s">
        <v>3239</v>
      </c>
      <c r="H105" s="2959">
        <v>31.79</v>
      </c>
      <c r="I105" s="2959">
        <v>24.67</v>
      </c>
    </row>
    <row r="106" spans="1:9" ht="18.75" customHeight="1">
      <c r="A106" s="2958">
        <v>105</v>
      </c>
      <c r="B106" s="2959" t="s">
        <v>3122</v>
      </c>
      <c r="C106" s="2959" t="s">
        <v>3173</v>
      </c>
      <c r="D106" s="2959" t="s">
        <v>3200</v>
      </c>
      <c r="E106" s="2959" t="s">
        <v>3125</v>
      </c>
      <c r="F106" s="2960">
        <v>211</v>
      </c>
      <c r="G106" s="2959" t="s">
        <v>3240</v>
      </c>
      <c r="H106" s="2959">
        <v>31.79</v>
      </c>
      <c r="I106" s="2959">
        <v>24.67</v>
      </c>
    </row>
    <row r="107" spans="1:9" ht="18.75" customHeight="1">
      <c r="A107" s="2958">
        <v>106</v>
      </c>
      <c r="B107" s="2959" t="s">
        <v>3122</v>
      </c>
      <c r="C107" s="2959" t="s">
        <v>3173</v>
      </c>
      <c r="D107" s="2959" t="s">
        <v>3200</v>
      </c>
      <c r="E107" s="2959" t="s">
        <v>3125</v>
      </c>
      <c r="F107" s="2960">
        <v>212</v>
      </c>
      <c r="G107" s="2959" t="s">
        <v>3241</v>
      </c>
      <c r="H107" s="2959">
        <v>32.19</v>
      </c>
      <c r="I107" s="2959">
        <v>24.98</v>
      </c>
    </row>
    <row r="108" spans="1:9" ht="18.75" customHeight="1">
      <c r="A108" s="2958">
        <v>107</v>
      </c>
      <c r="B108" s="2959" t="s">
        <v>3122</v>
      </c>
      <c r="C108" s="2959" t="s">
        <v>3173</v>
      </c>
      <c r="D108" s="2959" t="s">
        <v>3200</v>
      </c>
      <c r="E108" s="2959" t="s">
        <v>3125</v>
      </c>
      <c r="F108" s="2960">
        <v>213</v>
      </c>
      <c r="G108" s="2959" t="s">
        <v>3242</v>
      </c>
      <c r="H108" s="2959">
        <v>32</v>
      </c>
      <c r="I108" s="2959">
        <v>24.83</v>
      </c>
    </row>
    <row r="109" spans="1:9" ht="18.75" customHeight="1">
      <c r="A109" s="2958">
        <v>108</v>
      </c>
      <c r="B109" s="2959" t="s">
        <v>3122</v>
      </c>
      <c r="C109" s="2959" t="s">
        <v>3173</v>
      </c>
      <c r="D109" s="2959" t="s">
        <v>3200</v>
      </c>
      <c r="E109" s="2959" t="s">
        <v>3125</v>
      </c>
      <c r="F109" s="2960">
        <v>214</v>
      </c>
      <c r="G109" s="2959" t="s">
        <v>3243</v>
      </c>
      <c r="H109" s="2959">
        <v>32.19</v>
      </c>
      <c r="I109" s="2959">
        <v>24.98</v>
      </c>
    </row>
    <row r="110" spans="1:9" ht="18.75" customHeight="1">
      <c r="A110" s="2958">
        <v>109</v>
      </c>
      <c r="B110" s="2959" t="s">
        <v>3122</v>
      </c>
      <c r="C110" s="2959" t="s">
        <v>3173</v>
      </c>
      <c r="D110" s="2959" t="s">
        <v>3200</v>
      </c>
      <c r="E110" s="2959" t="s">
        <v>3125</v>
      </c>
      <c r="F110" s="2960">
        <v>215</v>
      </c>
      <c r="G110" s="2959" t="s">
        <v>3244</v>
      </c>
      <c r="H110" s="2959">
        <v>47.85</v>
      </c>
      <c r="I110" s="2959">
        <v>37.130000000000003</v>
      </c>
    </row>
    <row r="111" spans="1:9" ht="18.75" customHeight="1">
      <c r="A111" s="2958">
        <v>110</v>
      </c>
      <c r="B111" s="2959" t="s">
        <v>3122</v>
      </c>
      <c r="C111" s="2959" t="s">
        <v>3173</v>
      </c>
      <c r="D111" s="2959" t="s">
        <v>3200</v>
      </c>
      <c r="E111" s="2959" t="s">
        <v>3125</v>
      </c>
      <c r="F111" s="2960">
        <v>216</v>
      </c>
      <c r="G111" s="2959" t="s">
        <v>3245</v>
      </c>
      <c r="H111" s="2959">
        <v>47.25</v>
      </c>
      <c r="I111" s="2959">
        <v>36.659999999999997</v>
      </c>
    </row>
    <row r="112" spans="1:9" ht="18.75" customHeight="1">
      <c r="A112" s="2958">
        <v>111</v>
      </c>
      <c r="B112" s="2959" t="s">
        <v>3122</v>
      </c>
      <c r="C112" s="2959" t="s">
        <v>3173</v>
      </c>
      <c r="D112" s="2959" t="s">
        <v>3200</v>
      </c>
      <c r="E112" s="2959" t="s">
        <v>3125</v>
      </c>
      <c r="F112" s="2960">
        <v>217</v>
      </c>
      <c r="G112" s="2959" t="s">
        <v>3246</v>
      </c>
      <c r="H112" s="2959">
        <v>47.25</v>
      </c>
      <c r="I112" s="2959">
        <v>36.659999999999997</v>
      </c>
    </row>
    <row r="113" spans="1:9" ht="18.75" customHeight="1">
      <c r="A113" s="2958">
        <v>112</v>
      </c>
      <c r="B113" s="2959" t="s">
        <v>3122</v>
      </c>
      <c r="C113" s="2959" t="s">
        <v>3173</v>
      </c>
      <c r="D113" s="2959" t="s">
        <v>3200</v>
      </c>
      <c r="E113" s="2959" t="s">
        <v>3125</v>
      </c>
      <c r="F113" s="2960">
        <v>218</v>
      </c>
      <c r="G113" s="2959" t="s">
        <v>3247</v>
      </c>
      <c r="H113" s="2959">
        <v>47.25</v>
      </c>
      <c r="I113" s="2959">
        <v>36.659999999999997</v>
      </c>
    </row>
    <row r="114" spans="1:9" ht="18.75" customHeight="1">
      <c r="A114" s="2958">
        <v>113</v>
      </c>
      <c r="B114" s="2959" t="s">
        <v>3122</v>
      </c>
      <c r="C114" s="2959" t="s">
        <v>3173</v>
      </c>
      <c r="D114" s="2959" t="s">
        <v>3200</v>
      </c>
      <c r="E114" s="2959" t="s">
        <v>3125</v>
      </c>
      <c r="F114" s="2960">
        <v>219</v>
      </c>
      <c r="G114" s="2959" t="s">
        <v>3248</v>
      </c>
      <c r="H114" s="2959">
        <v>47.25</v>
      </c>
      <c r="I114" s="2959">
        <v>36.659999999999997</v>
      </c>
    </row>
    <row r="115" spans="1:9" ht="18.75" customHeight="1">
      <c r="A115" s="2958">
        <v>114</v>
      </c>
      <c r="B115" s="2959" t="s">
        <v>3122</v>
      </c>
      <c r="C115" s="2959" t="s">
        <v>3173</v>
      </c>
      <c r="D115" s="2959" t="s">
        <v>3200</v>
      </c>
      <c r="E115" s="2959" t="s">
        <v>3125</v>
      </c>
      <c r="F115" s="2960">
        <v>220</v>
      </c>
      <c r="G115" s="2959" t="s">
        <v>3249</v>
      </c>
      <c r="H115" s="2959">
        <v>47.25</v>
      </c>
      <c r="I115" s="2959">
        <v>36.659999999999997</v>
      </c>
    </row>
    <row r="116" spans="1:9" ht="18.75" customHeight="1">
      <c r="A116" s="2958">
        <v>115</v>
      </c>
      <c r="B116" s="2959" t="s">
        <v>3122</v>
      </c>
      <c r="C116" s="2959" t="s">
        <v>3173</v>
      </c>
      <c r="D116" s="2959" t="s">
        <v>3200</v>
      </c>
      <c r="E116" s="2959" t="s">
        <v>3125</v>
      </c>
      <c r="F116" s="2960">
        <v>221</v>
      </c>
      <c r="G116" s="2959" t="s">
        <v>3250</v>
      </c>
      <c r="H116" s="2959">
        <v>47.25</v>
      </c>
      <c r="I116" s="2959">
        <v>36.659999999999997</v>
      </c>
    </row>
    <row r="117" spans="1:9" ht="18.75" customHeight="1">
      <c r="A117" s="2958">
        <v>116</v>
      </c>
      <c r="B117" s="2959" t="s">
        <v>3122</v>
      </c>
      <c r="C117" s="2959" t="s">
        <v>3173</v>
      </c>
      <c r="D117" s="2959" t="s">
        <v>3200</v>
      </c>
      <c r="E117" s="2959" t="s">
        <v>3125</v>
      </c>
      <c r="F117" s="2960">
        <v>222</v>
      </c>
      <c r="G117" s="2959" t="s">
        <v>3251</v>
      </c>
      <c r="H117" s="2959">
        <v>47.25</v>
      </c>
      <c r="I117" s="2959">
        <v>36.659999999999997</v>
      </c>
    </row>
    <row r="118" spans="1:9" ht="18.75" customHeight="1">
      <c r="A118" s="2958">
        <v>117</v>
      </c>
      <c r="B118" s="2959" t="s">
        <v>3122</v>
      </c>
      <c r="C118" s="2959" t="s">
        <v>3173</v>
      </c>
      <c r="D118" s="2959" t="s">
        <v>3200</v>
      </c>
      <c r="E118" s="2959" t="s">
        <v>3125</v>
      </c>
      <c r="F118" s="2960">
        <v>223</v>
      </c>
      <c r="G118" s="2959" t="s">
        <v>3252</v>
      </c>
      <c r="H118" s="2959">
        <v>47.25</v>
      </c>
      <c r="I118" s="2959">
        <v>36.659999999999997</v>
      </c>
    </row>
    <row r="119" spans="1:9" ht="18.75" customHeight="1">
      <c r="A119" s="2958">
        <v>118</v>
      </c>
      <c r="B119" s="2959" t="s">
        <v>3122</v>
      </c>
      <c r="C119" s="2959" t="s">
        <v>3173</v>
      </c>
      <c r="D119" s="2959" t="s">
        <v>3200</v>
      </c>
      <c r="E119" s="2959" t="s">
        <v>3125</v>
      </c>
      <c r="F119" s="2960">
        <v>224</v>
      </c>
      <c r="G119" s="2959" t="s">
        <v>3253</v>
      </c>
      <c r="H119" s="2959">
        <v>47.85</v>
      </c>
      <c r="I119" s="2959">
        <v>37.130000000000003</v>
      </c>
    </row>
    <row r="120" spans="1:9" ht="18.75" customHeight="1">
      <c r="A120" s="2958">
        <v>119</v>
      </c>
      <c r="B120" s="2959" t="s">
        <v>3122</v>
      </c>
      <c r="C120" s="2959" t="s">
        <v>3173</v>
      </c>
      <c r="D120" s="2959" t="s">
        <v>3200</v>
      </c>
      <c r="E120" s="2959" t="s">
        <v>3125</v>
      </c>
      <c r="F120" s="2960">
        <v>225</v>
      </c>
      <c r="G120" s="2959" t="s">
        <v>3254</v>
      </c>
      <c r="H120" s="2959">
        <v>31.72</v>
      </c>
      <c r="I120" s="2959">
        <v>24.61</v>
      </c>
    </row>
    <row r="121" spans="1:9" ht="18.75" customHeight="1">
      <c r="A121" s="2958">
        <v>120</v>
      </c>
      <c r="B121" s="2959" t="s">
        <v>3122</v>
      </c>
      <c r="C121" s="2959" t="s">
        <v>3173</v>
      </c>
      <c r="D121" s="2959" t="s">
        <v>3200</v>
      </c>
      <c r="E121" s="2959" t="s">
        <v>3125</v>
      </c>
      <c r="F121" s="2960">
        <v>226</v>
      </c>
      <c r="G121" s="2959" t="s">
        <v>3255</v>
      </c>
      <c r="H121" s="2959">
        <v>31.72</v>
      </c>
      <c r="I121" s="2959">
        <v>24.61</v>
      </c>
    </row>
    <row r="122" spans="1:9" ht="18.75" customHeight="1">
      <c r="A122" s="2958">
        <v>121</v>
      </c>
      <c r="B122" s="2959" t="s">
        <v>3122</v>
      </c>
      <c r="C122" s="2959" t="s">
        <v>3173</v>
      </c>
      <c r="D122" s="2959" t="s">
        <v>3200</v>
      </c>
      <c r="E122" s="2959" t="s">
        <v>3125</v>
      </c>
      <c r="F122" s="2960">
        <v>227</v>
      </c>
      <c r="G122" s="2959" t="s">
        <v>3256</v>
      </c>
      <c r="H122" s="2959">
        <v>31.59</v>
      </c>
      <c r="I122" s="2959">
        <v>24.51</v>
      </c>
    </row>
    <row r="123" spans="1:9" ht="18.75" customHeight="1">
      <c r="A123" s="2958">
        <v>122</v>
      </c>
      <c r="B123" s="2959" t="s">
        <v>3122</v>
      </c>
      <c r="C123" s="2959" t="s">
        <v>3173</v>
      </c>
      <c r="D123" s="2959" t="s">
        <v>3200</v>
      </c>
      <c r="E123" s="2959" t="s">
        <v>3125</v>
      </c>
      <c r="F123" s="2960">
        <v>228</v>
      </c>
      <c r="G123" s="2959" t="s">
        <v>3257</v>
      </c>
      <c r="H123" s="2959">
        <v>31.79</v>
      </c>
      <c r="I123" s="2959">
        <v>24.67</v>
      </c>
    </row>
    <row r="124" spans="1:9" ht="18.75" customHeight="1">
      <c r="A124" s="2958">
        <v>123</v>
      </c>
      <c r="B124" s="2959" t="s">
        <v>3122</v>
      </c>
      <c r="C124" s="2959" t="s">
        <v>3173</v>
      </c>
      <c r="D124" s="2959" t="s">
        <v>3200</v>
      </c>
      <c r="E124" s="2959" t="s">
        <v>3125</v>
      </c>
      <c r="F124" s="2960">
        <v>229</v>
      </c>
      <c r="G124" s="2959" t="s">
        <v>3258</v>
      </c>
      <c r="H124" s="2959">
        <v>31.79</v>
      </c>
      <c r="I124" s="2959">
        <v>24.67</v>
      </c>
    </row>
    <row r="125" spans="1:9" ht="18.75" customHeight="1">
      <c r="A125" s="2958">
        <v>124</v>
      </c>
      <c r="B125" s="2959" t="s">
        <v>3122</v>
      </c>
      <c r="C125" s="2959" t="s">
        <v>3173</v>
      </c>
      <c r="D125" s="2959" t="s">
        <v>3200</v>
      </c>
      <c r="E125" s="2959" t="s">
        <v>3125</v>
      </c>
      <c r="F125" s="2960">
        <v>230</v>
      </c>
      <c r="G125" s="2959" t="s">
        <v>3259</v>
      </c>
      <c r="H125" s="2959">
        <v>31.79</v>
      </c>
      <c r="I125" s="2959">
        <v>24.67</v>
      </c>
    </row>
    <row r="126" spans="1:9" ht="18.75" customHeight="1">
      <c r="A126" s="2958">
        <v>125</v>
      </c>
      <c r="B126" s="2959" t="s">
        <v>3122</v>
      </c>
      <c r="C126" s="2959" t="s">
        <v>3173</v>
      </c>
      <c r="D126" s="2959" t="s">
        <v>3200</v>
      </c>
      <c r="E126" s="2959" t="s">
        <v>3125</v>
      </c>
      <c r="F126" s="2960">
        <v>231</v>
      </c>
      <c r="G126" s="2959" t="s">
        <v>3260</v>
      </c>
      <c r="H126" s="2959">
        <v>32</v>
      </c>
      <c r="I126" s="2959">
        <v>24.83</v>
      </c>
    </row>
    <row r="127" spans="1:9" ht="18.75" customHeight="1">
      <c r="A127" s="2958">
        <v>126</v>
      </c>
      <c r="B127" s="2959" t="s">
        <v>3122</v>
      </c>
      <c r="C127" s="2959" t="s">
        <v>3173</v>
      </c>
      <c r="D127" s="2959" t="s">
        <v>3200</v>
      </c>
      <c r="E127" s="2959" t="s">
        <v>3125</v>
      </c>
      <c r="F127" s="2960">
        <v>232</v>
      </c>
      <c r="G127" s="2959" t="s">
        <v>3261</v>
      </c>
      <c r="H127" s="2959">
        <v>31.59</v>
      </c>
      <c r="I127" s="2959">
        <v>24.51</v>
      </c>
    </row>
    <row r="128" spans="1:9" ht="18.75" customHeight="1">
      <c r="A128" s="2958">
        <v>127</v>
      </c>
      <c r="B128" s="2959" t="s">
        <v>3122</v>
      </c>
      <c r="C128" s="2959" t="s">
        <v>3173</v>
      </c>
      <c r="D128" s="2959" t="s">
        <v>3200</v>
      </c>
      <c r="E128" s="2959" t="s">
        <v>3125</v>
      </c>
      <c r="F128" s="2960">
        <v>233</v>
      </c>
      <c r="G128" s="2959" t="s">
        <v>3262</v>
      </c>
      <c r="H128" s="2959">
        <v>31.38</v>
      </c>
      <c r="I128" s="2959">
        <v>24.35</v>
      </c>
    </row>
    <row r="129" spans="1:9" ht="18.75" customHeight="1">
      <c r="A129" s="2958">
        <v>128</v>
      </c>
      <c r="B129" s="2959" t="s">
        <v>3122</v>
      </c>
      <c r="C129" s="2959" t="s">
        <v>3173</v>
      </c>
      <c r="D129" s="2959" t="s">
        <v>3200</v>
      </c>
      <c r="E129" s="2959" t="s">
        <v>3125</v>
      </c>
      <c r="F129" s="2960">
        <v>310</v>
      </c>
      <c r="G129" s="2959" t="s">
        <v>3263</v>
      </c>
      <c r="H129" s="2959">
        <v>31.79</v>
      </c>
      <c r="I129" s="2959">
        <v>24.67</v>
      </c>
    </row>
    <row r="130" spans="1:9" ht="18.75" customHeight="1">
      <c r="A130" s="2958">
        <v>129</v>
      </c>
      <c r="B130" s="2959" t="s">
        <v>3122</v>
      </c>
      <c r="C130" s="2959" t="s">
        <v>3173</v>
      </c>
      <c r="D130" s="2959" t="s">
        <v>3200</v>
      </c>
      <c r="E130" s="2959" t="s">
        <v>3125</v>
      </c>
      <c r="F130" s="2960">
        <v>311</v>
      </c>
      <c r="G130" s="2959" t="s">
        <v>3264</v>
      </c>
      <c r="H130" s="2959">
        <v>31.79</v>
      </c>
      <c r="I130" s="2959">
        <v>24.67</v>
      </c>
    </row>
    <row r="131" spans="1:9" ht="18.75" customHeight="1">
      <c r="A131" s="2958">
        <v>130</v>
      </c>
      <c r="B131" s="2959" t="s">
        <v>3122</v>
      </c>
      <c r="C131" s="2959" t="s">
        <v>3173</v>
      </c>
      <c r="D131" s="2959" t="s">
        <v>3200</v>
      </c>
      <c r="E131" s="2959" t="s">
        <v>3125</v>
      </c>
      <c r="F131" s="2960">
        <v>312</v>
      </c>
      <c r="G131" s="2959" t="s">
        <v>3265</v>
      </c>
      <c r="H131" s="2959">
        <v>32.19</v>
      </c>
      <c r="I131" s="2959">
        <v>24.98</v>
      </c>
    </row>
    <row r="132" spans="1:9" ht="18.75" customHeight="1">
      <c r="A132" s="2958">
        <v>131</v>
      </c>
      <c r="B132" s="2959" t="s">
        <v>3122</v>
      </c>
      <c r="C132" s="2959" t="s">
        <v>3173</v>
      </c>
      <c r="D132" s="2959" t="s">
        <v>3200</v>
      </c>
      <c r="E132" s="2959" t="s">
        <v>3125</v>
      </c>
      <c r="F132" s="2960">
        <v>313</v>
      </c>
      <c r="G132" s="2959" t="s">
        <v>3266</v>
      </c>
      <c r="H132" s="2959">
        <v>32</v>
      </c>
      <c r="I132" s="2959">
        <v>24.83</v>
      </c>
    </row>
    <row r="133" spans="1:9" ht="18.75" customHeight="1">
      <c r="A133" s="2958">
        <v>132</v>
      </c>
      <c r="B133" s="2959" t="s">
        <v>3122</v>
      </c>
      <c r="C133" s="2959" t="s">
        <v>3173</v>
      </c>
      <c r="D133" s="2959" t="s">
        <v>3200</v>
      </c>
      <c r="E133" s="2959" t="s">
        <v>3125</v>
      </c>
      <c r="F133" s="2960">
        <v>314</v>
      </c>
      <c r="G133" s="2959" t="s">
        <v>3267</v>
      </c>
      <c r="H133" s="2959">
        <v>32.19</v>
      </c>
      <c r="I133" s="2959">
        <v>24.98</v>
      </c>
    </row>
    <row r="134" spans="1:9" ht="18.75" customHeight="1">
      <c r="A134" s="2958">
        <v>133</v>
      </c>
      <c r="B134" s="2959" t="s">
        <v>3122</v>
      </c>
      <c r="C134" s="2959" t="s">
        <v>3173</v>
      </c>
      <c r="D134" s="2959" t="s">
        <v>3200</v>
      </c>
      <c r="E134" s="2959" t="s">
        <v>3125</v>
      </c>
      <c r="F134" s="2960">
        <v>315</v>
      </c>
      <c r="G134" s="2959" t="s">
        <v>3268</v>
      </c>
      <c r="H134" s="2959">
        <v>47.85</v>
      </c>
      <c r="I134" s="2959">
        <v>37.130000000000003</v>
      </c>
    </row>
    <row r="135" spans="1:9" ht="18.75" customHeight="1">
      <c r="A135" s="2958">
        <v>134</v>
      </c>
      <c r="B135" s="2959" t="s">
        <v>3122</v>
      </c>
      <c r="C135" s="2959" t="s">
        <v>3173</v>
      </c>
      <c r="D135" s="2959" t="s">
        <v>3200</v>
      </c>
      <c r="E135" s="2959" t="s">
        <v>3125</v>
      </c>
      <c r="F135" s="2960">
        <v>316</v>
      </c>
      <c r="G135" s="2959" t="s">
        <v>3269</v>
      </c>
      <c r="H135" s="2959">
        <v>47.25</v>
      </c>
      <c r="I135" s="2959">
        <v>36.659999999999997</v>
      </c>
    </row>
    <row r="136" spans="1:9" ht="18.75" customHeight="1">
      <c r="A136" s="2958">
        <v>135</v>
      </c>
      <c r="B136" s="2959" t="s">
        <v>3122</v>
      </c>
      <c r="C136" s="2959" t="s">
        <v>3173</v>
      </c>
      <c r="D136" s="2959" t="s">
        <v>3200</v>
      </c>
      <c r="E136" s="2959" t="s">
        <v>3125</v>
      </c>
      <c r="F136" s="2960">
        <v>317</v>
      </c>
      <c r="G136" s="2959" t="s">
        <v>3270</v>
      </c>
      <c r="H136" s="2959">
        <v>47.25</v>
      </c>
      <c r="I136" s="2959">
        <v>36.659999999999997</v>
      </c>
    </row>
    <row r="137" spans="1:9" ht="18.75" customHeight="1">
      <c r="A137" s="2958">
        <v>136</v>
      </c>
      <c r="B137" s="2959" t="s">
        <v>3122</v>
      </c>
      <c r="C137" s="2959" t="s">
        <v>3173</v>
      </c>
      <c r="D137" s="2959" t="s">
        <v>3200</v>
      </c>
      <c r="E137" s="2959" t="s">
        <v>3125</v>
      </c>
      <c r="F137" s="2960">
        <v>318</v>
      </c>
      <c r="G137" s="2959" t="s">
        <v>3271</v>
      </c>
      <c r="H137" s="2959">
        <v>47.25</v>
      </c>
      <c r="I137" s="2959">
        <v>36.659999999999997</v>
      </c>
    </row>
    <row r="138" spans="1:9" ht="18.75" customHeight="1">
      <c r="A138" s="2958">
        <v>137</v>
      </c>
      <c r="B138" s="2959" t="s">
        <v>3122</v>
      </c>
      <c r="C138" s="2959" t="s">
        <v>3173</v>
      </c>
      <c r="D138" s="2959" t="s">
        <v>3200</v>
      </c>
      <c r="E138" s="2959" t="s">
        <v>3125</v>
      </c>
      <c r="F138" s="2960">
        <v>319</v>
      </c>
      <c r="G138" s="2959" t="s">
        <v>3272</v>
      </c>
      <c r="H138" s="2959">
        <v>47.25</v>
      </c>
      <c r="I138" s="2959">
        <v>36.659999999999997</v>
      </c>
    </row>
    <row r="139" spans="1:9" ht="18.75" customHeight="1">
      <c r="A139" s="2958">
        <v>138</v>
      </c>
      <c r="B139" s="2959" t="s">
        <v>3122</v>
      </c>
      <c r="C139" s="2959" t="s">
        <v>3173</v>
      </c>
      <c r="D139" s="2959" t="s">
        <v>3200</v>
      </c>
      <c r="E139" s="2959" t="s">
        <v>3125</v>
      </c>
      <c r="F139" s="2960">
        <v>320</v>
      </c>
      <c r="G139" s="2959" t="s">
        <v>3273</v>
      </c>
      <c r="H139" s="2959">
        <v>47.25</v>
      </c>
      <c r="I139" s="2959">
        <v>36.659999999999997</v>
      </c>
    </row>
    <row r="140" spans="1:9" ht="18.75" customHeight="1">
      <c r="A140" s="2958">
        <v>139</v>
      </c>
      <c r="B140" s="2959" t="s">
        <v>3122</v>
      </c>
      <c r="C140" s="2959" t="s">
        <v>3173</v>
      </c>
      <c r="D140" s="2959" t="s">
        <v>3200</v>
      </c>
      <c r="E140" s="2959" t="s">
        <v>3125</v>
      </c>
      <c r="F140" s="2960">
        <v>321</v>
      </c>
      <c r="G140" s="2959" t="s">
        <v>3274</v>
      </c>
      <c r="H140" s="2959">
        <v>47.25</v>
      </c>
      <c r="I140" s="2959">
        <v>36.659999999999997</v>
      </c>
    </row>
    <row r="141" spans="1:9" ht="18.75" customHeight="1">
      <c r="A141" s="2958">
        <v>140</v>
      </c>
      <c r="B141" s="2959" t="s">
        <v>3122</v>
      </c>
      <c r="C141" s="2959" t="s">
        <v>3173</v>
      </c>
      <c r="D141" s="2959" t="s">
        <v>3200</v>
      </c>
      <c r="E141" s="2959" t="s">
        <v>3125</v>
      </c>
      <c r="F141" s="2960">
        <v>322</v>
      </c>
      <c r="G141" s="2959" t="s">
        <v>3275</v>
      </c>
      <c r="H141" s="2959">
        <v>47.25</v>
      </c>
      <c r="I141" s="2959">
        <v>36.659999999999997</v>
      </c>
    </row>
    <row r="142" spans="1:9" ht="18.75" customHeight="1">
      <c r="A142" s="2958">
        <v>141</v>
      </c>
      <c r="B142" s="2959" t="s">
        <v>3122</v>
      </c>
      <c r="C142" s="2959" t="s">
        <v>3173</v>
      </c>
      <c r="D142" s="2959" t="s">
        <v>3200</v>
      </c>
      <c r="E142" s="2959" t="s">
        <v>3125</v>
      </c>
      <c r="F142" s="2960">
        <v>323</v>
      </c>
      <c r="G142" s="2959" t="s">
        <v>3276</v>
      </c>
      <c r="H142" s="2959">
        <v>47.25</v>
      </c>
      <c r="I142" s="2959">
        <v>36.659999999999997</v>
      </c>
    </row>
    <row r="143" spans="1:9" ht="18.75" customHeight="1">
      <c r="A143" s="2958">
        <v>142</v>
      </c>
      <c r="B143" s="2959" t="s">
        <v>3122</v>
      </c>
      <c r="C143" s="2959" t="s">
        <v>3173</v>
      </c>
      <c r="D143" s="2959" t="s">
        <v>3200</v>
      </c>
      <c r="E143" s="2959" t="s">
        <v>3125</v>
      </c>
      <c r="F143" s="2960">
        <v>324</v>
      </c>
      <c r="G143" s="2959" t="s">
        <v>3277</v>
      </c>
      <c r="H143" s="2959">
        <v>47.85</v>
      </c>
      <c r="I143" s="2959">
        <v>37.130000000000003</v>
      </c>
    </row>
    <row r="144" spans="1:9" ht="18.75" customHeight="1">
      <c r="A144" s="2958">
        <v>143</v>
      </c>
      <c r="B144" s="2959" t="s">
        <v>3122</v>
      </c>
      <c r="C144" s="2959" t="s">
        <v>3173</v>
      </c>
      <c r="D144" s="2959" t="s">
        <v>3200</v>
      </c>
      <c r="E144" s="2959" t="s">
        <v>3125</v>
      </c>
      <c r="F144" s="2960">
        <v>410</v>
      </c>
      <c r="G144" s="2959" t="s">
        <v>3278</v>
      </c>
      <c r="H144" s="2959">
        <v>31.79</v>
      </c>
      <c r="I144" s="2959">
        <v>24.67</v>
      </c>
    </row>
    <row r="145" spans="1:9" ht="18.75" customHeight="1">
      <c r="A145" s="2958">
        <v>144</v>
      </c>
      <c r="B145" s="2959" t="s">
        <v>3122</v>
      </c>
      <c r="C145" s="2959" t="s">
        <v>3173</v>
      </c>
      <c r="D145" s="2959" t="s">
        <v>3200</v>
      </c>
      <c r="E145" s="2959" t="s">
        <v>3125</v>
      </c>
      <c r="F145" s="2960">
        <v>411</v>
      </c>
      <c r="G145" s="2959" t="s">
        <v>3279</v>
      </c>
      <c r="H145" s="2959">
        <v>31.79</v>
      </c>
      <c r="I145" s="2959">
        <v>24.67</v>
      </c>
    </row>
    <row r="146" spans="1:9" ht="18.75" customHeight="1">
      <c r="A146" s="2958">
        <v>145</v>
      </c>
      <c r="B146" s="2959" t="s">
        <v>3122</v>
      </c>
      <c r="C146" s="2959" t="s">
        <v>3173</v>
      </c>
      <c r="D146" s="2959" t="s">
        <v>3200</v>
      </c>
      <c r="E146" s="2959" t="s">
        <v>3125</v>
      </c>
      <c r="F146" s="2960">
        <v>412</v>
      </c>
      <c r="G146" s="2959" t="s">
        <v>3280</v>
      </c>
      <c r="H146" s="2959">
        <v>32.19</v>
      </c>
      <c r="I146" s="2959">
        <v>24.98</v>
      </c>
    </row>
    <row r="147" spans="1:9" ht="18.75" customHeight="1">
      <c r="A147" s="2958">
        <v>146</v>
      </c>
      <c r="B147" s="2959" t="s">
        <v>3122</v>
      </c>
      <c r="C147" s="2959" t="s">
        <v>3173</v>
      </c>
      <c r="D147" s="2959" t="s">
        <v>3200</v>
      </c>
      <c r="E147" s="2959" t="s">
        <v>3125</v>
      </c>
      <c r="F147" s="2960">
        <v>413</v>
      </c>
      <c r="G147" s="2959" t="s">
        <v>3281</v>
      </c>
      <c r="H147" s="2959">
        <v>32</v>
      </c>
      <c r="I147" s="2959">
        <v>24.83</v>
      </c>
    </row>
    <row r="148" spans="1:9" ht="18.75" customHeight="1">
      <c r="A148" s="2958">
        <v>147</v>
      </c>
      <c r="B148" s="2959" t="s">
        <v>3122</v>
      </c>
      <c r="C148" s="2959" t="s">
        <v>3173</v>
      </c>
      <c r="D148" s="2959" t="s">
        <v>3200</v>
      </c>
      <c r="E148" s="2959" t="s">
        <v>3125</v>
      </c>
      <c r="F148" s="2960">
        <v>414</v>
      </c>
      <c r="G148" s="2959" t="s">
        <v>3282</v>
      </c>
      <c r="H148" s="2959">
        <v>32.19</v>
      </c>
      <c r="I148" s="2959">
        <v>24.98</v>
      </c>
    </row>
    <row r="149" spans="1:9" ht="18.75" customHeight="1">
      <c r="A149" s="2958">
        <v>148</v>
      </c>
      <c r="B149" s="2959" t="s">
        <v>3122</v>
      </c>
      <c r="C149" s="2959" t="s">
        <v>3173</v>
      </c>
      <c r="D149" s="2959" t="s">
        <v>3200</v>
      </c>
      <c r="E149" s="2959" t="s">
        <v>3125</v>
      </c>
      <c r="F149" s="2960">
        <v>415</v>
      </c>
      <c r="G149" s="2959" t="s">
        <v>3283</v>
      </c>
      <c r="H149" s="2959">
        <v>47.85</v>
      </c>
      <c r="I149" s="2959">
        <v>37.130000000000003</v>
      </c>
    </row>
    <row r="150" spans="1:9" ht="18.75" customHeight="1">
      <c r="A150" s="2958">
        <v>149</v>
      </c>
      <c r="B150" s="2959" t="s">
        <v>3122</v>
      </c>
      <c r="C150" s="2959" t="s">
        <v>3173</v>
      </c>
      <c r="D150" s="2959" t="s">
        <v>3200</v>
      </c>
      <c r="E150" s="2959" t="s">
        <v>3125</v>
      </c>
      <c r="F150" s="2960">
        <v>416</v>
      </c>
      <c r="G150" s="2959" t="s">
        <v>3284</v>
      </c>
      <c r="H150" s="2959">
        <v>47.25</v>
      </c>
      <c r="I150" s="2959">
        <v>36.659999999999997</v>
      </c>
    </row>
    <row r="151" spans="1:9" ht="18.75" customHeight="1">
      <c r="A151" s="2958">
        <v>150</v>
      </c>
      <c r="B151" s="2959" t="s">
        <v>3122</v>
      </c>
      <c r="C151" s="2959" t="s">
        <v>3173</v>
      </c>
      <c r="D151" s="2959" t="s">
        <v>3200</v>
      </c>
      <c r="E151" s="2959" t="s">
        <v>3125</v>
      </c>
      <c r="F151" s="2960">
        <v>417</v>
      </c>
      <c r="G151" s="2959" t="s">
        <v>3285</v>
      </c>
      <c r="H151" s="2959">
        <v>47.25</v>
      </c>
      <c r="I151" s="2959">
        <v>36.659999999999997</v>
      </c>
    </row>
    <row r="152" spans="1:9" ht="18.75" customHeight="1">
      <c r="A152" s="2958">
        <v>151</v>
      </c>
      <c r="B152" s="2959" t="s">
        <v>3122</v>
      </c>
      <c r="C152" s="2959" t="s">
        <v>3173</v>
      </c>
      <c r="D152" s="2959" t="s">
        <v>3200</v>
      </c>
      <c r="E152" s="2959" t="s">
        <v>3125</v>
      </c>
      <c r="F152" s="2960">
        <v>418</v>
      </c>
      <c r="G152" s="2959" t="s">
        <v>3286</v>
      </c>
      <c r="H152" s="2959">
        <v>47.25</v>
      </c>
      <c r="I152" s="2959">
        <v>36.659999999999997</v>
      </c>
    </row>
    <row r="153" spans="1:9" ht="18.75" customHeight="1">
      <c r="A153" s="2958">
        <v>152</v>
      </c>
      <c r="B153" s="2959" t="s">
        <v>3122</v>
      </c>
      <c r="C153" s="2959" t="s">
        <v>3173</v>
      </c>
      <c r="D153" s="2959" t="s">
        <v>3200</v>
      </c>
      <c r="E153" s="2959" t="s">
        <v>3125</v>
      </c>
      <c r="F153" s="2960">
        <v>419</v>
      </c>
      <c r="G153" s="2959" t="s">
        <v>3287</v>
      </c>
      <c r="H153" s="2959">
        <v>47.25</v>
      </c>
      <c r="I153" s="2959">
        <v>36.659999999999997</v>
      </c>
    </row>
    <row r="154" spans="1:9" ht="18.75" customHeight="1">
      <c r="A154" s="2958">
        <v>153</v>
      </c>
      <c r="B154" s="2959" t="s">
        <v>3122</v>
      </c>
      <c r="C154" s="2959" t="s">
        <v>3173</v>
      </c>
      <c r="D154" s="2959" t="s">
        <v>3200</v>
      </c>
      <c r="E154" s="2959" t="s">
        <v>3125</v>
      </c>
      <c r="F154" s="2960">
        <v>420</v>
      </c>
      <c r="G154" s="2959" t="s">
        <v>3288</v>
      </c>
      <c r="H154" s="2959">
        <v>47.25</v>
      </c>
      <c r="I154" s="2959">
        <v>36.659999999999997</v>
      </c>
    </row>
    <row r="155" spans="1:9" ht="18.75" customHeight="1">
      <c r="A155" s="2958">
        <v>154</v>
      </c>
      <c r="B155" s="2959" t="s">
        <v>3122</v>
      </c>
      <c r="C155" s="2959" t="s">
        <v>3173</v>
      </c>
      <c r="D155" s="2959" t="s">
        <v>3200</v>
      </c>
      <c r="E155" s="2959" t="s">
        <v>3125</v>
      </c>
      <c r="F155" s="2960">
        <v>421</v>
      </c>
      <c r="G155" s="2959" t="s">
        <v>3289</v>
      </c>
      <c r="H155" s="2959">
        <v>47.25</v>
      </c>
      <c r="I155" s="2959">
        <v>36.659999999999997</v>
      </c>
    </row>
    <row r="156" spans="1:9" ht="18.75" customHeight="1">
      <c r="A156" s="2958">
        <v>155</v>
      </c>
      <c r="B156" s="2959" t="s">
        <v>3122</v>
      </c>
      <c r="C156" s="2959" t="s">
        <v>3173</v>
      </c>
      <c r="D156" s="2959" t="s">
        <v>3200</v>
      </c>
      <c r="E156" s="2959" t="s">
        <v>3125</v>
      </c>
      <c r="F156" s="2960">
        <v>422</v>
      </c>
      <c r="G156" s="2959" t="s">
        <v>3290</v>
      </c>
      <c r="H156" s="2959">
        <v>47.25</v>
      </c>
      <c r="I156" s="2959">
        <v>36.659999999999997</v>
      </c>
    </row>
    <row r="157" spans="1:9" ht="18.75" customHeight="1">
      <c r="A157" s="2958">
        <v>156</v>
      </c>
      <c r="B157" s="2959" t="s">
        <v>3122</v>
      </c>
      <c r="C157" s="2959" t="s">
        <v>3173</v>
      </c>
      <c r="D157" s="2959" t="s">
        <v>3200</v>
      </c>
      <c r="E157" s="2959" t="s">
        <v>3125</v>
      </c>
      <c r="F157" s="2960">
        <v>423</v>
      </c>
      <c r="G157" s="2959" t="s">
        <v>3291</v>
      </c>
      <c r="H157" s="2959">
        <v>47.25</v>
      </c>
      <c r="I157" s="2959">
        <v>36.659999999999997</v>
      </c>
    </row>
    <row r="158" spans="1:9" ht="18.75" customHeight="1">
      <c r="A158" s="2958">
        <v>157</v>
      </c>
      <c r="B158" s="2959" t="s">
        <v>3122</v>
      </c>
      <c r="C158" s="2959" t="s">
        <v>3173</v>
      </c>
      <c r="D158" s="2959" t="s">
        <v>3200</v>
      </c>
      <c r="E158" s="2959" t="s">
        <v>3125</v>
      </c>
      <c r="F158" s="2960">
        <v>424</v>
      </c>
      <c r="G158" s="2959" t="s">
        <v>3292</v>
      </c>
      <c r="H158" s="2959">
        <v>47.85</v>
      </c>
      <c r="I158" s="2959">
        <v>37.130000000000003</v>
      </c>
    </row>
    <row r="159" spans="1:9" ht="18.75" customHeight="1">
      <c r="A159" s="2958">
        <v>158</v>
      </c>
      <c r="B159" s="2959" t="s">
        <v>3122</v>
      </c>
      <c r="C159" s="2959" t="s">
        <v>3173</v>
      </c>
      <c r="D159" s="2959" t="s">
        <v>3200</v>
      </c>
      <c r="E159" s="2959" t="s">
        <v>3125</v>
      </c>
      <c r="F159" s="2960">
        <v>510</v>
      </c>
      <c r="G159" s="2959" t="s">
        <v>3293</v>
      </c>
      <c r="H159" s="2959">
        <v>31.79</v>
      </c>
      <c r="I159" s="2959">
        <v>24.67</v>
      </c>
    </row>
    <row r="160" spans="1:9" ht="18.75" customHeight="1">
      <c r="A160" s="2958">
        <v>159</v>
      </c>
      <c r="B160" s="2959" t="s">
        <v>3122</v>
      </c>
      <c r="C160" s="2959" t="s">
        <v>3173</v>
      </c>
      <c r="D160" s="2959" t="s">
        <v>3200</v>
      </c>
      <c r="E160" s="2959" t="s">
        <v>3125</v>
      </c>
      <c r="F160" s="2960">
        <v>511</v>
      </c>
      <c r="G160" s="2959" t="s">
        <v>3294</v>
      </c>
      <c r="H160" s="2959">
        <v>31.79</v>
      </c>
      <c r="I160" s="2959">
        <v>24.67</v>
      </c>
    </row>
    <row r="161" spans="1:9" ht="18.75" customHeight="1">
      <c r="A161" s="2958">
        <v>160</v>
      </c>
      <c r="B161" s="2959" t="s">
        <v>3122</v>
      </c>
      <c r="C161" s="2959" t="s">
        <v>3173</v>
      </c>
      <c r="D161" s="2959" t="s">
        <v>3200</v>
      </c>
      <c r="E161" s="2959" t="s">
        <v>3125</v>
      </c>
      <c r="F161" s="2960">
        <v>512</v>
      </c>
      <c r="G161" s="2959" t="s">
        <v>3295</v>
      </c>
      <c r="H161" s="2959">
        <v>32.19</v>
      </c>
      <c r="I161" s="2959">
        <v>24.98</v>
      </c>
    </row>
    <row r="162" spans="1:9" ht="18.75" customHeight="1">
      <c r="A162" s="2958">
        <v>161</v>
      </c>
      <c r="B162" s="2959" t="s">
        <v>3122</v>
      </c>
      <c r="C162" s="2959" t="s">
        <v>3173</v>
      </c>
      <c r="D162" s="2959" t="s">
        <v>3200</v>
      </c>
      <c r="E162" s="2959" t="s">
        <v>3125</v>
      </c>
      <c r="F162" s="2960">
        <v>513</v>
      </c>
      <c r="G162" s="2959" t="s">
        <v>3296</v>
      </c>
      <c r="H162" s="2959">
        <v>32</v>
      </c>
      <c r="I162" s="2959">
        <v>24.83</v>
      </c>
    </row>
    <row r="163" spans="1:9" ht="18.75" customHeight="1">
      <c r="A163" s="2958">
        <v>162</v>
      </c>
      <c r="B163" s="2959" t="s">
        <v>3122</v>
      </c>
      <c r="C163" s="2959" t="s">
        <v>3173</v>
      </c>
      <c r="D163" s="2959" t="s">
        <v>3200</v>
      </c>
      <c r="E163" s="2959" t="s">
        <v>3125</v>
      </c>
      <c r="F163" s="2960">
        <v>514</v>
      </c>
      <c r="G163" s="2959" t="s">
        <v>3297</v>
      </c>
      <c r="H163" s="2959">
        <v>32.19</v>
      </c>
      <c r="I163" s="2959">
        <v>24.98</v>
      </c>
    </row>
    <row r="164" spans="1:9" ht="18.75" customHeight="1">
      <c r="A164" s="2958">
        <v>163</v>
      </c>
      <c r="B164" s="2959" t="s">
        <v>3122</v>
      </c>
      <c r="C164" s="2959" t="s">
        <v>3173</v>
      </c>
      <c r="D164" s="2959" t="s">
        <v>3200</v>
      </c>
      <c r="E164" s="2959" t="s">
        <v>3125</v>
      </c>
      <c r="F164" s="2960">
        <v>515</v>
      </c>
      <c r="G164" s="2959" t="s">
        <v>3298</v>
      </c>
      <c r="H164" s="2959">
        <v>47.85</v>
      </c>
      <c r="I164" s="2959">
        <v>37.130000000000003</v>
      </c>
    </row>
    <row r="165" spans="1:9" ht="18.75" customHeight="1">
      <c r="A165" s="2958">
        <v>164</v>
      </c>
      <c r="B165" s="2959" t="s">
        <v>3122</v>
      </c>
      <c r="C165" s="2959" t="s">
        <v>3173</v>
      </c>
      <c r="D165" s="2959" t="s">
        <v>3200</v>
      </c>
      <c r="E165" s="2959" t="s">
        <v>3125</v>
      </c>
      <c r="F165" s="2960">
        <v>516</v>
      </c>
      <c r="G165" s="2959" t="s">
        <v>3299</v>
      </c>
      <c r="H165" s="2959">
        <v>47.25</v>
      </c>
      <c r="I165" s="2959">
        <v>36.659999999999997</v>
      </c>
    </row>
    <row r="166" spans="1:9" ht="18.75" customHeight="1">
      <c r="A166" s="2958">
        <v>165</v>
      </c>
      <c r="B166" s="2959" t="s">
        <v>3122</v>
      </c>
      <c r="C166" s="2959" t="s">
        <v>3173</v>
      </c>
      <c r="D166" s="2959" t="s">
        <v>3200</v>
      </c>
      <c r="E166" s="2959" t="s">
        <v>3125</v>
      </c>
      <c r="F166" s="2960">
        <v>517</v>
      </c>
      <c r="G166" s="2959" t="s">
        <v>3300</v>
      </c>
      <c r="H166" s="2959">
        <v>47.25</v>
      </c>
      <c r="I166" s="2959">
        <v>36.659999999999997</v>
      </c>
    </row>
    <row r="167" spans="1:9" ht="18.75" customHeight="1">
      <c r="A167" s="2958">
        <v>166</v>
      </c>
      <c r="B167" s="2959" t="s">
        <v>3122</v>
      </c>
      <c r="C167" s="2959" t="s">
        <v>3173</v>
      </c>
      <c r="D167" s="2959" t="s">
        <v>3200</v>
      </c>
      <c r="E167" s="2959" t="s">
        <v>3125</v>
      </c>
      <c r="F167" s="2960">
        <v>518</v>
      </c>
      <c r="G167" s="2959" t="s">
        <v>3301</v>
      </c>
      <c r="H167" s="2959">
        <v>47.25</v>
      </c>
      <c r="I167" s="2959">
        <v>36.659999999999997</v>
      </c>
    </row>
    <row r="168" spans="1:9" ht="18.75" customHeight="1">
      <c r="A168" s="2958">
        <v>167</v>
      </c>
      <c r="B168" s="2959" t="s">
        <v>3122</v>
      </c>
      <c r="C168" s="2959" t="s">
        <v>3173</v>
      </c>
      <c r="D168" s="2959" t="s">
        <v>3200</v>
      </c>
      <c r="E168" s="2959" t="s">
        <v>3125</v>
      </c>
      <c r="F168" s="2960">
        <v>519</v>
      </c>
      <c r="G168" s="2959" t="s">
        <v>3302</v>
      </c>
      <c r="H168" s="2959">
        <v>47.25</v>
      </c>
      <c r="I168" s="2959">
        <v>36.659999999999997</v>
      </c>
    </row>
    <row r="169" spans="1:9" ht="18.75" customHeight="1">
      <c r="A169" s="2958">
        <v>168</v>
      </c>
      <c r="B169" s="2959" t="s">
        <v>3122</v>
      </c>
      <c r="C169" s="2959" t="s">
        <v>3173</v>
      </c>
      <c r="D169" s="2959" t="s">
        <v>3200</v>
      </c>
      <c r="E169" s="2959" t="s">
        <v>3125</v>
      </c>
      <c r="F169" s="2960">
        <v>520</v>
      </c>
      <c r="G169" s="2959" t="s">
        <v>3303</v>
      </c>
      <c r="H169" s="2959">
        <v>47.25</v>
      </c>
      <c r="I169" s="2959">
        <v>36.659999999999997</v>
      </c>
    </row>
    <row r="170" spans="1:9" ht="18.75" customHeight="1">
      <c r="A170" s="2958">
        <v>169</v>
      </c>
      <c r="B170" s="2959" t="s">
        <v>3122</v>
      </c>
      <c r="C170" s="2959" t="s">
        <v>3173</v>
      </c>
      <c r="D170" s="2959" t="s">
        <v>3200</v>
      </c>
      <c r="E170" s="2959" t="s">
        <v>3125</v>
      </c>
      <c r="F170" s="2960">
        <v>521</v>
      </c>
      <c r="G170" s="2959" t="s">
        <v>3304</v>
      </c>
      <c r="H170" s="2959">
        <v>47.25</v>
      </c>
      <c r="I170" s="2959">
        <v>36.659999999999997</v>
      </c>
    </row>
    <row r="171" spans="1:9" ht="18.75" customHeight="1">
      <c r="A171" s="2958">
        <v>170</v>
      </c>
      <c r="B171" s="2959" t="s">
        <v>3122</v>
      </c>
      <c r="C171" s="2959" t="s">
        <v>3173</v>
      </c>
      <c r="D171" s="2959" t="s">
        <v>3200</v>
      </c>
      <c r="E171" s="2959" t="s">
        <v>3125</v>
      </c>
      <c r="F171" s="2960">
        <v>522</v>
      </c>
      <c r="G171" s="2959" t="s">
        <v>3305</v>
      </c>
      <c r="H171" s="2959">
        <v>47.25</v>
      </c>
      <c r="I171" s="2959">
        <v>36.659999999999997</v>
      </c>
    </row>
    <row r="172" spans="1:9" ht="18.75" customHeight="1">
      <c r="A172" s="2958">
        <v>171</v>
      </c>
      <c r="B172" s="2959" t="s">
        <v>3122</v>
      </c>
      <c r="C172" s="2959" t="s">
        <v>3173</v>
      </c>
      <c r="D172" s="2959" t="s">
        <v>3200</v>
      </c>
      <c r="E172" s="2959" t="s">
        <v>3125</v>
      </c>
      <c r="F172" s="2960">
        <v>523</v>
      </c>
      <c r="G172" s="2959" t="s">
        <v>3306</v>
      </c>
      <c r="H172" s="2959">
        <v>47.25</v>
      </c>
      <c r="I172" s="2959">
        <v>36.659999999999997</v>
      </c>
    </row>
    <row r="173" spans="1:9" ht="18.75" customHeight="1">
      <c r="A173" s="2958">
        <v>172</v>
      </c>
      <c r="B173" s="2959" t="s">
        <v>3122</v>
      </c>
      <c r="C173" s="2959" t="s">
        <v>3173</v>
      </c>
      <c r="D173" s="2959" t="s">
        <v>3200</v>
      </c>
      <c r="E173" s="2959" t="s">
        <v>3125</v>
      </c>
      <c r="F173" s="2960">
        <v>524</v>
      </c>
      <c r="G173" s="2959" t="s">
        <v>3307</v>
      </c>
      <c r="H173" s="2959">
        <v>47.85</v>
      </c>
      <c r="I173" s="2959">
        <v>37.130000000000003</v>
      </c>
    </row>
    <row r="174" spans="1:9" ht="18.75" customHeight="1">
      <c r="A174" s="2958">
        <v>173</v>
      </c>
      <c r="B174" s="2959" t="s">
        <v>3122</v>
      </c>
      <c r="C174" s="2959" t="s">
        <v>3173</v>
      </c>
      <c r="D174" s="2959" t="s">
        <v>3200</v>
      </c>
      <c r="E174" s="2959" t="s">
        <v>3125</v>
      </c>
      <c r="F174" s="2960">
        <v>610</v>
      </c>
      <c r="G174" s="2959" t="s">
        <v>3308</v>
      </c>
      <c r="H174" s="2959">
        <v>32</v>
      </c>
      <c r="I174" s="2959">
        <v>24.83</v>
      </c>
    </row>
    <row r="175" spans="1:9" ht="18.75" customHeight="1">
      <c r="A175" s="2958">
        <v>174</v>
      </c>
      <c r="B175" s="2959" t="s">
        <v>3122</v>
      </c>
      <c r="C175" s="2959" t="s">
        <v>3173</v>
      </c>
      <c r="D175" s="2959" t="s">
        <v>3200</v>
      </c>
      <c r="E175" s="2959" t="s">
        <v>3125</v>
      </c>
      <c r="F175" s="2960">
        <v>611</v>
      </c>
      <c r="G175" s="2959" t="s">
        <v>3309</v>
      </c>
      <c r="H175" s="2959">
        <v>31.79</v>
      </c>
      <c r="I175" s="2959">
        <v>24.67</v>
      </c>
    </row>
    <row r="176" spans="1:9" ht="18.75" customHeight="1">
      <c r="A176" s="2958">
        <v>175</v>
      </c>
      <c r="B176" s="2959" t="s">
        <v>3122</v>
      </c>
      <c r="C176" s="2959" t="s">
        <v>3173</v>
      </c>
      <c r="D176" s="2959" t="s">
        <v>3200</v>
      </c>
      <c r="E176" s="2959" t="s">
        <v>3125</v>
      </c>
      <c r="F176" s="2960">
        <v>612</v>
      </c>
      <c r="G176" s="2959" t="s">
        <v>3310</v>
      </c>
      <c r="H176" s="2959">
        <v>32</v>
      </c>
      <c r="I176" s="2959">
        <v>24.83</v>
      </c>
    </row>
    <row r="177" spans="1:9" ht="18.75" customHeight="1">
      <c r="A177" s="2958">
        <v>176</v>
      </c>
      <c r="B177" s="2959" t="s">
        <v>3122</v>
      </c>
      <c r="C177" s="2959" t="s">
        <v>3173</v>
      </c>
      <c r="D177" s="2959" t="s">
        <v>3200</v>
      </c>
      <c r="E177" s="2959" t="s">
        <v>3125</v>
      </c>
      <c r="F177" s="2960">
        <v>613</v>
      </c>
      <c r="G177" s="2959" t="s">
        <v>3311</v>
      </c>
      <c r="H177" s="2959">
        <v>32</v>
      </c>
      <c r="I177" s="2959">
        <v>24.83</v>
      </c>
    </row>
    <row r="178" spans="1:9" ht="18.75" customHeight="1">
      <c r="A178" s="2958">
        <v>177</v>
      </c>
      <c r="B178" s="2959" t="s">
        <v>3122</v>
      </c>
      <c r="C178" s="2959" t="s">
        <v>3173</v>
      </c>
      <c r="D178" s="2959" t="s">
        <v>3200</v>
      </c>
      <c r="E178" s="2959" t="s">
        <v>3125</v>
      </c>
      <c r="F178" s="2960">
        <v>614</v>
      </c>
      <c r="G178" s="2959" t="s">
        <v>3312</v>
      </c>
      <c r="H178" s="2959">
        <v>32.4</v>
      </c>
      <c r="I178" s="2959">
        <v>25.14</v>
      </c>
    </row>
    <row r="179" spans="1:9" ht="18.75" customHeight="1">
      <c r="A179" s="2958">
        <v>178</v>
      </c>
      <c r="B179" s="2959" t="s">
        <v>3122</v>
      </c>
      <c r="C179" s="2959" t="s">
        <v>3173</v>
      </c>
      <c r="D179" s="2959" t="s">
        <v>3200</v>
      </c>
      <c r="E179" s="2959" t="s">
        <v>3125</v>
      </c>
      <c r="F179" s="2960">
        <v>615</v>
      </c>
      <c r="G179" s="2959" t="s">
        <v>3313</v>
      </c>
      <c r="H179" s="2959">
        <v>48.16</v>
      </c>
      <c r="I179" s="2959">
        <v>37.369999999999997</v>
      </c>
    </row>
    <row r="180" spans="1:9" ht="18.75" customHeight="1">
      <c r="A180" s="2958">
        <v>179</v>
      </c>
      <c r="B180" s="2959" t="s">
        <v>3122</v>
      </c>
      <c r="C180" s="2959" t="s">
        <v>3173</v>
      </c>
      <c r="D180" s="2959" t="s">
        <v>3200</v>
      </c>
      <c r="E180" s="2959" t="s">
        <v>3125</v>
      </c>
      <c r="F180" s="2960">
        <v>616</v>
      </c>
      <c r="G180" s="2959" t="s">
        <v>3314</v>
      </c>
      <c r="H180" s="2959">
        <v>47.25</v>
      </c>
      <c r="I180" s="2959">
        <v>36.659999999999997</v>
      </c>
    </row>
    <row r="181" spans="1:9" ht="18.75" customHeight="1">
      <c r="A181" s="2958">
        <v>180</v>
      </c>
      <c r="B181" s="2959" t="s">
        <v>3122</v>
      </c>
      <c r="C181" s="2959" t="s">
        <v>3173</v>
      </c>
      <c r="D181" s="2959" t="s">
        <v>3200</v>
      </c>
      <c r="E181" s="2959" t="s">
        <v>3125</v>
      </c>
      <c r="F181" s="2960">
        <v>617</v>
      </c>
      <c r="G181" s="2959" t="s">
        <v>3315</v>
      </c>
      <c r="H181" s="2959">
        <v>47.25</v>
      </c>
      <c r="I181" s="2959">
        <v>36.659999999999997</v>
      </c>
    </row>
    <row r="182" spans="1:9" ht="18.75" customHeight="1">
      <c r="A182" s="2958">
        <v>181</v>
      </c>
      <c r="B182" s="2959" t="s">
        <v>3122</v>
      </c>
      <c r="C182" s="2959" t="s">
        <v>3173</v>
      </c>
      <c r="D182" s="2959" t="s">
        <v>3200</v>
      </c>
      <c r="E182" s="2959" t="s">
        <v>3125</v>
      </c>
      <c r="F182" s="2960">
        <v>618</v>
      </c>
      <c r="G182" s="2959" t="s">
        <v>3316</v>
      </c>
      <c r="H182" s="2959">
        <v>47.25</v>
      </c>
      <c r="I182" s="2959">
        <v>36.659999999999997</v>
      </c>
    </row>
    <row r="183" spans="1:9" ht="18.75" customHeight="1">
      <c r="A183" s="2958">
        <v>182</v>
      </c>
      <c r="B183" s="2959" t="s">
        <v>3122</v>
      </c>
      <c r="C183" s="2959" t="s">
        <v>3173</v>
      </c>
      <c r="D183" s="2959" t="s">
        <v>3200</v>
      </c>
      <c r="E183" s="2959" t="s">
        <v>3125</v>
      </c>
      <c r="F183" s="2960">
        <v>619</v>
      </c>
      <c r="G183" s="2959" t="s">
        <v>3317</v>
      </c>
      <c r="H183" s="2959">
        <v>47.25</v>
      </c>
      <c r="I183" s="2959">
        <v>36.659999999999997</v>
      </c>
    </row>
    <row r="184" spans="1:9" ht="18.75" customHeight="1">
      <c r="A184" s="2958">
        <v>183</v>
      </c>
      <c r="B184" s="2959" t="s">
        <v>3122</v>
      </c>
      <c r="C184" s="2959" t="s">
        <v>3173</v>
      </c>
      <c r="D184" s="2959" t="s">
        <v>3200</v>
      </c>
      <c r="E184" s="2959" t="s">
        <v>3125</v>
      </c>
      <c r="F184" s="2960">
        <v>620</v>
      </c>
      <c r="G184" s="2959" t="s">
        <v>3318</v>
      </c>
      <c r="H184" s="2959">
        <v>47.25</v>
      </c>
      <c r="I184" s="2959">
        <v>36.659999999999997</v>
      </c>
    </row>
    <row r="185" spans="1:9" ht="18.75" customHeight="1">
      <c r="A185" s="2958">
        <v>184</v>
      </c>
      <c r="B185" s="2959" t="s">
        <v>3122</v>
      </c>
      <c r="C185" s="2959" t="s">
        <v>3173</v>
      </c>
      <c r="D185" s="2959" t="s">
        <v>3200</v>
      </c>
      <c r="E185" s="2959" t="s">
        <v>3125</v>
      </c>
      <c r="F185" s="2960">
        <v>621</v>
      </c>
      <c r="G185" s="2959" t="s">
        <v>3319</v>
      </c>
      <c r="H185" s="2959">
        <v>47.25</v>
      </c>
      <c r="I185" s="2959">
        <v>36.659999999999997</v>
      </c>
    </row>
    <row r="186" spans="1:9" ht="18.75" customHeight="1">
      <c r="A186" s="2958">
        <v>185</v>
      </c>
      <c r="B186" s="2959" t="s">
        <v>3122</v>
      </c>
      <c r="C186" s="2959" t="s">
        <v>3173</v>
      </c>
      <c r="D186" s="2959" t="s">
        <v>3200</v>
      </c>
      <c r="E186" s="2959" t="s">
        <v>3125</v>
      </c>
      <c r="F186" s="2960">
        <v>622</v>
      </c>
      <c r="G186" s="2959" t="s">
        <v>3320</v>
      </c>
      <c r="H186" s="2959">
        <v>47.25</v>
      </c>
      <c r="I186" s="2959">
        <v>36.659999999999997</v>
      </c>
    </row>
    <row r="187" spans="1:9" ht="18.75" customHeight="1">
      <c r="A187" s="2958">
        <v>186</v>
      </c>
      <c r="B187" s="2959" t="s">
        <v>3122</v>
      </c>
      <c r="C187" s="2959" t="s">
        <v>3173</v>
      </c>
      <c r="D187" s="2959" t="s">
        <v>3200</v>
      </c>
      <c r="E187" s="2959" t="s">
        <v>3125</v>
      </c>
      <c r="F187" s="2960">
        <v>623</v>
      </c>
      <c r="G187" s="2959" t="s">
        <v>3321</v>
      </c>
      <c r="H187" s="2959">
        <v>47.25</v>
      </c>
      <c r="I187" s="2959">
        <v>36.659999999999997</v>
      </c>
    </row>
    <row r="188" spans="1:9" ht="18.75" customHeight="1">
      <c r="A188" s="2958">
        <v>187</v>
      </c>
      <c r="B188" s="2959" t="s">
        <v>3122</v>
      </c>
      <c r="C188" s="2959" t="s">
        <v>3173</v>
      </c>
      <c r="D188" s="2959" t="s">
        <v>3200</v>
      </c>
      <c r="E188" s="2959" t="s">
        <v>3125</v>
      </c>
      <c r="F188" s="2960">
        <v>624</v>
      </c>
      <c r="G188" s="2959" t="s">
        <v>3322</v>
      </c>
      <c r="H188" s="2959">
        <v>47.85</v>
      </c>
      <c r="I188" s="2959">
        <v>37.130000000000003</v>
      </c>
    </row>
    <row r="189" spans="1:9" ht="18.75" customHeight="1">
      <c r="A189" s="2958">
        <v>188</v>
      </c>
      <c r="B189" s="2959" t="s">
        <v>3122</v>
      </c>
      <c r="C189" s="2959" t="s">
        <v>3173</v>
      </c>
      <c r="D189" s="2959" t="s">
        <v>3200</v>
      </c>
      <c r="E189" s="2959" t="s">
        <v>3125</v>
      </c>
      <c r="F189" s="2960">
        <v>711</v>
      </c>
      <c r="G189" s="2959" t="s">
        <v>3323</v>
      </c>
      <c r="H189" s="2959">
        <v>31.79</v>
      </c>
      <c r="I189" s="2959">
        <v>24.67</v>
      </c>
    </row>
    <row r="190" spans="1:9" ht="18.75" customHeight="1">
      <c r="A190" s="2958">
        <v>189</v>
      </c>
      <c r="B190" s="2959" t="s">
        <v>3122</v>
      </c>
      <c r="C190" s="2959" t="s">
        <v>3173</v>
      </c>
      <c r="D190" s="2959" t="s">
        <v>3200</v>
      </c>
      <c r="E190" s="2959" t="s">
        <v>3125</v>
      </c>
      <c r="F190" s="2960">
        <v>712</v>
      </c>
      <c r="G190" s="2959" t="s">
        <v>3324</v>
      </c>
      <c r="H190" s="2959">
        <v>32</v>
      </c>
      <c r="I190" s="2959">
        <v>24.83</v>
      </c>
    </row>
    <row r="191" spans="1:9" ht="18.75" customHeight="1">
      <c r="A191" s="2958">
        <v>190</v>
      </c>
      <c r="B191" s="2959" t="s">
        <v>3122</v>
      </c>
      <c r="C191" s="2959" t="s">
        <v>3173</v>
      </c>
      <c r="D191" s="2959" t="s">
        <v>3200</v>
      </c>
      <c r="E191" s="2959" t="s">
        <v>3125</v>
      </c>
      <c r="F191" s="2960">
        <v>713</v>
      </c>
      <c r="G191" s="2959" t="s">
        <v>3325</v>
      </c>
      <c r="H191" s="2959">
        <v>32</v>
      </c>
      <c r="I191" s="2959">
        <v>24.83</v>
      </c>
    </row>
    <row r="192" spans="1:9" ht="18.75" customHeight="1">
      <c r="A192" s="2958">
        <v>191</v>
      </c>
      <c r="B192" s="2959" t="s">
        <v>3122</v>
      </c>
      <c r="C192" s="2959" t="s">
        <v>3173</v>
      </c>
      <c r="D192" s="2959" t="s">
        <v>3200</v>
      </c>
      <c r="E192" s="2959" t="s">
        <v>3125</v>
      </c>
      <c r="F192" s="2960">
        <v>714</v>
      </c>
      <c r="G192" s="2959" t="s">
        <v>3326</v>
      </c>
      <c r="H192" s="2959">
        <v>32.4</v>
      </c>
      <c r="I192" s="2959">
        <v>25.14</v>
      </c>
    </row>
    <row r="193" spans="1:9" ht="18.75" customHeight="1">
      <c r="A193" s="2958">
        <v>192</v>
      </c>
      <c r="B193" s="2959" t="s">
        <v>3122</v>
      </c>
      <c r="C193" s="2959" t="s">
        <v>3173</v>
      </c>
      <c r="D193" s="2959" t="s">
        <v>3200</v>
      </c>
      <c r="E193" s="2959" t="s">
        <v>3125</v>
      </c>
      <c r="F193" s="2960">
        <v>716</v>
      </c>
      <c r="G193" s="2959" t="s">
        <v>3327</v>
      </c>
      <c r="H193" s="2959">
        <v>47.25</v>
      </c>
      <c r="I193" s="2959">
        <v>36.659999999999997</v>
      </c>
    </row>
    <row r="194" spans="1:9" ht="18.75" customHeight="1">
      <c r="A194" s="2958">
        <v>193</v>
      </c>
      <c r="B194" s="2959" t="s">
        <v>3122</v>
      </c>
      <c r="C194" s="2959" t="s">
        <v>3173</v>
      </c>
      <c r="D194" s="2959" t="s">
        <v>3200</v>
      </c>
      <c r="E194" s="2959" t="s">
        <v>3125</v>
      </c>
      <c r="F194" s="2960">
        <v>717</v>
      </c>
      <c r="G194" s="2959" t="s">
        <v>3328</v>
      </c>
      <c r="H194" s="2959">
        <v>47.25</v>
      </c>
      <c r="I194" s="2959">
        <v>36.659999999999997</v>
      </c>
    </row>
    <row r="195" spans="1:9" ht="18.75" customHeight="1">
      <c r="A195" s="2958">
        <v>194</v>
      </c>
      <c r="B195" s="2959" t="s">
        <v>3122</v>
      </c>
      <c r="C195" s="2959" t="s">
        <v>3173</v>
      </c>
      <c r="D195" s="2959" t="s">
        <v>3200</v>
      </c>
      <c r="E195" s="2959" t="s">
        <v>3125</v>
      </c>
      <c r="F195" s="2960">
        <v>718</v>
      </c>
      <c r="G195" s="2959" t="s">
        <v>3329</v>
      </c>
      <c r="H195" s="2959">
        <v>47.25</v>
      </c>
      <c r="I195" s="2959">
        <v>36.659999999999997</v>
      </c>
    </row>
    <row r="196" spans="1:9" ht="18.75" customHeight="1">
      <c r="A196" s="2958">
        <v>195</v>
      </c>
      <c r="B196" s="2959" t="s">
        <v>3122</v>
      </c>
      <c r="C196" s="2959" t="s">
        <v>3173</v>
      </c>
      <c r="D196" s="2959" t="s">
        <v>3200</v>
      </c>
      <c r="E196" s="2959" t="s">
        <v>3125</v>
      </c>
      <c r="F196" s="2960">
        <v>719</v>
      </c>
      <c r="G196" s="2959" t="s">
        <v>3330</v>
      </c>
      <c r="H196" s="2959">
        <v>47.25</v>
      </c>
      <c r="I196" s="2959">
        <v>36.659999999999997</v>
      </c>
    </row>
    <row r="197" spans="1:9" ht="18.75" customHeight="1">
      <c r="A197" s="2958">
        <v>196</v>
      </c>
      <c r="B197" s="2959" t="s">
        <v>3122</v>
      </c>
      <c r="C197" s="2959" t="s">
        <v>3173</v>
      </c>
      <c r="D197" s="2959" t="s">
        <v>3200</v>
      </c>
      <c r="E197" s="2959" t="s">
        <v>3125</v>
      </c>
      <c r="F197" s="2960">
        <v>720</v>
      </c>
      <c r="G197" s="2959" t="s">
        <v>3331</v>
      </c>
      <c r="H197" s="2959">
        <v>47.25</v>
      </c>
      <c r="I197" s="2959">
        <v>36.659999999999997</v>
      </c>
    </row>
    <row r="198" spans="1:9" ht="18.75" customHeight="1">
      <c r="A198" s="2958">
        <v>197</v>
      </c>
      <c r="B198" s="2959" t="s">
        <v>3122</v>
      </c>
      <c r="C198" s="2959" t="s">
        <v>3173</v>
      </c>
      <c r="D198" s="2959" t="s">
        <v>3200</v>
      </c>
      <c r="E198" s="2959" t="s">
        <v>3125</v>
      </c>
      <c r="F198" s="2960">
        <v>721</v>
      </c>
      <c r="G198" s="2959" t="s">
        <v>3332</v>
      </c>
      <c r="H198" s="2959">
        <v>47.25</v>
      </c>
      <c r="I198" s="2959">
        <v>36.659999999999997</v>
      </c>
    </row>
    <row r="199" spans="1:9" ht="18.75" customHeight="1">
      <c r="A199" s="2958">
        <v>198</v>
      </c>
      <c r="B199" s="2959" t="s">
        <v>3122</v>
      </c>
      <c r="C199" s="2959" t="s">
        <v>3173</v>
      </c>
      <c r="D199" s="2959" t="s">
        <v>3200</v>
      </c>
      <c r="E199" s="2959" t="s">
        <v>3125</v>
      </c>
      <c r="F199" s="2960">
        <v>722</v>
      </c>
      <c r="G199" s="2959" t="s">
        <v>3333</v>
      </c>
      <c r="H199" s="2959">
        <v>47.25</v>
      </c>
      <c r="I199" s="2959">
        <v>36.659999999999997</v>
      </c>
    </row>
    <row r="200" spans="1:9" ht="18.75" customHeight="1">
      <c r="A200" s="2958">
        <v>199</v>
      </c>
      <c r="B200" s="2959" t="s">
        <v>3122</v>
      </c>
      <c r="C200" s="2959" t="s">
        <v>3173</v>
      </c>
      <c r="D200" s="2959" t="s">
        <v>3200</v>
      </c>
      <c r="E200" s="2959" t="s">
        <v>3125</v>
      </c>
      <c r="F200" s="2960">
        <v>723</v>
      </c>
      <c r="G200" s="2959" t="s">
        <v>3334</v>
      </c>
      <c r="H200" s="2959">
        <v>47.25</v>
      </c>
      <c r="I200" s="2959">
        <v>36.659999999999997</v>
      </c>
    </row>
    <row r="201" spans="1:9" ht="18.75" customHeight="1">
      <c r="A201" s="2958">
        <v>200</v>
      </c>
      <c r="B201" s="2959" t="s">
        <v>3122</v>
      </c>
      <c r="C201" s="2959" t="s">
        <v>3173</v>
      </c>
      <c r="D201" s="2959" t="s">
        <v>3200</v>
      </c>
      <c r="E201" s="2959" t="s">
        <v>3125</v>
      </c>
      <c r="F201" s="2960">
        <v>830</v>
      </c>
      <c r="G201" s="2959" t="s">
        <v>3335</v>
      </c>
      <c r="H201" s="2959">
        <v>31.79</v>
      </c>
      <c r="I201" s="2959">
        <v>24.67</v>
      </c>
    </row>
    <row r="202" spans="1:9" ht="18.75" customHeight="1">
      <c r="A202" s="2958">
        <v>201</v>
      </c>
      <c r="B202" s="2959" t="s">
        <v>3122</v>
      </c>
      <c r="C202" s="2959" t="s">
        <v>3173</v>
      </c>
      <c r="D202" s="2959" t="s">
        <v>3200</v>
      </c>
      <c r="E202" s="2959" t="s">
        <v>3125</v>
      </c>
      <c r="F202" s="2960">
        <v>1227</v>
      </c>
      <c r="G202" s="2959" t="s">
        <v>3336</v>
      </c>
      <c r="H202" s="2959">
        <v>31.59</v>
      </c>
      <c r="I202" s="2959">
        <v>24.51</v>
      </c>
    </row>
    <row r="203" spans="1:9" ht="18.75" customHeight="1">
      <c r="A203" s="2958">
        <v>202</v>
      </c>
      <c r="B203" s="2959" t="s">
        <v>3122</v>
      </c>
      <c r="C203" s="2959" t="s">
        <v>3173</v>
      </c>
      <c r="D203" s="2959" t="s">
        <v>3200</v>
      </c>
      <c r="E203" s="2959" t="s">
        <v>3125</v>
      </c>
      <c r="F203" s="2960">
        <v>1416</v>
      </c>
      <c r="G203" s="2959" t="s">
        <v>3337</v>
      </c>
      <c r="H203" s="2959">
        <v>47.25</v>
      </c>
      <c r="I203" s="2959">
        <v>36.659999999999997</v>
      </c>
    </row>
    <row r="204" spans="1:9" ht="18.75" customHeight="1">
      <c r="A204" s="2958">
        <v>203</v>
      </c>
      <c r="B204" s="2959" t="s">
        <v>3122</v>
      </c>
      <c r="C204" s="2959" t="s">
        <v>3173</v>
      </c>
      <c r="D204" s="2959" t="s">
        <v>3200</v>
      </c>
      <c r="E204" s="2959" t="s">
        <v>3125</v>
      </c>
      <c r="F204" s="2960">
        <v>1427</v>
      </c>
      <c r="G204" s="2959" t="s">
        <v>3338</v>
      </c>
      <c r="H204" s="2959">
        <v>31.59</v>
      </c>
      <c r="I204" s="2959">
        <v>24.51</v>
      </c>
    </row>
    <row r="205" spans="1:9" ht="18.75" customHeight="1">
      <c r="A205" s="2958">
        <v>204</v>
      </c>
      <c r="B205" s="2959" t="s">
        <v>3122</v>
      </c>
      <c r="C205" s="2959" t="s">
        <v>3173</v>
      </c>
      <c r="D205" s="2959" t="s">
        <v>3200</v>
      </c>
      <c r="E205" s="2959" t="s">
        <v>3125</v>
      </c>
      <c r="F205" s="2960">
        <v>1630</v>
      </c>
      <c r="G205" s="2959" t="s">
        <v>3339</v>
      </c>
      <c r="H205" s="2959">
        <v>31.79</v>
      </c>
      <c r="I205" s="2959">
        <v>24.67</v>
      </c>
    </row>
    <row r="206" spans="1:9" ht="18.75" customHeight="1">
      <c r="A206" s="2958">
        <v>205</v>
      </c>
      <c r="B206" s="2959" t="s">
        <v>3122</v>
      </c>
      <c r="C206" s="2959" t="s">
        <v>3173</v>
      </c>
      <c r="D206" s="2959" t="s">
        <v>3200</v>
      </c>
      <c r="E206" s="2959" t="s">
        <v>3125</v>
      </c>
      <c r="F206" s="2960">
        <v>1826</v>
      </c>
      <c r="G206" s="2959" t="s">
        <v>3340</v>
      </c>
      <c r="H206" s="2959">
        <v>31.72</v>
      </c>
      <c r="I206" s="2959">
        <v>24.61</v>
      </c>
    </row>
    <row r="207" spans="1:9" ht="18.75" customHeight="1">
      <c r="A207" s="2958">
        <v>206</v>
      </c>
      <c r="B207" s="2959" t="s">
        <v>3122</v>
      </c>
      <c r="C207" s="2959" t="s">
        <v>3173</v>
      </c>
      <c r="D207" s="2959" t="s">
        <v>3200</v>
      </c>
      <c r="E207" s="2959" t="s">
        <v>3125</v>
      </c>
      <c r="F207" s="2960">
        <v>1827</v>
      </c>
      <c r="G207" s="2959" t="s">
        <v>3341</v>
      </c>
      <c r="H207" s="2959">
        <v>31.59</v>
      </c>
      <c r="I207" s="2959">
        <v>24.51</v>
      </c>
    </row>
    <row r="208" spans="1:9" ht="18.75" customHeight="1">
      <c r="A208" s="2958">
        <v>207</v>
      </c>
      <c r="B208" s="2959" t="s">
        <v>3122</v>
      </c>
      <c r="C208" s="2959" t="s">
        <v>3173</v>
      </c>
      <c r="D208" s="2959" t="s">
        <v>3342</v>
      </c>
      <c r="E208" s="2959" t="s">
        <v>3125</v>
      </c>
      <c r="F208" s="2960">
        <v>201</v>
      </c>
      <c r="G208" s="2959" t="s">
        <v>3343</v>
      </c>
      <c r="H208" s="2959">
        <v>48.2</v>
      </c>
      <c r="I208" s="2959">
        <v>37.130000000000003</v>
      </c>
    </row>
    <row r="209" spans="1:9" ht="18.75" customHeight="1">
      <c r="A209" s="2958">
        <v>208</v>
      </c>
      <c r="B209" s="2959" t="s">
        <v>3122</v>
      </c>
      <c r="C209" s="2959" t="s">
        <v>3173</v>
      </c>
      <c r="D209" s="2959" t="s">
        <v>3342</v>
      </c>
      <c r="E209" s="2959" t="s">
        <v>3125</v>
      </c>
      <c r="F209" s="2960">
        <v>202</v>
      </c>
      <c r="G209" s="2959" t="s">
        <v>3344</v>
      </c>
      <c r="H209" s="2959">
        <v>47.59</v>
      </c>
      <c r="I209" s="2959">
        <v>36.659999999999997</v>
      </c>
    </row>
    <row r="210" spans="1:9" ht="18.75" customHeight="1">
      <c r="A210" s="2958">
        <v>209</v>
      </c>
      <c r="B210" s="2959" t="s">
        <v>3122</v>
      </c>
      <c r="C210" s="2959" t="s">
        <v>3173</v>
      </c>
      <c r="D210" s="2959" t="s">
        <v>3342</v>
      </c>
      <c r="E210" s="2959" t="s">
        <v>3125</v>
      </c>
      <c r="F210" s="2960">
        <v>203</v>
      </c>
      <c r="G210" s="2959" t="s">
        <v>3345</v>
      </c>
      <c r="H210" s="2959">
        <v>47.59</v>
      </c>
      <c r="I210" s="2959">
        <v>36.659999999999997</v>
      </c>
    </row>
    <row r="211" spans="1:9" ht="18.75" customHeight="1">
      <c r="A211" s="2958">
        <v>210</v>
      </c>
      <c r="B211" s="2959" t="s">
        <v>3122</v>
      </c>
      <c r="C211" s="2959" t="s">
        <v>3173</v>
      </c>
      <c r="D211" s="2959" t="s">
        <v>3342</v>
      </c>
      <c r="E211" s="2959" t="s">
        <v>3125</v>
      </c>
      <c r="F211" s="2960">
        <v>204</v>
      </c>
      <c r="G211" s="2959" t="s">
        <v>3346</v>
      </c>
      <c r="H211" s="2959">
        <v>47.59</v>
      </c>
      <c r="I211" s="2959">
        <v>36.659999999999997</v>
      </c>
    </row>
    <row r="212" spans="1:9" ht="18.75" customHeight="1">
      <c r="A212" s="2958">
        <v>211</v>
      </c>
      <c r="B212" s="2959" t="s">
        <v>3122</v>
      </c>
      <c r="C212" s="2959" t="s">
        <v>3173</v>
      </c>
      <c r="D212" s="2959" t="s">
        <v>3342</v>
      </c>
      <c r="E212" s="2959" t="s">
        <v>3125</v>
      </c>
      <c r="F212" s="2960">
        <v>205</v>
      </c>
      <c r="G212" s="2959" t="s">
        <v>3347</v>
      </c>
      <c r="H212" s="2959">
        <v>47.59</v>
      </c>
      <c r="I212" s="2959">
        <v>36.659999999999997</v>
      </c>
    </row>
    <row r="213" spans="1:9" ht="18.75" customHeight="1">
      <c r="A213" s="2958">
        <v>212</v>
      </c>
      <c r="B213" s="2959" t="s">
        <v>3122</v>
      </c>
      <c r="C213" s="2959" t="s">
        <v>3173</v>
      </c>
      <c r="D213" s="2959" t="s">
        <v>3342</v>
      </c>
      <c r="E213" s="2959" t="s">
        <v>3125</v>
      </c>
      <c r="F213" s="2960">
        <v>206</v>
      </c>
      <c r="G213" s="2959" t="s">
        <v>3348</v>
      </c>
      <c r="H213" s="2959">
        <v>47.59</v>
      </c>
      <c r="I213" s="2959">
        <v>36.659999999999997</v>
      </c>
    </row>
    <row r="214" spans="1:9" ht="18.75" customHeight="1">
      <c r="A214" s="2958">
        <v>213</v>
      </c>
      <c r="B214" s="2959" t="s">
        <v>3122</v>
      </c>
      <c r="C214" s="2959" t="s">
        <v>3173</v>
      </c>
      <c r="D214" s="2959" t="s">
        <v>3342</v>
      </c>
      <c r="E214" s="2959" t="s">
        <v>3125</v>
      </c>
      <c r="F214" s="2960">
        <v>207</v>
      </c>
      <c r="G214" s="2959" t="s">
        <v>3349</v>
      </c>
      <c r="H214" s="2959">
        <v>47.59</v>
      </c>
      <c r="I214" s="2959">
        <v>36.659999999999997</v>
      </c>
    </row>
    <row r="215" spans="1:9" ht="18.75" customHeight="1">
      <c r="A215" s="2958">
        <v>214</v>
      </c>
      <c r="B215" s="2959" t="s">
        <v>3122</v>
      </c>
      <c r="C215" s="2959" t="s">
        <v>3173</v>
      </c>
      <c r="D215" s="2959" t="s">
        <v>3342</v>
      </c>
      <c r="E215" s="2959" t="s">
        <v>3125</v>
      </c>
      <c r="F215" s="2960">
        <v>208</v>
      </c>
      <c r="G215" s="2959" t="s">
        <v>3350</v>
      </c>
      <c r="H215" s="2959">
        <v>47.59</v>
      </c>
      <c r="I215" s="2959">
        <v>36.659999999999997</v>
      </c>
    </row>
    <row r="216" spans="1:9" ht="18.75" customHeight="1">
      <c r="A216" s="2958">
        <v>215</v>
      </c>
      <c r="B216" s="2959" t="s">
        <v>3122</v>
      </c>
      <c r="C216" s="2959" t="s">
        <v>3173</v>
      </c>
      <c r="D216" s="2959" t="s">
        <v>3342</v>
      </c>
      <c r="E216" s="2959" t="s">
        <v>3125</v>
      </c>
      <c r="F216" s="2960">
        <v>209</v>
      </c>
      <c r="G216" s="2959" t="s">
        <v>3351</v>
      </c>
      <c r="H216" s="2959">
        <v>47.59</v>
      </c>
      <c r="I216" s="2959">
        <v>36.659999999999997</v>
      </c>
    </row>
    <row r="217" spans="1:9" ht="18.75" customHeight="1">
      <c r="A217" s="2958">
        <v>216</v>
      </c>
      <c r="B217" s="2959" t="s">
        <v>3122</v>
      </c>
      <c r="C217" s="2959" t="s">
        <v>3173</v>
      </c>
      <c r="D217" s="2959" t="s">
        <v>3342</v>
      </c>
      <c r="E217" s="2959" t="s">
        <v>3125</v>
      </c>
      <c r="F217" s="2960">
        <v>210</v>
      </c>
      <c r="G217" s="2959" t="s">
        <v>3352</v>
      </c>
      <c r="H217" s="2959">
        <v>47.59</v>
      </c>
      <c r="I217" s="2959">
        <v>36.659999999999997</v>
      </c>
    </row>
    <row r="218" spans="1:9" ht="18.75" customHeight="1">
      <c r="A218" s="2958">
        <v>217</v>
      </c>
      <c r="B218" s="2959" t="s">
        <v>3122</v>
      </c>
      <c r="C218" s="2959" t="s">
        <v>3173</v>
      </c>
      <c r="D218" s="2959" t="s">
        <v>3342</v>
      </c>
      <c r="E218" s="2959" t="s">
        <v>3125</v>
      </c>
      <c r="F218" s="2960">
        <v>211</v>
      </c>
      <c r="G218" s="2959" t="s">
        <v>3353</v>
      </c>
      <c r="H218" s="2959">
        <v>47.59</v>
      </c>
      <c r="I218" s="2959">
        <v>36.659999999999997</v>
      </c>
    </row>
    <row r="219" spans="1:9" ht="18.75" customHeight="1">
      <c r="A219" s="2958">
        <v>218</v>
      </c>
      <c r="B219" s="2959" t="s">
        <v>3122</v>
      </c>
      <c r="C219" s="2959" t="s">
        <v>3173</v>
      </c>
      <c r="D219" s="2959" t="s">
        <v>3342</v>
      </c>
      <c r="E219" s="2959" t="s">
        <v>3125</v>
      </c>
      <c r="F219" s="2960">
        <v>212</v>
      </c>
      <c r="G219" s="2959" t="s">
        <v>3354</v>
      </c>
      <c r="H219" s="2959">
        <v>48.2</v>
      </c>
      <c r="I219" s="2959">
        <v>37.130000000000003</v>
      </c>
    </row>
    <row r="220" spans="1:9" ht="18.75" customHeight="1">
      <c r="A220" s="2958">
        <v>219</v>
      </c>
      <c r="B220" s="2959" t="s">
        <v>3122</v>
      </c>
      <c r="C220" s="2959" t="s">
        <v>3173</v>
      </c>
      <c r="D220" s="2959" t="s">
        <v>3342</v>
      </c>
      <c r="E220" s="2959" t="s">
        <v>3125</v>
      </c>
      <c r="F220" s="2960">
        <v>213</v>
      </c>
      <c r="G220" s="2959" t="s">
        <v>3355</v>
      </c>
      <c r="H220" s="2959">
        <v>31.61</v>
      </c>
      <c r="I220" s="2959">
        <v>24.35</v>
      </c>
    </row>
    <row r="221" spans="1:9" ht="18.75" customHeight="1">
      <c r="A221" s="2958">
        <v>220</v>
      </c>
      <c r="B221" s="2959" t="s">
        <v>3122</v>
      </c>
      <c r="C221" s="2959" t="s">
        <v>3173</v>
      </c>
      <c r="D221" s="2959" t="s">
        <v>3342</v>
      </c>
      <c r="E221" s="2959" t="s">
        <v>3125</v>
      </c>
      <c r="F221" s="2960">
        <v>214</v>
      </c>
      <c r="G221" s="2959" t="s">
        <v>3356</v>
      </c>
      <c r="H221" s="2959">
        <v>32.020000000000003</v>
      </c>
      <c r="I221" s="2959">
        <v>24.67</v>
      </c>
    </row>
    <row r="222" spans="1:9" ht="18.75" customHeight="1">
      <c r="A222" s="2958">
        <v>221</v>
      </c>
      <c r="B222" s="2959" t="s">
        <v>3122</v>
      </c>
      <c r="C222" s="2959" t="s">
        <v>3173</v>
      </c>
      <c r="D222" s="2959" t="s">
        <v>3342</v>
      </c>
      <c r="E222" s="2959" t="s">
        <v>3125</v>
      </c>
      <c r="F222" s="2960">
        <v>215</v>
      </c>
      <c r="G222" s="2959" t="s">
        <v>3357</v>
      </c>
      <c r="H222" s="2959">
        <v>32.020000000000003</v>
      </c>
      <c r="I222" s="2959">
        <v>24.67</v>
      </c>
    </row>
    <row r="223" spans="1:9" ht="18.75" customHeight="1">
      <c r="A223" s="2958">
        <v>222</v>
      </c>
      <c r="B223" s="2959" t="s">
        <v>3122</v>
      </c>
      <c r="C223" s="2959" t="s">
        <v>3173</v>
      </c>
      <c r="D223" s="2959" t="s">
        <v>3342</v>
      </c>
      <c r="E223" s="2959" t="s">
        <v>3125</v>
      </c>
      <c r="F223" s="2960">
        <v>216</v>
      </c>
      <c r="G223" s="2959" t="s">
        <v>3358</v>
      </c>
      <c r="H223" s="2959">
        <v>32.229999999999997</v>
      </c>
      <c r="I223" s="2959">
        <v>24.83</v>
      </c>
    </row>
    <row r="224" spans="1:9" ht="18.75" customHeight="1">
      <c r="A224" s="2958">
        <v>223</v>
      </c>
      <c r="B224" s="2959" t="s">
        <v>3122</v>
      </c>
      <c r="C224" s="2959" t="s">
        <v>3173</v>
      </c>
      <c r="D224" s="2959" t="s">
        <v>3342</v>
      </c>
      <c r="E224" s="2959" t="s">
        <v>3125</v>
      </c>
      <c r="F224" s="2960">
        <v>217</v>
      </c>
      <c r="G224" s="2959" t="s">
        <v>3359</v>
      </c>
      <c r="H224" s="2959">
        <v>31.82</v>
      </c>
      <c r="I224" s="2959">
        <v>24.51</v>
      </c>
    </row>
    <row r="225" spans="1:9" ht="18.75" customHeight="1">
      <c r="A225" s="2958">
        <v>224</v>
      </c>
      <c r="B225" s="2959" t="s">
        <v>3122</v>
      </c>
      <c r="C225" s="2959" t="s">
        <v>3173</v>
      </c>
      <c r="D225" s="2959" t="s">
        <v>3342</v>
      </c>
      <c r="E225" s="2959" t="s">
        <v>3125</v>
      </c>
      <c r="F225" s="2960">
        <v>218</v>
      </c>
      <c r="G225" s="2959" t="s">
        <v>3360</v>
      </c>
      <c r="H225" s="2959">
        <v>32.020000000000003</v>
      </c>
      <c r="I225" s="2959">
        <v>24.67</v>
      </c>
    </row>
    <row r="226" spans="1:9" ht="18.75" customHeight="1">
      <c r="A226" s="2958">
        <v>225</v>
      </c>
      <c r="B226" s="2959" t="s">
        <v>3122</v>
      </c>
      <c r="C226" s="2959" t="s">
        <v>3173</v>
      </c>
      <c r="D226" s="2959" t="s">
        <v>3342</v>
      </c>
      <c r="E226" s="2959" t="s">
        <v>3125</v>
      </c>
      <c r="F226" s="2960">
        <v>219</v>
      </c>
      <c r="G226" s="2959" t="s">
        <v>3361</v>
      </c>
      <c r="H226" s="2959">
        <v>32.020000000000003</v>
      </c>
      <c r="I226" s="2959">
        <v>24.67</v>
      </c>
    </row>
    <row r="227" spans="1:9" ht="18.75" customHeight="1">
      <c r="A227" s="2958">
        <v>226</v>
      </c>
      <c r="B227" s="2959" t="s">
        <v>3122</v>
      </c>
      <c r="C227" s="2959" t="s">
        <v>3173</v>
      </c>
      <c r="D227" s="2959" t="s">
        <v>3342</v>
      </c>
      <c r="E227" s="2959" t="s">
        <v>3125</v>
      </c>
      <c r="F227" s="2960">
        <v>220</v>
      </c>
      <c r="G227" s="2959" t="s">
        <v>3362</v>
      </c>
      <c r="H227" s="2959">
        <v>32.229999999999997</v>
      </c>
      <c r="I227" s="2959">
        <v>24.83</v>
      </c>
    </row>
    <row r="228" spans="1:9" ht="18.75" customHeight="1">
      <c r="A228" s="2958">
        <v>227</v>
      </c>
      <c r="B228" s="2959" t="s">
        <v>3122</v>
      </c>
      <c r="C228" s="2959" t="s">
        <v>3173</v>
      </c>
      <c r="D228" s="2959" t="s">
        <v>3342</v>
      </c>
      <c r="E228" s="2959" t="s">
        <v>3125</v>
      </c>
      <c r="F228" s="2960">
        <v>221</v>
      </c>
      <c r="G228" s="2959" t="s">
        <v>3363</v>
      </c>
      <c r="H228" s="2959">
        <v>31.82</v>
      </c>
      <c r="I228" s="2959">
        <v>24.51</v>
      </c>
    </row>
    <row r="229" spans="1:9" ht="18.75" customHeight="1">
      <c r="A229" s="2958">
        <v>228</v>
      </c>
      <c r="B229" s="2959" t="s">
        <v>3122</v>
      </c>
      <c r="C229" s="2959" t="s">
        <v>3173</v>
      </c>
      <c r="D229" s="2959" t="s">
        <v>3342</v>
      </c>
      <c r="E229" s="2959" t="s">
        <v>3125</v>
      </c>
      <c r="F229" s="2960">
        <v>301</v>
      </c>
      <c r="G229" s="2959" t="s">
        <v>3364</v>
      </c>
      <c r="H229" s="2959">
        <v>48.2</v>
      </c>
      <c r="I229" s="2959">
        <v>37.130000000000003</v>
      </c>
    </row>
    <row r="230" spans="1:9" ht="18.75" customHeight="1">
      <c r="A230" s="2958">
        <v>229</v>
      </c>
      <c r="B230" s="2959" t="s">
        <v>3122</v>
      </c>
      <c r="C230" s="2959" t="s">
        <v>3173</v>
      </c>
      <c r="D230" s="2959" t="s">
        <v>3342</v>
      </c>
      <c r="E230" s="2959" t="s">
        <v>3125</v>
      </c>
      <c r="F230" s="2960">
        <v>304</v>
      </c>
      <c r="G230" s="2959" t="s">
        <v>3365</v>
      </c>
      <c r="H230" s="2959">
        <v>47.59</v>
      </c>
      <c r="I230" s="2959">
        <v>36.659999999999997</v>
      </c>
    </row>
    <row r="231" spans="1:9" ht="18.75" customHeight="1">
      <c r="A231" s="2958">
        <v>230</v>
      </c>
      <c r="B231" s="2959" t="s">
        <v>3122</v>
      </c>
      <c r="C231" s="2959" t="s">
        <v>3173</v>
      </c>
      <c r="D231" s="2959" t="s">
        <v>3342</v>
      </c>
      <c r="E231" s="2959" t="s">
        <v>3125</v>
      </c>
      <c r="F231" s="2960">
        <v>307</v>
      </c>
      <c r="G231" s="2959" t="s">
        <v>3366</v>
      </c>
      <c r="H231" s="2959">
        <v>47.59</v>
      </c>
      <c r="I231" s="2959">
        <v>36.659999999999997</v>
      </c>
    </row>
    <row r="232" spans="1:9" ht="18.75" customHeight="1">
      <c r="A232" s="2958">
        <v>231</v>
      </c>
      <c r="B232" s="2959" t="s">
        <v>3122</v>
      </c>
      <c r="C232" s="2959" t="s">
        <v>3173</v>
      </c>
      <c r="D232" s="2959" t="s">
        <v>3342</v>
      </c>
      <c r="E232" s="2959" t="s">
        <v>3125</v>
      </c>
      <c r="F232" s="2960">
        <v>311</v>
      </c>
      <c r="G232" s="2959" t="s">
        <v>3367</v>
      </c>
      <c r="H232" s="2959">
        <v>47.59</v>
      </c>
      <c r="I232" s="2959">
        <v>36.659999999999997</v>
      </c>
    </row>
    <row r="233" spans="1:9" ht="18.75" customHeight="1">
      <c r="A233" s="2958">
        <v>232</v>
      </c>
      <c r="B233" s="2959" t="s">
        <v>3122</v>
      </c>
      <c r="C233" s="2959" t="s">
        <v>3173</v>
      </c>
      <c r="D233" s="2959" t="s">
        <v>3342</v>
      </c>
      <c r="E233" s="2959" t="s">
        <v>3125</v>
      </c>
      <c r="F233" s="2960">
        <v>313</v>
      </c>
      <c r="G233" s="2959" t="s">
        <v>3368</v>
      </c>
      <c r="H233" s="2959">
        <v>31.61</v>
      </c>
      <c r="I233" s="2959">
        <v>24.35</v>
      </c>
    </row>
    <row r="234" spans="1:9" ht="18.75" customHeight="1">
      <c r="A234" s="2958">
        <v>233</v>
      </c>
      <c r="B234" s="2959" t="s">
        <v>3122</v>
      </c>
      <c r="C234" s="2959" t="s">
        <v>3173</v>
      </c>
      <c r="D234" s="2959" t="s">
        <v>3342</v>
      </c>
      <c r="E234" s="2959" t="s">
        <v>3125</v>
      </c>
      <c r="F234" s="2960">
        <v>314</v>
      </c>
      <c r="G234" s="2959" t="s">
        <v>3369</v>
      </c>
      <c r="H234" s="2959">
        <v>32.020000000000003</v>
      </c>
      <c r="I234" s="2959">
        <v>24.67</v>
      </c>
    </row>
    <row r="235" spans="1:9" ht="18.75" customHeight="1">
      <c r="A235" s="2958">
        <v>234</v>
      </c>
      <c r="B235" s="2959" t="s">
        <v>3122</v>
      </c>
      <c r="C235" s="2959" t="s">
        <v>3173</v>
      </c>
      <c r="D235" s="2959" t="s">
        <v>3342</v>
      </c>
      <c r="E235" s="2959" t="s">
        <v>3125</v>
      </c>
      <c r="F235" s="2960">
        <v>315</v>
      </c>
      <c r="G235" s="2959" t="s">
        <v>3370</v>
      </c>
      <c r="H235" s="2959">
        <v>32.020000000000003</v>
      </c>
      <c r="I235" s="2959">
        <v>24.67</v>
      </c>
    </row>
    <row r="236" spans="1:9" ht="18.75" customHeight="1">
      <c r="A236" s="2958">
        <v>235</v>
      </c>
      <c r="B236" s="2959" t="s">
        <v>3122</v>
      </c>
      <c r="C236" s="2959" t="s">
        <v>3173</v>
      </c>
      <c r="D236" s="2959" t="s">
        <v>3342</v>
      </c>
      <c r="E236" s="2959" t="s">
        <v>3125</v>
      </c>
      <c r="F236" s="2960">
        <v>316</v>
      </c>
      <c r="G236" s="2959" t="s">
        <v>3371</v>
      </c>
      <c r="H236" s="2959">
        <v>32.229999999999997</v>
      </c>
      <c r="I236" s="2959">
        <v>24.83</v>
      </c>
    </row>
    <row r="237" spans="1:9" ht="18.75" customHeight="1">
      <c r="A237" s="2958">
        <v>236</v>
      </c>
      <c r="B237" s="2959" t="s">
        <v>3122</v>
      </c>
      <c r="C237" s="2959" t="s">
        <v>3173</v>
      </c>
      <c r="D237" s="2959" t="s">
        <v>3342</v>
      </c>
      <c r="E237" s="2959" t="s">
        <v>3125</v>
      </c>
      <c r="F237" s="2960">
        <v>317</v>
      </c>
      <c r="G237" s="2959" t="s">
        <v>3372</v>
      </c>
      <c r="H237" s="2959">
        <v>31.82</v>
      </c>
      <c r="I237" s="2959">
        <v>24.51</v>
      </c>
    </row>
    <row r="238" spans="1:9" ht="18.75" customHeight="1">
      <c r="A238" s="2958">
        <v>237</v>
      </c>
      <c r="B238" s="2959" t="s">
        <v>3122</v>
      </c>
      <c r="C238" s="2959" t="s">
        <v>3173</v>
      </c>
      <c r="D238" s="2959" t="s">
        <v>3342</v>
      </c>
      <c r="E238" s="2959" t="s">
        <v>3125</v>
      </c>
      <c r="F238" s="2960">
        <v>319</v>
      </c>
      <c r="G238" s="2959" t="s">
        <v>3373</v>
      </c>
      <c r="H238" s="2959">
        <v>32.020000000000003</v>
      </c>
      <c r="I238" s="2959">
        <v>24.67</v>
      </c>
    </row>
    <row r="239" spans="1:9" ht="18.75" customHeight="1">
      <c r="A239" s="2958">
        <v>238</v>
      </c>
      <c r="B239" s="2959" t="s">
        <v>3122</v>
      </c>
      <c r="C239" s="2959" t="s">
        <v>3173</v>
      </c>
      <c r="D239" s="2959" t="s">
        <v>3342</v>
      </c>
      <c r="E239" s="2959" t="s">
        <v>3125</v>
      </c>
      <c r="F239" s="2960">
        <v>320</v>
      </c>
      <c r="G239" s="2959" t="s">
        <v>3374</v>
      </c>
      <c r="H239" s="2959">
        <v>32.229999999999997</v>
      </c>
      <c r="I239" s="2959">
        <v>24.83</v>
      </c>
    </row>
    <row r="240" spans="1:9" ht="18.75" customHeight="1">
      <c r="A240" s="2958">
        <v>239</v>
      </c>
      <c r="B240" s="2959" t="s">
        <v>3122</v>
      </c>
      <c r="C240" s="2959" t="s">
        <v>3173</v>
      </c>
      <c r="D240" s="2959" t="s">
        <v>3342</v>
      </c>
      <c r="E240" s="2959" t="s">
        <v>3125</v>
      </c>
      <c r="F240" s="2960">
        <v>321</v>
      </c>
      <c r="G240" s="2959" t="s">
        <v>3375</v>
      </c>
      <c r="H240" s="2959">
        <v>31.82</v>
      </c>
      <c r="I240" s="2959">
        <v>24.51</v>
      </c>
    </row>
    <row r="241" spans="1:9" ht="18.75" customHeight="1">
      <c r="A241" s="2958">
        <v>240</v>
      </c>
      <c r="B241" s="2959" t="s">
        <v>3122</v>
      </c>
      <c r="C241" s="2959" t="s">
        <v>3173</v>
      </c>
      <c r="D241" s="2959" t="s">
        <v>3342</v>
      </c>
      <c r="E241" s="2959" t="s">
        <v>3125</v>
      </c>
      <c r="F241" s="2960">
        <v>406</v>
      </c>
      <c r="G241" s="2959" t="s">
        <v>3376</v>
      </c>
      <c r="H241" s="2959">
        <v>47.59</v>
      </c>
      <c r="I241" s="2959">
        <v>36.659999999999997</v>
      </c>
    </row>
    <row r="242" spans="1:9" ht="18.75" customHeight="1">
      <c r="A242" s="2958">
        <v>241</v>
      </c>
      <c r="B242" s="2959" t="s">
        <v>3122</v>
      </c>
      <c r="C242" s="2959" t="s">
        <v>3173</v>
      </c>
      <c r="D242" s="2959" t="s">
        <v>3342</v>
      </c>
      <c r="E242" s="2959" t="s">
        <v>3125</v>
      </c>
      <c r="F242" s="2960">
        <v>410</v>
      </c>
      <c r="G242" s="2959" t="s">
        <v>3377</v>
      </c>
      <c r="H242" s="2959">
        <v>47.59</v>
      </c>
      <c r="I242" s="2959">
        <v>36.659999999999997</v>
      </c>
    </row>
    <row r="243" spans="1:9" ht="18.75" customHeight="1">
      <c r="A243" s="2958">
        <v>242</v>
      </c>
      <c r="B243" s="2959" t="s">
        <v>3122</v>
      </c>
      <c r="C243" s="2959" t="s">
        <v>3173</v>
      </c>
      <c r="D243" s="2959" t="s">
        <v>3342</v>
      </c>
      <c r="E243" s="2959" t="s">
        <v>3125</v>
      </c>
      <c r="F243" s="2960">
        <v>413</v>
      </c>
      <c r="G243" s="2959" t="s">
        <v>3378</v>
      </c>
      <c r="H243" s="2959">
        <v>31.61</v>
      </c>
      <c r="I243" s="2959">
        <v>24.35</v>
      </c>
    </row>
    <row r="244" spans="1:9" ht="18.75" customHeight="1">
      <c r="A244" s="2958">
        <v>243</v>
      </c>
      <c r="B244" s="2959" t="s">
        <v>3122</v>
      </c>
      <c r="C244" s="2959" t="s">
        <v>3173</v>
      </c>
      <c r="D244" s="2959" t="s">
        <v>3342</v>
      </c>
      <c r="E244" s="2959" t="s">
        <v>3125</v>
      </c>
      <c r="F244" s="2960">
        <v>414</v>
      </c>
      <c r="G244" s="2959" t="s">
        <v>3379</v>
      </c>
      <c r="H244" s="2959">
        <v>32.020000000000003</v>
      </c>
      <c r="I244" s="2959">
        <v>24.67</v>
      </c>
    </row>
    <row r="245" spans="1:9" ht="18.75" customHeight="1">
      <c r="A245" s="2958">
        <v>244</v>
      </c>
      <c r="B245" s="2959" t="s">
        <v>3122</v>
      </c>
      <c r="C245" s="2959" t="s">
        <v>3173</v>
      </c>
      <c r="D245" s="2959" t="s">
        <v>3342</v>
      </c>
      <c r="E245" s="2959" t="s">
        <v>3125</v>
      </c>
      <c r="F245" s="2960">
        <v>415</v>
      </c>
      <c r="G245" s="2959" t="s">
        <v>3380</v>
      </c>
      <c r="H245" s="2959">
        <v>32.020000000000003</v>
      </c>
      <c r="I245" s="2959">
        <v>24.67</v>
      </c>
    </row>
    <row r="246" spans="1:9" ht="18.75" customHeight="1">
      <c r="A246" s="2958">
        <v>245</v>
      </c>
      <c r="B246" s="2959" t="s">
        <v>3122</v>
      </c>
      <c r="C246" s="2959" t="s">
        <v>3173</v>
      </c>
      <c r="D246" s="2959" t="s">
        <v>3342</v>
      </c>
      <c r="E246" s="2959" t="s">
        <v>3125</v>
      </c>
      <c r="F246" s="2960">
        <v>416</v>
      </c>
      <c r="G246" s="2959" t="s">
        <v>3381</v>
      </c>
      <c r="H246" s="2959">
        <v>32.229999999999997</v>
      </c>
      <c r="I246" s="2959">
        <v>24.83</v>
      </c>
    </row>
    <row r="247" spans="1:9" ht="18.75" customHeight="1">
      <c r="A247" s="2958">
        <v>246</v>
      </c>
      <c r="B247" s="2959" t="s">
        <v>3122</v>
      </c>
      <c r="C247" s="2959" t="s">
        <v>3173</v>
      </c>
      <c r="D247" s="2959" t="s">
        <v>3342</v>
      </c>
      <c r="E247" s="2959" t="s">
        <v>3125</v>
      </c>
      <c r="F247" s="2960">
        <v>417</v>
      </c>
      <c r="G247" s="2959" t="s">
        <v>3382</v>
      </c>
      <c r="H247" s="2959">
        <v>31.82</v>
      </c>
      <c r="I247" s="2959">
        <v>24.51</v>
      </c>
    </row>
    <row r="248" spans="1:9" ht="18.75" customHeight="1">
      <c r="A248" s="2958">
        <v>247</v>
      </c>
      <c r="B248" s="2959" t="s">
        <v>3122</v>
      </c>
      <c r="C248" s="2959" t="s">
        <v>3173</v>
      </c>
      <c r="D248" s="2959" t="s">
        <v>3342</v>
      </c>
      <c r="E248" s="2959" t="s">
        <v>3125</v>
      </c>
      <c r="F248" s="2960">
        <v>418</v>
      </c>
      <c r="G248" s="2959" t="s">
        <v>3383</v>
      </c>
      <c r="H248" s="2959">
        <v>32.020000000000003</v>
      </c>
      <c r="I248" s="2959">
        <v>24.67</v>
      </c>
    </row>
    <row r="249" spans="1:9" ht="18.75" customHeight="1">
      <c r="A249" s="2958">
        <v>248</v>
      </c>
      <c r="B249" s="2959" t="s">
        <v>3122</v>
      </c>
      <c r="C249" s="2959" t="s">
        <v>3173</v>
      </c>
      <c r="D249" s="2959" t="s">
        <v>3342</v>
      </c>
      <c r="E249" s="2959" t="s">
        <v>3125</v>
      </c>
      <c r="F249" s="2960">
        <v>419</v>
      </c>
      <c r="G249" s="2959" t="s">
        <v>3384</v>
      </c>
      <c r="H249" s="2959">
        <v>32.020000000000003</v>
      </c>
      <c r="I249" s="2959">
        <v>24.67</v>
      </c>
    </row>
    <row r="250" spans="1:9" ht="18.75" customHeight="1">
      <c r="A250" s="2958">
        <v>249</v>
      </c>
      <c r="B250" s="2959" t="s">
        <v>3122</v>
      </c>
      <c r="C250" s="2959" t="s">
        <v>3173</v>
      </c>
      <c r="D250" s="2959" t="s">
        <v>3342</v>
      </c>
      <c r="E250" s="2959" t="s">
        <v>3125</v>
      </c>
      <c r="F250" s="2960">
        <v>420</v>
      </c>
      <c r="G250" s="2959" t="s">
        <v>3385</v>
      </c>
      <c r="H250" s="2959">
        <v>32.229999999999997</v>
      </c>
      <c r="I250" s="2959">
        <v>24.83</v>
      </c>
    </row>
    <row r="251" spans="1:9" ht="18.75" customHeight="1">
      <c r="A251" s="2958">
        <v>250</v>
      </c>
      <c r="B251" s="2959" t="s">
        <v>3122</v>
      </c>
      <c r="C251" s="2959" t="s">
        <v>3173</v>
      </c>
      <c r="D251" s="2959" t="s">
        <v>3342</v>
      </c>
      <c r="E251" s="2959" t="s">
        <v>3125</v>
      </c>
      <c r="F251" s="2960">
        <v>421</v>
      </c>
      <c r="G251" s="2959" t="s">
        <v>3386</v>
      </c>
      <c r="H251" s="2959">
        <v>31.82</v>
      </c>
      <c r="I251" s="2959">
        <v>24.51</v>
      </c>
    </row>
    <row r="252" spans="1:9" ht="18.75" customHeight="1">
      <c r="A252" s="2958">
        <v>251</v>
      </c>
      <c r="B252" s="2959" t="s">
        <v>3122</v>
      </c>
      <c r="C252" s="2959" t="s">
        <v>3173</v>
      </c>
      <c r="D252" s="2959" t="s">
        <v>3342</v>
      </c>
      <c r="E252" s="2959" t="s">
        <v>3125</v>
      </c>
      <c r="F252" s="2960">
        <v>1206</v>
      </c>
      <c r="G252" s="2959" t="s">
        <v>3387</v>
      </c>
      <c r="H252" s="2959">
        <v>47.59</v>
      </c>
      <c r="I252" s="2959">
        <v>36.659999999999997</v>
      </c>
    </row>
    <row r="253" spans="1:9" ht="18.75" customHeight="1">
      <c r="A253" s="2958">
        <v>252</v>
      </c>
      <c r="B253" s="2959" t="s">
        <v>3122</v>
      </c>
      <c r="C253" s="2959" t="s">
        <v>3173</v>
      </c>
      <c r="D253" s="2959" t="s">
        <v>3388</v>
      </c>
      <c r="E253" s="2959" t="s">
        <v>3125</v>
      </c>
      <c r="F253" s="2960">
        <v>306</v>
      </c>
      <c r="G253" s="2959" t="s">
        <v>3389</v>
      </c>
      <c r="H253" s="2959">
        <v>46.98</v>
      </c>
      <c r="I253" s="2959">
        <v>36.659999999999997</v>
      </c>
    </row>
    <row r="254" spans="1:9" ht="18.75" customHeight="1">
      <c r="A254" s="2958">
        <v>253</v>
      </c>
      <c r="B254" s="2959" t="s">
        <v>3122</v>
      </c>
      <c r="C254" s="2959" t="s">
        <v>3173</v>
      </c>
      <c r="D254" s="2959" t="s">
        <v>3388</v>
      </c>
      <c r="E254" s="2959" t="s">
        <v>3125</v>
      </c>
      <c r="F254" s="2960">
        <v>309</v>
      </c>
      <c r="G254" s="2959" t="s">
        <v>3390</v>
      </c>
      <c r="H254" s="2959">
        <v>46.98</v>
      </c>
      <c r="I254" s="2959">
        <v>36.659999999999997</v>
      </c>
    </row>
    <row r="255" spans="1:9" ht="18.75" customHeight="1">
      <c r="A255" s="2958">
        <v>254</v>
      </c>
      <c r="B255" s="2959" t="s">
        <v>3122</v>
      </c>
      <c r="C255" s="2959" t="s">
        <v>3173</v>
      </c>
      <c r="D255" s="2959" t="s">
        <v>3388</v>
      </c>
      <c r="E255" s="2959" t="s">
        <v>3125</v>
      </c>
      <c r="F255" s="2960">
        <v>1003</v>
      </c>
      <c r="G255" s="2959" t="s">
        <v>3391</v>
      </c>
      <c r="H255" s="2959">
        <v>46.98</v>
      </c>
      <c r="I255" s="2959">
        <v>36.659999999999997</v>
      </c>
    </row>
    <row r="256" spans="1:9" ht="18.75" customHeight="1">
      <c r="A256" s="2958">
        <v>255</v>
      </c>
      <c r="B256" s="2959" t="s">
        <v>3122</v>
      </c>
      <c r="C256" s="2959" t="s">
        <v>3173</v>
      </c>
      <c r="D256" s="2959" t="s">
        <v>3388</v>
      </c>
      <c r="E256" s="2959" t="s">
        <v>3125</v>
      </c>
      <c r="F256" s="2960">
        <v>1218</v>
      </c>
      <c r="G256" s="2959" t="s">
        <v>3392</v>
      </c>
      <c r="H256" s="2959">
        <v>31.61</v>
      </c>
      <c r="I256" s="2959">
        <v>24.67</v>
      </c>
    </row>
    <row r="257" spans="1:9" ht="18.75" customHeight="1">
      <c r="A257" s="2958">
        <v>256</v>
      </c>
      <c r="B257" s="2959" t="s">
        <v>3122</v>
      </c>
      <c r="C257" s="2959" t="s">
        <v>3173</v>
      </c>
      <c r="D257" s="2959" t="s">
        <v>3388</v>
      </c>
      <c r="E257" s="2959" t="s">
        <v>3125</v>
      </c>
      <c r="F257" s="2960">
        <v>1404</v>
      </c>
      <c r="G257" s="2959" t="s">
        <v>3393</v>
      </c>
      <c r="H257" s="2959">
        <v>46.98</v>
      </c>
      <c r="I257" s="2959">
        <v>36.659999999999997</v>
      </c>
    </row>
    <row r="258" spans="1:9" ht="18.75" customHeight="1">
      <c r="A258" s="2958">
        <v>257</v>
      </c>
      <c r="B258" s="2959" t="s">
        <v>3122</v>
      </c>
      <c r="C258" s="2959" t="s">
        <v>3173</v>
      </c>
      <c r="D258" s="2959" t="s">
        <v>3388</v>
      </c>
      <c r="E258" s="2959" t="s">
        <v>3125</v>
      </c>
      <c r="F258" s="2960">
        <v>1420</v>
      </c>
      <c r="G258" s="2959" t="s">
        <v>3394</v>
      </c>
      <c r="H258" s="2959">
        <v>31.82</v>
      </c>
      <c r="I258" s="2959">
        <v>24.83</v>
      </c>
    </row>
    <row r="259" spans="1:9" ht="18.75" customHeight="1">
      <c r="A259" s="2958">
        <v>258</v>
      </c>
      <c r="B259" s="2959" t="s">
        <v>3122</v>
      </c>
      <c r="C259" s="2959" t="s">
        <v>3395</v>
      </c>
      <c r="D259" s="2959" t="s">
        <v>3396</v>
      </c>
      <c r="E259" s="2959" t="s">
        <v>3397</v>
      </c>
      <c r="F259" s="2960">
        <v>2104</v>
      </c>
      <c r="G259" s="2959" t="s">
        <v>3398</v>
      </c>
      <c r="H259" s="2959">
        <v>104.12</v>
      </c>
      <c r="I259" s="2959">
        <v>80.349999999999994</v>
      </c>
    </row>
    <row r="260" spans="1:9" ht="18.75" customHeight="1">
      <c r="A260" s="2958">
        <v>259</v>
      </c>
      <c r="B260" s="2959" t="s">
        <v>3122</v>
      </c>
      <c r="C260" s="2959" t="s">
        <v>3395</v>
      </c>
      <c r="D260" s="2959" t="s">
        <v>3399</v>
      </c>
      <c r="E260" s="2959" t="s">
        <v>3397</v>
      </c>
      <c r="F260" s="2960">
        <v>501</v>
      </c>
      <c r="G260" s="2959" t="s">
        <v>3400</v>
      </c>
      <c r="H260" s="2959">
        <v>103.95</v>
      </c>
      <c r="I260" s="2959">
        <v>79.680000000000007</v>
      </c>
    </row>
    <row r="261" spans="1:9" ht="18.75" customHeight="1">
      <c r="A261" s="2958">
        <v>260</v>
      </c>
      <c r="B261" s="2959" t="s">
        <v>3122</v>
      </c>
      <c r="C261" s="2959" t="s">
        <v>3395</v>
      </c>
      <c r="D261" s="2959" t="s">
        <v>3399</v>
      </c>
      <c r="E261" s="2959" t="s">
        <v>3397</v>
      </c>
      <c r="F261" s="2960">
        <v>502</v>
      </c>
      <c r="G261" s="2959" t="s">
        <v>3401</v>
      </c>
      <c r="H261" s="2959">
        <v>120.44</v>
      </c>
      <c r="I261" s="2959">
        <v>92.32</v>
      </c>
    </row>
    <row r="262" spans="1:9" ht="18.75" customHeight="1">
      <c r="A262" s="2958">
        <v>261</v>
      </c>
      <c r="B262" s="2959" t="s">
        <v>3122</v>
      </c>
      <c r="C262" s="2959" t="s">
        <v>3395</v>
      </c>
      <c r="D262" s="2959" t="s">
        <v>3399</v>
      </c>
      <c r="E262" s="2959" t="s">
        <v>3397</v>
      </c>
      <c r="F262" s="2960">
        <v>503</v>
      </c>
      <c r="G262" s="2959" t="s">
        <v>3402</v>
      </c>
      <c r="H262" s="2959">
        <v>104.8</v>
      </c>
      <c r="I262" s="2959">
        <v>80.33</v>
      </c>
    </row>
    <row r="263" spans="1:9" ht="18.75" customHeight="1">
      <c r="A263" s="2958">
        <v>262</v>
      </c>
      <c r="B263" s="2959" t="s">
        <v>3122</v>
      </c>
      <c r="C263" s="2959" t="s">
        <v>3395</v>
      </c>
      <c r="D263" s="2959" t="s">
        <v>3399</v>
      </c>
      <c r="E263" s="2959" t="s">
        <v>3397</v>
      </c>
      <c r="F263" s="2960">
        <v>504</v>
      </c>
      <c r="G263" s="2959" t="s">
        <v>3403</v>
      </c>
      <c r="H263" s="2959">
        <v>104.82</v>
      </c>
      <c r="I263" s="2959">
        <v>80.349999999999994</v>
      </c>
    </row>
    <row r="264" spans="1:9" ht="18.75" customHeight="1">
      <c r="A264" s="2958">
        <v>263</v>
      </c>
      <c r="B264" s="2959" t="s">
        <v>3122</v>
      </c>
      <c r="C264" s="2959" t="s">
        <v>3395</v>
      </c>
      <c r="D264" s="2959" t="s">
        <v>3399</v>
      </c>
      <c r="E264" s="2959" t="s">
        <v>3397</v>
      </c>
      <c r="F264" s="2960">
        <v>505</v>
      </c>
      <c r="G264" s="2959" t="s">
        <v>3404</v>
      </c>
      <c r="H264" s="2959">
        <v>75.72</v>
      </c>
      <c r="I264" s="2959">
        <v>58.04</v>
      </c>
    </row>
    <row r="265" spans="1:9" ht="18.75" customHeight="1">
      <c r="A265" s="2958">
        <v>264</v>
      </c>
      <c r="B265" s="2959" t="s">
        <v>3122</v>
      </c>
      <c r="C265" s="2959" t="s">
        <v>3395</v>
      </c>
      <c r="D265" s="2959" t="s">
        <v>3399</v>
      </c>
      <c r="E265" s="2959" t="s">
        <v>3397</v>
      </c>
      <c r="F265" s="2960">
        <v>506</v>
      </c>
      <c r="G265" s="2959" t="s">
        <v>3405</v>
      </c>
      <c r="H265" s="2959">
        <v>74.78</v>
      </c>
      <c r="I265" s="2959">
        <v>57.32</v>
      </c>
    </row>
    <row r="266" spans="1:9" s="2956" customFormat="1" ht="18.75" customHeight="1">
      <c r="A266" s="2958">
        <v>265</v>
      </c>
      <c r="B266" s="2959" t="s">
        <v>3122</v>
      </c>
      <c r="C266" s="2959" t="s">
        <v>3406</v>
      </c>
      <c r="D266" s="2959" t="s">
        <v>3407</v>
      </c>
      <c r="E266" s="2959" t="s">
        <v>3125</v>
      </c>
      <c r="F266" s="2960">
        <v>101</v>
      </c>
      <c r="G266" s="2959" t="s">
        <v>3408</v>
      </c>
      <c r="H266" s="2959">
        <v>118.31</v>
      </c>
      <c r="I266" s="2959">
        <v>90.66</v>
      </c>
    </row>
    <row r="267" spans="1:9" s="2956" customFormat="1" ht="18.75" customHeight="1">
      <c r="A267" s="2958">
        <v>266</v>
      </c>
      <c r="B267" s="2959" t="s">
        <v>3122</v>
      </c>
      <c r="C267" s="2959" t="s">
        <v>3406</v>
      </c>
      <c r="D267" s="2959" t="s">
        <v>3407</v>
      </c>
      <c r="E267" s="2959" t="s">
        <v>3125</v>
      </c>
      <c r="F267" s="2960">
        <v>102</v>
      </c>
      <c r="G267" s="2959" t="s">
        <v>3409</v>
      </c>
      <c r="H267" s="2959">
        <v>141.46</v>
      </c>
      <c r="I267" s="2959">
        <v>108.4</v>
      </c>
    </row>
    <row r="268" spans="1:9" s="2956" customFormat="1" ht="18.75" customHeight="1">
      <c r="A268" s="2958">
        <v>267</v>
      </c>
      <c r="B268" s="2959" t="s">
        <v>3122</v>
      </c>
      <c r="C268" s="2959" t="s">
        <v>3406</v>
      </c>
      <c r="D268" s="2959" t="s">
        <v>3407</v>
      </c>
      <c r="E268" s="2959" t="s">
        <v>3125</v>
      </c>
      <c r="F268" s="2960">
        <v>103</v>
      </c>
      <c r="G268" s="2959" t="s">
        <v>3410</v>
      </c>
      <c r="H268" s="2959">
        <v>122.19</v>
      </c>
      <c r="I268" s="2959">
        <v>93.64</v>
      </c>
    </row>
    <row r="269" spans="1:9" s="2956" customFormat="1" ht="18.75" customHeight="1">
      <c r="A269" s="2958">
        <v>268</v>
      </c>
      <c r="B269" s="2959" t="s">
        <v>3122</v>
      </c>
      <c r="C269" s="2959" t="s">
        <v>3406</v>
      </c>
      <c r="D269" s="2959" t="s">
        <v>3407</v>
      </c>
      <c r="E269" s="2959" t="s">
        <v>3125</v>
      </c>
      <c r="F269" s="2960">
        <v>104</v>
      </c>
      <c r="G269" s="2959" t="s">
        <v>3411</v>
      </c>
      <c r="H269" s="2959">
        <v>141.34</v>
      </c>
      <c r="I269" s="2959">
        <v>108.31</v>
      </c>
    </row>
    <row r="270" spans="1:9" s="2956" customFormat="1" ht="18.75" customHeight="1">
      <c r="A270" s="2958">
        <v>269</v>
      </c>
      <c r="B270" s="2959" t="s">
        <v>3122</v>
      </c>
      <c r="C270" s="2959" t="s">
        <v>3406</v>
      </c>
      <c r="D270" s="2959" t="s">
        <v>3407</v>
      </c>
      <c r="E270" s="2959" t="s">
        <v>3125</v>
      </c>
      <c r="F270" s="2960">
        <v>105</v>
      </c>
      <c r="G270" s="2959" t="s">
        <v>3412</v>
      </c>
      <c r="H270" s="2959">
        <v>117.98</v>
      </c>
      <c r="I270" s="2959">
        <v>90.41</v>
      </c>
    </row>
    <row r="271" spans="1:9" ht="18.75" customHeight="1">
      <c r="A271" s="2958">
        <v>270</v>
      </c>
      <c r="B271" s="2959" t="s">
        <v>3122</v>
      </c>
      <c r="C271" s="2959" t="s">
        <v>3406</v>
      </c>
      <c r="D271" s="2959" t="s">
        <v>3407</v>
      </c>
      <c r="E271" s="2959" t="s">
        <v>3125</v>
      </c>
      <c r="F271" s="2960">
        <v>205</v>
      </c>
      <c r="G271" s="2959" t="s">
        <v>3413</v>
      </c>
      <c r="H271" s="2959">
        <v>118.5</v>
      </c>
      <c r="I271" s="2959">
        <v>90.81</v>
      </c>
    </row>
    <row r="272" spans="1:9" ht="18.75" customHeight="1">
      <c r="A272" s="2958">
        <v>271</v>
      </c>
      <c r="B272" s="2959" t="s">
        <v>3122</v>
      </c>
      <c r="C272" s="2959" t="s">
        <v>3406</v>
      </c>
      <c r="D272" s="2959" t="s">
        <v>3407</v>
      </c>
      <c r="E272" s="2959" t="s">
        <v>3125</v>
      </c>
      <c r="F272" s="2960">
        <v>2501</v>
      </c>
      <c r="G272" s="2959" t="s">
        <v>3414</v>
      </c>
      <c r="H272" s="2959">
        <v>118.91</v>
      </c>
      <c r="I272" s="2959">
        <v>91.12</v>
      </c>
    </row>
    <row r="273" spans="1:9" ht="18.75" customHeight="1">
      <c r="A273" s="2958">
        <v>272</v>
      </c>
      <c r="B273" s="2959" t="s">
        <v>3122</v>
      </c>
      <c r="C273" s="2959" t="s">
        <v>3406</v>
      </c>
      <c r="D273" s="2959" t="s">
        <v>3407</v>
      </c>
      <c r="E273" s="2959" t="s">
        <v>3125</v>
      </c>
      <c r="F273" s="2960">
        <v>2505</v>
      </c>
      <c r="G273" s="2959" t="s">
        <v>3415</v>
      </c>
      <c r="H273" s="2959">
        <v>118.5</v>
      </c>
      <c r="I273" s="2959">
        <v>90.81</v>
      </c>
    </row>
    <row r="274" spans="1:9" s="2956" customFormat="1" ht="18.75" customHeight="1">
      <c r="A274" s="2958">
        <v>273</v>
      </c>
      <c r="B274" s="2959" t="s">
        <v>3122</v>
      </c>
      <c r="C274" s="2959" t="s">
        <v>3406</v>
      </c>
      <c r="D274" s="2959" t="s">
        <v>3416</v>
      </c>
      <c r="E274" s="2959" t="s">
        <v>3125</v>
      </c>
      <c r="F274" s="2960">
        <v>101</v>
      </c>
      <c r="G274" s="2959" t="s">
        <v>3417</v>
      </c>
      <c r="H274" s="2959">
        <v>117.46</v>
      </c>
      <c r="I274" s="2959">
        <v>90.66</v>
      </c>
    </row>
    <row r="275" spans="1:9" s="2956" customFormat="1" ht="18.75" customHeight="1">
      <c r="A275" s="2958">
        <v>274</v>
      </c>
      <c r="B275" s="2959" t="s">
        <v>3122</v>
      </c>
      <c r="C275" s="2959" t="s">
        <v>3406</v>
      </c>
      <c r="D275" s="2959" t="s">
        <v>3416</v>
      </c>
      <c r="E275" s="2959" t="s">
        <v>3125</v>
      </c>
      <c r="F275" s="2960">
        <v>102</v>
      </c>
      <c r="G275" s="2959" t="s">
        <v>3418</v>
      </c>
      <c r="H275" s="2959">
        <v>140.44999999999999</v>
      </c>
      <c r="I275" s="2959">
        <v>108.4</v>
      </c>
    </row>
    <row r="276" spans="1:9" s="2956" customFormat="1" ht="18.75" customHeight="1">
      <c r="A276" s="2958">
        <v>275</v>
      </c>
      <c r="B276" s="2959" t="s">
        <v>3122</v>
      </c>
      <c r="C276" s="2959" t="s">
        <v>3406</v>
      </c>
      <c r="D276" s="2959" t="s">
        <v>3416</v>
      </c>
      <c r="E276" s="2959" t="s">
        <v>3125</v>
      </c>
      <c r="F276" s="2960">
        <v>103</v>
      </c>
      <c r="G276" s="2959" t="s">
        <v>3419</v>
      </c>
      <c r="H276" s="2959">
        <v>121.33</v>
      </c>
      <c r="I276" s="2959">
        <v>93.64</v>
      </c>
    </row>
    <row r="277" spans="1:9" s="2956" customFormat="1" ht="18.75" customHeight="1">
      <c r="A277" s="2958">
        <v>276</v>
      </c>
      <c r="B277" s="2959" t="s">
        <v>3122</v>
      </c>
      <c r="C277" s="2959" t="s">
        <v>3406</v>
      </c>
      <c r="D277" s="2959" t="s">
        <v>3416</v>
      </c>
      <c r="E277" s="2959" t="s">
        <v>3125</v>
      </c>
      <c r="F277" s="2960">
        <v>104</v>
      </c>
      <c r="G277" s="2959" t="s">
        <v>3420</v>
      </c>
      <c r="H277" s="2959">
        <v>158.43</v>
      </c>
      <c r="I277" s="2959">
        <v>122.28</v>
      </c>
    </row>
    <row r="278" spans="1:9" s="2956" customFormat="1" ht="18.75" customHeight="1">
      <c r="A278" s="2958">
        <v>277</v>
      </c>
      <c r="B278" s="2959" t="s">
        <v>3122</v>
      </c>
      <c r="C278" s="2959" t="s">
        <v>3406</v>
      </c>
      <c r="D278" s="2959" t="s">
        <v>3416</v>
      </c>
      <c r="E278" s="2959" t="s">
        <v>3125</v>
      </c>
      <c r="F278" s="2960">
        <v>105</v>
      </c>
      <c r="G278" s="2959" t="s">
        <v>3421</v>
      </c>
      <c r="H278" s="2959">
        <v>117.14</v>
      </c>
      <c r="I278" s="2959">
        <v>90.41</v>
      </c>
    </row>
    <row r="279" spans="1:9" ht="18.75" customHeight="1">
      <c r="A279" s="2958">
        <v>278</v>
      </c>
      <c r="B279" s="2959" t="s">
        <v>3122</v>
      </c>
      <c r="C279" s="2959" t="s">
        <v>3406</v>
      </c>
      <c r="D279" s="2959" t="s">
        <v>3416</v>
      </c>
      <c r="E279" s="2959" t="s">
        <v>3125</v>
      </c>
      <c r="F279" s="2960">
        <v>201</v>
      </c>
      <c r="G279" s="2959" t="s">
        <v>3422</v>
      </c>
      <c r="H279" s="2959">
        <v>118.06</v>
      </c>
      <c r="I279" s="2959">
        <v>91.12</v>
      </c>
    </row>
    <row r="280" spans="1:9" ht="18.75" customHeight="1">
      <c r="A280" s="2958">
        <v>279</v>
      </c>
      <c r="B280" s="2959" t="s">
        <v>3122</v>
      </c>
      <c r="C280" s="2959" t="s">
        <v>3406</v>
      </c>
      <c r="D280" s="2959" t="s">
        <v>3416</v>
      </c>
      <c r="E280" s="2959" t="s">
        <v>3125</v>
      </c>
      <c r="F280" s="2960">
        <v>301</v>
      </c>
      <c r="G280" s="2959" t="s">
        <v>3423</v>
      </c>
      <c r="H280" s="2959">
        <v>118.06</v>
      </c>
      <c r="I280" s="2959">
        <v>91.12</v>
      </c>
    </row>
    <row r="281" spans="1:9" ht="18.75" customHeight="1">
      <c r="A281" s="2958">
        <v>280</v>
      </c>
      <c r="B281" s="2959" t="s">
        <v>3122</v>
      </c>
      <c r="C281" s="2959" t="s">
        <v>3406</v>
      </c>
      <c r="D281" s="2959" t="s">
        <v>3416</v>
      </c>
      <c r="E281" s="2959" t="s">
        <v>3125</v>
      </c>
      <c r="F281" s="2960">
        <v>1801</v>
      </c>
      <c r="G281" s="2959" t="s">
        <v>3424</v>
      </c>
      <c r="H281" s="2959">
        <v>118.06</v>
      </c>
      <c r="I281" s="2959">
        <v>91.12</v>
      </c>
    </row>
    <row r="282" spans="1:9" ht="18.75" customHeight="1">
      <c r="A282" s="2958">
        <v>281</v>
      </c>
      <c r="B282" s="2959" t="s">
        <v>3122</v>
      </c>
      <c r="C282" s="2959" t="s">
        <v>3406</v>
      </c>
      <c r="D282" s="2959" t="s">
        <v>3416</v>
      </c>
      <c r="E282" s="2959" t="s">
        <v>3125</v>
      </c>
      <c r="F282" s="2960">
        <v>2201</v>
      </c>
      <c r="G282" s="2959" t="s">
        <v>3425</v>
      </c>
      <c r="H282" s="2959">
        <v>118.06</v>
      </c>
      <c r="I282" s="2959">
        <v>91.12</v>
      </c>
    </row>
    <row r="283" spans="1:9" ht="18.75" customHeight="1">
      <c r="A283" s="2958">
        <v>282</v>
      </c>
      <c r="B283" s="2959" t="s">
        <v>3122</v>
      </c>
      <c r="C283" s="2959" t="s">
        <v>3406</v>
      </c>
      <c r="D283" s="2959" t="s">
        <v>3416</v>
      </c>
      <c r="E283" s="2959" t="s">
        <v>3125</v>
      </c>
      <c r="F283" s="2960">
        <v>2501</v>
      </c>
      <c r="G283" s="2959" t="s">
        <v>3426</v>
      </c>
      <c r="H283" s="2959">
        <v>118.06</v>
      </c>
      <c r="I283" s="2959">
        <v>91.12</v>
      </c>
    </row>
    <row r="284" spans="1:9" ht="18.75" customHeight="1">
      <c r="A284" s="2958">
        <v>283</v>
      </c>
      <c r="B284" s="2959" t="s">
        <v>3122</v>
      </c>
      <c r="C284" s="2959" t="s">
        <v>3406</v>
      </c>
      <c r="D284" s="2959" t="s">
        <v>3416</v>
      </c>
      <c r="E284" s="2959" t="s">
        <v>3125</v>
      </c>
      <c r="F284" s="2960">
        <v>2503</v>
      </c>
      <c r="G284" s="2959" t="s">
        <v>3427</v>
      </c>
      <c r="H284" s="2959">
        <v>121.86</v>
      </c>
      <c r="I284" s="2959">
        <v>94.05</v>
      </c>
    </row>
    <row r="285" spans="1:9" ht="18.75" customHeight="1">
      <c r="A285" s="2958">
        <v>284</v>
      </c>
      <c r="B285" s="2959" t="s">
        <v>3122</v>
      </c>
      <c r="C285" s="2959" t="s">
        <v>3406</v>
      </c>
      <c r="D285" s="2959" t="s">
        <v>3416</v>
      </c>
      <c r="E285" s="2959" t="s">
        <v>3125</v>
      </c>
      <c r="F285" s="2960">
        <v>2505</v>
      </c>
      <c r="G285" s="2959" t="s">
        <v>3428</v>
      </c>
      <c r="H285" s="2959">
        <v>117.66</v>
      </c>
      <c r="I285" s="2959">
        <v>90.81</v>
      </c>
    </row>
    <row r="286" spans="1:9" s="2956" customFormat="1" ht="18.75" customHeight="1">
      <c r="A286" s="2958">
        <v>285</v>
      </c>
      <c r="B286" s="2959" t="s">
        <v>3122</v>
      </c>
      <c r="C286" s="2959" t="s">
        <v>3406</v>
      </c>
      <c r="D286" s="2959" t="s">
        <v>3429</v>
      </c>
      <c r="E286" s="2959" t="s">
        <v>3125</v>
      </c>
      <c r="F286" s="2960">
        <v>101</v>
      </c>
      <c r="G286" s="2959" t="s">
        <v>3430</v>
      </c>
      <c r="H286" s="2959">
        <v>117.46</v>
      </c>
      <c r="I286" s="2959">
        <v>90.66</v>
      </c>
    </row>
    <row r="287" spans="1:9" s="2956" customFormat="1" ht="18.75" customHeight="1">
      <c r="A287" s="2958">
        <v>286</v>
      </c>
      <c r="B287" s="2959" t="s">
        <v>3122</v>
      </c>
      <c r="C287" s="2959" t="s">
        <v>3406</v>
      </c>
      <c r="D287" s="2959" t="s">
        <v>3429</v>
      </c>
      <c r="E287" s="2959" t="s">
        <v>3125</v>
      </c>
      <c r="F287" s="2960">
        <v>102</v>
      </c>
      <c r="G287" s="2959" t="s">
        <v>3431</v>
      </c>
      <c r="H287" s="2959">
        <v>140.44999999999999</v>
      </c>
      <c r="I287" s="2959">
        <v>108.4</v>
      </c>
    </row>
    <row r="288" spans="1:9" s="2956" customFormat="1" ht="18.75" customHeight="1">
      <c r="A288" s="2958">
        <v>287</v>
      </c>
      <c r="B288" s="2959" t="s">
        <v>3122</v>
      </c>
      <c r="C288" s="2959" t="s">
        <v>3406</v>
      </c>
      <c r="D288" s="2959" t="s">
        <v>3429</v>
      </c>
      <c r="E288" s="2959" t="s">
        <v>3125</v>
      </c>
      <c r="F288" s="2960">
        <v>103</v>
      </c>
      <c r="G288" s="2959" t="s">
        <v>3432</v>
      </c>
      <c r="H288" s="2959">
        <v>121.33</v>
      </c>
      <c r="I288" s="2959">
        <v>93.64</v>
      </c>
    </row>
    <row r="289" spans="1:9" s="2956" customFormat="1" ht="18.75" customHeight="1">
      <c r="A289" s="2958">
        <v>288</v>
      </c>
      <c r="B289" s="2959" t="s">
        <v>3122</v>
      </c>
      <c r="C289" s="2959" t="s">
        <v>3406</v>
      </c>
      <c r="D289" s="2959" t="s">
        <v>3429</v>
      </c>
      <c r="E289" s="2959" t="s">
        <v>3125</v>
      </c>
      <c r="F289" s="2960">
        <v>104</v>
      </c>
      <c r="G289" s="2959" t="s">
        <v>3433</v>
      </c>
      <c r="H289" s="2959">
        <v>158.43</v>
      </c>
      <c r="I289" s="2959">
        <v>122.28</v>
      </c>
    </row>
    <row r="290" spans="1:9" s="2956" customFormat="1" ht="18.75" customHeight="1">
      <c r="A290" s="2958">
        <v>289</v>
      </c>
      <c r="B290" s="2959" t="s">
        <v>3122</v>
      </c>
      <c r="C290" s="2959" t="s">
        <v>3406</v>
      </c>
      <c r="D290" s="2959" t="s">
        <v>3429</v>
      </c>
      <c r="E290" s="2959" t="s">
        <v>3125</v>
      </c>
      <c r="F290" s="2960">
        <v>105</v>
      </c>
      <c r="G290" s="2959" t="s">
        <v>3434</v>
      </c>
      <c r="H290" s="2959">
        <v>117.14</v>
      </c>
      <c r="I290" s="2959">
        <v>90.41</v>
      </c>
    </row>
    <row r="291" spans="1:9" ht="18.75" customHeight="1">
      <c r="A291" s="2958">
        <v>290</v>
      </c>
      <c r="B291" s="2959" t="s">
        <v>3122</v>
      </c>
      <c r="C291" s="2959" t="s">
        <v>3406</v>
      </c>
      <c r="D291" s="2959" t="s">
        <v>3429</v>
      </c>
      <c r="E291" s="2959" t="s">
        <v>3125</v>
      </c>
      <c r="F291" s="2960">
        <v>201</v>
      </c>
      <c r="G291" s="2959" t="s">
        <v>3435</v>
      </c>
      <c r="H291" s="2959">
        <v>118.06</v>
      </c>
      <c r="I291" s="2959">
        <v>91.12</v>
      </c>
    </row>
    <row r="292" spans="1:9" ht="18.75" customHeight="1">
      <c r="A292" s="2958">
        <v>291</v>
      </c>
      <c r="B292" s="2959" t="s">
        <v>3122</v>
      </c>
      <c r="C292" s="2959" t="s">
        <v>3406</v>
      </c>
      <c r="D292" s="2959" t="s">
        <v>3429</v>
      </c>
      <c r="E292" s="2959" t="s">
        <v>3125</v>
      </c>
      <c r="F292" s="2960">
        <v>1101</v>
      </c>
      <c r="G292" s="2959" t="s">
        <v>3436</v>
      </c>
      <c r="H292" s="2959">
        <v>118.06</v>
      </c>
      <c r="I292" s="2959">
        <v>91.12</v>
      </c>
    </row>
    <row r="293" spans="1:9" ht="18.75" customHeight="1">
      <c r="A293" s="2958">
        <v>292</v>
      </c>
      <c r="B293" s="2959" t="s">
        <v>3122</v>
      </c>
      <c r="C293" s="2959" t="s">
        <v>3406</v>
      </c>
      <c r="D293" s="2959" t="s">
        <v>3429</v>
      </c>
      <c r="E293" s="2959" t="s">
        <v>3125</v>
      </c>
      <c r="F293" s="2960">
        <v>1701</v>
      </c>
      <c r="G293" s="2959" t="s">
        <v>3437</v>
      </c>
      <c r="H293" s="2959">
        <v>118.06</v>
      </c>
      <c r="I293" s="2959">
        <v>91.12</v>
      </c>
    </row>
    <row r="294" spans="1:9" ht="18.75" customHeight="1">
      <c r="A294" s="2958">
        <v>293</v>
      </c>
      <c r="B294" s="2959" t="s">
        <v>3122</v>
      </c>
      <c r="C294" s="2959" t="s">
        <v>3406</v>
      </c>
      <c r="D294" s="2959" t="s">
        <v>3429</v>
      </c>
      <c r="E294" s="2959" t="s">
        <v>3125</v>
      </c>
      <c r="F294" s="2960">
        <v>1801</v>
      </c>
      <c r="G294" s="2959" t="s">
        <v>3438</v>
      </c>
      <c r="H294" s="2959">
        <v>118.06</v>
      </c>
      <c r="I294" s="2959">
        <v>91.12</v>
      </c>
    </row>
    <row r="295" spans="1:9" ht="18.75" customHeight="1">
      <c r="A295" s="2958">
        <v>294</v>
      </c>
      <c r="B295" s="2959" t="s">
        <v>3122</v>
      </c>
      <c r="C295" s="2959" t="s">
        <v>3406</v>
      </c>
      <c r="D295" s="2959" t="s">
        <v>3429</v>
      </c>
      <c r="E295" s="2959" t="s">
        <v>3125</v>
      </c>
      <c r="F295" s="2960">
        <v>2101</v>
      </c>
      <c r="G295" s="2959" t="s">
        <v>3439</v>
      </c>
      <c r="H295" s="2959">
        <v>118.06</v>
      </c>
      <c r="I295" s="2959">
        <v>91.12</v>
      </c>
    </row>
    <row r="296" spans="1:9" ht="18.75" customHeight="1">
      <c r="A296" s="2958">
        <v>295</v>
      </c>
      <c r="B296" s="2959" t="s">
        <v>3122</v>
      </c>
      <c r="C296" s="2959" t="s">
        <v>3406</v>
      </c>
      <c r="D296" s="2959" t="s">
        <v>3429</v>
      </c>
      <c r="E296" s="2959" t="s">
        <v>3125</v>
      </c>
      <c r="F296" s="2960">
        <v>2501</v>
      </c>
      <c r="G296" s="2959" t="s">
        <v>3440</v>
      </c>
      <c r="H296" s="2959">
        <v>118.06</v>
      </c>
      <c r="I296" s="2959">
        <v>91.12</v>
      </c>
    </row>
    <row r="297" spans="1:9" s="2956" customFormat="1" ht="18.75" customHeight="1">
      <c r="A297" s="2958">
        <v>296</v>
      </c>
      <c r="B297" s="2959" t="s">
        <v>3122</v>
      </c>
      <c r="C297" s="2959" t="s">
        <v>3406</v>
      </c>
      <c r="D297" s="2959" t="s">
        <v>3441</v>
      </c>
      <c r="E297" s="2959" t="s">
        <v>3125</v>
      </c>
      <c r="F297" s="2960">
        <v>101</v>
      </c>
      <c r="G297" s="2959" t="s">
        <v>3442</v>
      </c>
      <c r="H297" s="2959">
        <v>118.33</v>
      </c>
      <c r="I297" s="2959">
        <v>90.66</v>
      </c>
    </row>
    <row r="298" spans="1:9" s="2956" customFormat="1" ht="18.75" customHeight="1">
      <c r="A298" s="2958">
        <v>297</v>
      </c>
      <c r="B298" s="2959" t="s">
        <v>3122</v>
      </c>
      <c r="C298" s="2959" t="s">
        <v>3406</v>
      </c>
      <c r="D298" s="2959" t="s">
        <v>3441</v>
      </c>
      <c r="E298" s="2959" t="s">
        <v>3125</v>
      </c>
      <c r="F298" s="2960">
        <v>102</v>
      </c>
      <c r="G298" s="2959" t="s">
        <v>3443</v>
      </c>
      <c r="H298" s="2959">
        <v>141.47999999999999</v>
      </c>
      <c r="I298" s="2959">
        <v>108.4</v>
      </c>
    </row>
    <row r="299" spans="1:9" s="2956" customFormat="1" ht="18.75" customHeight="1">
      <c r="A299" s="2958">
        <v>298</v>
      </c>
      <c r="B299" s="2959" t="s">
        <v>3122</v>
      </c>
      <c r="C299" s="2959" t="s">
        <v>3406</v>
      </c>
      <c r="D299" s="2959" t="s">
        <v>3441</v>
      </c>
      <c r="E299" s="2959" t="s">
        <v>3125</v>
      </c>
      <c r="F299" s="2960">
        <v>103</v>
      </c>
      <c r="G299" s="2959" t="s">
        <v>3444</v>
      </c>
      <c r="H299" s="2959">
        <v>141.36000000000001</v>
      </c>
      <c r="I299" s="2959">
        <v>108.31</v>
      </c>
    </row>
    <row r="300" spans="1:9" s="2956" customFormat="1" ht="18.75" customHeight="1">
      <c r="A300" s="2958">
        <v>299</v>
      </c>
      <c r="B300" s="2959" t="s">
        <v>3122</v>
      </c>
      <c r="C300" s="2959" t="s">
        <v>3406</v>
      </c>
      <c r="D300" s="2959" t="s">
        <v>3441</v>
      </c>
      <c r="E300" s="2959" t="s">
        <v>3125</v>
      </c>
      <c r="F300" s="2960">
        <v>104</v>
      </c>
      <c r="G300" s="2959" t="s">
        <v>3445</v>
      </c>
      <c r="H300" s="2959">
        <v>118</v>
      </c>
      <c r="I300" s="2959">
        <v>90.41</v>
      </c>
    </row>
    <row r="301" spans="1:9" ht="18.75" customHeight="1">
      <c r="A301" s="2958">
        <v>300</v>
      </c>
      <c r="B301" s="2959" t="s">
        <v>3122</v>
      </c>
      <c r="C301" s="2959" t="s">
        <v>3406</v>
      </c>
      <c r="D301" s="2959" t="s">
        <v>3441</v>
      </c>
      <c r="E301" s="2959" t="s">
        <v>3125</v>
      </c>
      <c r="F301" s="2960">
        <v>201</v>
      </c>
      <c r="G301" s="2959" t="s">
        <v>3446</v>
      </c>
      <c r="H301" s="2959">
        <v>118.93</v>
      </c>
      <c r="I301" s="2959">
        <v>91.12</v>
      </c>
    </row>
    <row r="302" spans="1:9" ht="18.75" customHeight="1">
      <c r="A302" s="2958">
        <v>301</v>
      </c>
      <c r="B302" s="2959" t="s">
        <v>3122</v>
      </c>
      <c r="C302" s="2959" t="s">
        <v>3406</v>
      </c>
      <c r="D302" s="2959" t="s">
        <v>3441</v>
      </c>
      <c r="E302" s="2959" t="s">
        <v>3125</v>
      </c>
      <c r="F302" s="2960">
        <v>401</v>
      </c>
      <c r="G302" s="2959" t="s">
        <v>3447</v>
      </c>
      <c r="H302" s="2959">
        <v>118.93</v>
      </c>
      <c r="I302" s="2959">
        <v>91.12</v>
      </c>
    </row>
    <row r="303" spans="1:9" ht="18.75" customHeight="1">
      <c r="A303" s="2958">
        <v>302</v>
      </c>
      <c r="B303" s="2959" t="s">
        <v>3122</v>
      </c>
      <c r="C303" s="2959" t="s">
        <v>3406</v>
      </c>
      <c r="D303" s="2959" t="s">
        <v>3441</v>
      </c>
      <c r="E303" s="2959" t="s">
        <v>3125</v>
      </c>
      <c r="F303" s="2960">
        <v>2401</v>
      </c>
      <c r="G303" s="2959" t="s">
        <v>3448</v>
      </c>
      <c r="H303" s="2959">
        <v>118.93</v>
      </c>
      <c r="I303" s="2959">
        <v>91.12</v>
      </c>
    </row>
    <row r="304" spans="1:9" ht="18.75" customHeight="1">
      <c r="A304" s="2958">
        <v>303</v>
      </c>
      <c r="B304" s="2959" t="s">
        <v>3122</v>
      </c>
      <c r="C304" s="2959" t="s">
        <v>3406</v>
      </c>
      <c r="D304" s="2959" t="s">
        <v>3441</v>
      </c>
      <c r="E304" s="2959" t="s">
        <v>3125</v>
      </c>
      <c r="F304" s="2960">
        <v>2405</v>
      </c>
      <c r="G304" s="2959" t="s">
        <v>3449</v>
      </c>
      <c r="H304" s="2959">
        <v>118.52</v>
      </c>
      <c r="I304" s="2959">
        <v>90.81</v>
      </c>
    </row>
    <row r="305" spans="1:9" ht="18.75" customHeight="1">
      <c r="A305" s="2958">
        <v>304</v>
      </c>
      <c r="B305" s="2959" t="s">
        <v>3122</v>
      </c>
      <c r="C305" s="2959" t="s">
        <v>3406</v>
      </c>
      <c r="D305" s="2959" t="s">
        <v>3441</v>
      </c>
      <c r="E305" s="2959" t="s">
        <v>3125</v>
      </c>
      <c r="F305" s="2960">
        <v>2501</v>
      </c>
      <c r="G305" s="2959" t="s">
        <v>3450</v>
      </c>
      <c r="H305" s="2959">
        <v>118.93</v>
      </c>
      <c r="I305" s="2959">
        <v>91.12</v>
      </c>
    </row>
    <row r="306" spans="1:9" ht="18.75" customHeight="1">
      <c r="A306" s="2958">
        <v>305</v>
      </c>
      <c r="B306" s="2959" t="s">
        <v>3122</v>
      </c>
      <c r="C306" s="2959" t="s">
        <v>3406</v>
      </c>
      <c r="D306" s="2959" t="s">
        <v>3441</v>
      </c>
      <c r="E306" s="2959" t="s">
        <v>3125</v>
      </c>
      <c r="F306" s="2960">
        <v>2505</v>
      </c>
      <c r="G306" s="2959" t="s">
        <v>3451</v>
      </c>
      <c r="H306" s="2959">
        <v>118.52</v>
      </c>
      <c r="I306" s="2959">
        <v>90.81</v>
      </c>
    </row>
    <row r="307" spans="1:9" s="2956" customFormat="1" ht="18.75" customHeight="1">
      <c r="A307" s="2958">
        <v>306</v>
      </c>
      <c r="B307" s="2959" t="s">
        <v>3122</v>
      </c>
      <c r="C307" s="2959" t="s">
        <v>3406</v>
      </c>
      <c r="D307" s="2959" t="s">
        <v>3452</v>
      </c>
      <c r="E307" s="2959" t="s">
        <v>3125</v>
      </c>
      <c r="F307" s="2960">
        <v>101</v>
      </c>
      <c r="G307" s="2959" t="s">
        <v>3453</v>
      </c>
      <c r="H307" s="2959">
        <v>117.46</v>
      </c>
      <c r="I307" s="2959">
        <v>90.66</v>
      </c>
    </row>
    <row r="308" spans="1:9" s="2956" customFormat="1" ht="18.75" customHeight="1">
      <c r="A308" s="2958">
        <v>307</v>
      </c>
      <c r="B308" s="2959" t="s">
        <v>3122</v>
      </c>
      <c r="C308" s="2959" t="s">
        <v>3406</v>
      </c>
      <c r="D308" s="2959" t="s">
        <v>3452</v>
      </c>
      <c r="E308" s="2959" t="s">
        <v>3125</v>
      </c>
      <c r="F308" s="2960">
        <v>102</v>
      </c>
      <c r="G308" s="2959" t="s">
        <v>3454</v>
      </c>
      <c r="H308" s="2959">
        <v>140.44999999999999</v>
      </c>
      <c r="I308" s="2959">
        <v>108.4</v>
      </c>
    </row>
    <row r="309" spans="1:9" s="2956" customFormat="1" ht="18.75" customHeight="1">
      <c r="A309" s="2958">
        <v>308</v>
      </c>
      <c r="B309" s="2959" t="s">
        <v>3122</v>
      </c>
      <c r="C309" s="2959" t="s">
        <v>3406</v>
      </c>
      <c r="D309" s="2959" t="s">
        <v>3452</v>
      </c>
      <c r="E309" s="2959" t="s">
        <v>3125</v>
      </c>
      <c r="F309" s="2960">
        <v>103</v>
      </c>
      <c r="G309" s="2959" t="s">
        <v>3455</v>
      </c>
      <c r="H309" s="2959">
        <v>121.33</v>
      </c>
      <c r="I309" s="2959">
        <v>93.64</v>
      </c>
    </row>
    <row r="310" spans="1:9" s="2956" customFormat="1" ht="18.75" customHeight="1">
      <c r="A310" s="2958">
        <v>309</v>
      </c>
      <c r="B310" s="2959" t="s">
        <v>3122</v>
      </c>
      <c r="C310" s="2959" t="s">
        <v>3406</v>
      </c>
      <c r="D310" s="2959" t="s">
        <v>3452</v>
      </c>
      <c r="E310" s="2959" t="s">
        <v>3125</v>
      </c>
      <c r="F310" s="2960">
        <v>104</v>
      </c>
      <c r="G310" s="2959" t="s">
        <v>3456</v>
      </c>
      <c r="H310" s="2959">
        <v>158.43</v>
      </c>
      <c r="I310" s="2959">
        <v>122.28</v>
      </c>
    </row>
    <row r="311" spans="1:9" s="2956" customFormat="1" ht="18.75" customHeight="1">
      <c r="A311" s="2958">
        <v>310</v>
      </c>
      <c r="B311" s="2959" t="s">
        <v>3122</v>
      </c>
      <c r="C311" s="2959" t="s">
        <v>3406</v>
      </c>
      <c r="D311" s="2959" t="s">
        <v>3452</v>
      </c>
      <c r="E311" s="2959" t="s">
        <v>3125</v>
      </c>
      <c r="F311" s="2960">
        <v>105</v>
      </c>
      <c r="G311" s="2959" t="s">
        <v>3457</v>
      </c>
      <c r="H311" s="2959">
        <v>117.14</v>
      </c>
      <c r="I311" s="2959">
        <v>90.41</v>
      </c>
    </row>
    <row r="312" spans="1:9" ht="18.75" customHeight="1">
      <c r="A312" s="2958">
        <v>311</v>
      </c>
      <c r="B312" s="2959" t="s">
        <v>3122</v>
      </c>
      <c r="C312" s="2959" t="s">
        <v>3406</v>
      </c>
      <c r="D312" s="2959" t="s">
        <v>3452</v>
      </c>
      <c r="E312" s="2959" t="s">
        <v>3125</v>
      </c>
      <c r="F312" s="2960">
        <v>201</v>
      </c>
      <c r="G312" s="2959" t="s">
        <v>3458</v>
      </c>
      <c r="H312" s="2959">
        <v>118.06</v>
      </c>
      <c r="I312" s="2959">
        <v>91.12</v>
      </c>
    </row>
    <row r="313" spans="1:9" ht="18.75" customHeight="1">
      <c r="A313" s="2958">
        <v>312</v>
      </c>
      <c r="B313" s="2959" t="s">
        <v>3122</v>
      </c>
      <c r="C313" s="2959" t="s">
        <v>3406</v>
      </c>
      <c r="D313" s="2959" t="s">
        <v>3452</v>
      </c>
      <c r="E313" s="2959" t="s">
        <v>3125</v>
      </c>
      <c r="F313" s="2960">
        <v>301</v>
      </c>
      <c r="G313" s="2959" t="s">
        <v>3459</v>
      </c>
      <c r="H313" s="2959">
        <v>118.06</v>
      </c>
      <c r="I313" s="2959">
        <v>91.12</v>
      </c>
    </row>
    <row r="314" spans="1:9" ht="18.75" customHeight="1">
      <c r="A314" s="2958">
        <v>313</v>
      </c>
      <c r="B314" s="2959" t="s">
        <v>3122</v>
      </c>
      <c r="C314" s="2959" t="s">
        <v>3406</v>
      </c>
      <c r="D314" s="2959" t="s">
        <v>3452</v>
      </c>
      <c r="E314" s="2959" t="s">
        <v>3125</v>
      </c>
      <c r="F314" s="2960">
        <v>2501</v>
      </c>
      <c r="G314" s="2959" t="s">
        <v>3460</v>
      </c>
      <c r="H314" s="2959">
        <v>118.06</v>
      </c>
      <c r="I314" s="2959">
        <v>91.12</v>
      </c>
    </row>
    <row r="315" spans="1:9" ht="18.75" customHeight="1">
      <c r="A315" s="2958">
        <v>314</v>
      </c>
      <c r="B315" s="2959" t="s">
        <v>3122</v>
      </c>
      <c r="C315" s="2959" t="s">
        <v>3406</v>
      </c>
      <c r="D315" s="2959" t="s">
        <v>3452</v>
      </c>
      <c r="E315" s="2959" t="s">
        <v>3125</v>
      </c>
      <c r="F315" s="2960">
        <v>2503</v>
      </c>
      <c r="G315" s="2959" t="s">
        <v>3461</v>
      </c>
      <c r="H315" s="2959">
        <v>121.86</v>
      </c>
      <c r="I315" s="2959">
        <v>94.05</v>
      </c>
    </row>
    <row r="316" spans="1:9" ht="18.75" customHeight="1">
      <c r="A316" s="2958">
        <v>315</v>
      </c>
      <c r="B316" s="2959" t="s">
        <v>3122</v>
      </c>
      <c r="C316" s="2959" t="s">
        <v>3406</v>
      </c>
      <c r="D316" s="2959" t="s">
        <v>3452</v>
      </c>
      <c r="E316" s="2959" t="s">
        <v>3125</v>
      </c>
      <c r="F316" s="2960">
        <v>2505</v>
      </c>
      <c r="G316" s="2959" t="s">
        <v>3462</v>
      </c>
      <c r="H316" s="2959">
        <v>117.66</v>
      </c>
      <c r="I316" s="2959">
        <v>90.81</v>
      </c>
    </row>
    <row r="317" spans="1:9" s="2956" customFormat="1" ht="18.75" customHeight="1">
      <c r="A317" s="2958">
        <v>316</v>
      </c>
      <c r="B317" s="2959" t="s">
        <v>3122</v>
      </c>
      <c r="C317" s="2959" t="s">
        <v>3463</v>
      </c>
      <c r="D317" s="2959" t="s">
        <v>3464</v>
      </c>
      <c r="E317" s="2959" t="s">
        <v>3125</v>
      </c>
      <c r="F317" s="2960">
        <v>101</v>
      </c>
      <c r="G317" s="2959" t="s">
        <v>3465</v>
      </c>
      <c r="H317" s="2959">
        <v>157.41999999999999</v>
      </c>
      <c r="I317" s="2959">
        <v>121.27</v>
      </c>
    </row>
    <row r="318" spans="1:9" s="2956" customFormat="1" ht="18.75" customHeight="1">
      <c r="A318" s="2958">
        <v>317</v>
      </c>
      <c r="B318" s="2959" t="s">
        <v>3122</v>
      </c>
      <c r="C318" s="2959" t="s">
        <v>3463</v>
      </c>
      <c r="D318" s="2959" t="s">
        <v>3464</v>
      </c>
      <c r="E318" s="2959" t="s">
        <v>3125</v>
      </c>
      <c r="F318" s="2960">
        <v>102</v>
      </c>
      <c r="G318" s="2959" t="s">
        <v>3466</v>
      </c>
      <c r="H318" s="2959">
        <v>157.58000000000001</v>
      </c>
      <c r="I318" s="2959">
        <v>121.39</v>
      </c>
    </row>
    <row r="319" spans="1:9" s="2956" customFormat="1" ht="18.75" customHeight="1">
      <c r="A319" s="2958">
        <v>318</v>
      </c>
      <c r="B319" s="2959" t="s">
        <v>3122</v>
      </c>
      <c r="C319" s="2959" t="s">
        <v>3463</v>
      </c>
      <c r="D319" s="2959" t="s">
        <v>3464</v>
      </c>
      <c r="E319" s="2959" t="s">
        <v>3125</v>
      </c>
      <c r="F319" s="2960">
        <v>103</v>
      </c>
      <c r="G319" s="2959" t="s">
        <v>3467</v>
      </c>
      <c r="H319" s="2959">
        <v>116.71</v>
      </c>
      <c r="I319" s="2959">
        <v>89.91</v>
      </c>
    </row>
    <row r="320" spans="1:9" s="2956" customFormat="1" ht="18.75" customHeight="1">
      <c r="A320" s="2958">
        <v>319</v>
      </c>
      <c r="B320" s="2959" t="s">
        <v>3122</v>
      </c>
      <c r="C320" s="2959" t="s">
        <v>3463</v>
      </c>
      <c r="D320" s="2959" t="s">
        <v>3464</v>
      </c>
      <c r="E320" s="2959" t="s">
        <v>3125</v>
      </c>
      <c r="F320" s="2960">
        <v>104</v>
      </c>
      <c r="G320" s="2959" t="s">
        <v>3468</v>
      </c>
      <c r="H320" s="2959">
        <v>116.29</v>
      </c>
      <c r="I320" s="2959">
        <v>89.58</v>
      </c>
    </row>
    <row r="321" spans="1:9" ht="18.75" customHeight="1">
      <c r="A321" s="2958">
        <v>320</v>
      </c>
      <c r="B321" s="2959" t="s">
        <v>3122</v>
      </c>
      <c r="C321" s="2959" t="s">
        <v>3463</v>
      </c>
      <c r="D321" s="2959" t="s">
        <v>3464</v>
      </c>
      <c r="E321" s="2959" t="s">
        <v>3125</v>
      </c>
      <c r="F321" s="2960">
        <v>201</v>
      </c>
      <c r="G321" s="2959" t="s">
        <v>3469</v>
      </c>
      <c r="H321" s="2959">
        <v>157.41999999999999</v>
      </c>
      <c r="I321" s="2959">
        <v>121.27</v>
      </c>
    </row>
    <row r="322" spans="1:9" ht="18.75" customHeight="1">
      <c r="A322" s="2958">
        <v>321</v>
      </c>
      <c r="B322" s="2959" t="s">
        <v>3122</v>
      </c>
      <c r="C322" s="2959" t="s">
        <v>3463</v>
      </c>
      <c r="D322" s="2959" t="s">
        <v>3464</v>
      </c>
      <c r="E322" s="2959" t="s">
        <v>3125</v>
      </c>
      <c r="F322" s="2960">
        <v>202</v>
      </c>
      <c r="G322" s="2959" t="s">
        <v>3470</v>
      </c>
      <c r="H322" s="2959">
        <v>120.36</v>
      </c>
      <c r="I322" s="2959">
        <v>92.72</v>
      </c>
    </row>
    <row r="323" spans="1:9" ht="18.75" customHeight="1">
      <c r="A323" s="2958">
        <v>322</v>
      </c>
      <c r="B323" s="2959" t="s">
        <v>3122</v>
      </c>
      <c r="C323" s="2959" t="s">
        <v>3463</v>
      </c>
      <c r="D323" s="2959" t="s">
        <v>3464</v>
      </c>
      <c r="E323" s="2959" t="s">
        <v>3125</v>
      </c>
      <c r="F323" s="2960">
        <v>203</v>
      </c>
      <c r="G323" s="2959" t="s">
        <v>3471</v>
      </c>
      <c r="H323" s="2959">
        <v>157.52000000000001</v>
      </c>
      <c r="I323" s="2959">
        <v>121.34</v>
      </c>
    </row>
    <row r="324" spans="1:9" ht="18.75" customHeight="1">
      <c r="A324" s="2958">
        <v>323</v>
      </c>
      <c r="B324" s="2959" t="s">
        <v>3122</v>
      </c>
      <c r="C324" s="2959" t="s">
        <v>3463</v>
      </c>
      <c r="D324" s="2959" t="s">
        <v>3464</v>
      </c>
      <c r="E324" s="2959" t="s">
        <v>3125</v>
      </c>
      <c r="F324" s="2960">
        <v>204</v>
      </c>
      <c r="G324" s="2959" t="s">
        <v>3472</v>
      </c>
      <c r="H324" s="2959">
        <v>116.95</v>
      </c>
      <c r="I324" s="2959">
        <v>90.09</v>
      </c>
    </row>
    <row r="325" spans="1:9" ht="18.75" customHeight="1">
      <c r="A325" s="2958">
        <v>324</v>
      </c>
      <c r="B325" s="2959" t="s">
        <v>3122</v>
      </c>
      <c r="C325" s="2959" t="s">
        <v>3463</v>
      </c>
      <c r="D325" s="2959" t="s">
        <v>3464</v>
      </c>
      <c r="E325" s="2959" t="s">
        <v>3125</v>
      </c>
      <c r="F325" s="2960">
        <v>205</v>
      </c>
      <c r="G325" s="2959" t="s">
        <v>3473</v>
      </c>
      <c r="H325" s="2959">
        <v>116.51</v>
      </c>
      <c r="I325" s="2959">
        <v>89.75</v>
      </c>
    </row>
    <row r="326" spans="1:9" ht="18.75" customHeight="1">
      <c r="A326" s="2958">
        <v>325</v>
      </c>
      <c r="B326" s="2959" t="s">
        <v>3122</v>
      </c>
      <c r="C326" s="2959" t="s">
        <v>3463</v>
      </c>
      <c r="D326" s="2959" t="s">
        <v>3464</v>
      </c>
      <c r="E326" s="2959" t="s">
        <v>3125</v>
      </c>
      <c r="F326" s="2960">
        <v>301</v>
      </c>
      <c r="G326" s="2959" t="s">
        <v>3474</v>
      </c>
      <c r="H326" s="2959">
        <v>157.41999999999999</v>
      </c>
      <c r="I326" s="2959">
        <v>121.27</v>
      </c>
    </row>
    <row r="327" spans="1:9" ht="18.75" customHeight="1">
      <c r="A327" s="2958">
        <v>326</v>
      </c>
      <c r="B327" s="2959" t="s">
        <v>3122</v>
      </c>
      <c r="C327" s="2959" t="s">
        <v>3463</v>
      </c>
      <c r="D327" s="2959" t="s">
        <v>3464</v>
      </c>
      <c r="E327" s="2959" t="s">
        <v>3125</v>
      </c>
      <c r="F327" s="2960">
        <v>302</v>
      </c>
      <c r="G327" s="2959" t="s">
        <v>3475</v>
      </c>
      <c r="H327" s="2959">
        <v>120.36</v>
      </c>
      <c r="I327" s="2959">
        <v>92.72</v>
      </c>
    </row>
    <row r="328" spans="1:9" ht="18.75" customHeight="1">
      <c r="A328" s="2958">
        <v>327</v>
      </c>
      <c r="B328" s="2959" t="s">
        <v>3122</v>
      </c>
      <c r="C328" s="2959" t="s">
        <v>3463</v>
      </c>
      <c r="D328" s="2959" t="s">
        <v>3464</v>
      </c>
      <c r="E328" s="2959" t="s">
        <v>3125</v>
      </c>
      <c r="F328" s="2960">
        <v>403</v>
      </c>
      <c r="G328" s="2959" t="s">
        <v>3476</v>
      </c>
      <c r="H328" s="2959">
        <v>157.52000000000001</v>
      </c>
      <c r="I328" s="2959">
        <v>121.34</v>
      </c>
    </row>
    <row r="329" spans="1:9" ht="18.75" customHeight="1">
      <c r="A329" s="2958">
        <v>328</v>
      </c>
      <c r="B329" s="2959" t="s">
        <v>3122</v>
      </c>
      <c r="C329" s="2959" t="s">
        <v>3463</v>
      </c>
      <c r="D329" s="2959" t="s">
        <v>3464</v>
      </c>
      <c r="E329" s="2959" t="s">
        <v>3125</v>
      </c>
      <c r="F329" s="2960">
        <v>603</v>
      </c>
      <c r="G329" s="2959" t="s">
        <v>3477</v>
      </c>
      <c r="H329" s="2959">
        <v>157.88999999999999</v>
      </c>
      <c r="I329" s="2959">
        <v>121.63</v>
      </c>
    </row>
    <row r="330" spans="1:9" ht="18.75" customHeight="1">
      <c r="A330" s="2958">
        <v>329</v>
      </c>
      <c r="B330" s="2959" t="s">
        <v>3122</v>
      </c>
      <c r="C330" s="2959" t="s">
        <v>3463</v>
      </c>
      <c r="D330" s="2959" t="s">
        <v>3464</v>
      </c>
      <c r="E330" s="2959" t="s">
        <v>3125</v>
      </c>
      <c r="F330" s="2960">
        <v>1403</v>
      </c>
      <c r="G330" s="2959" t="s">
        <v>3478</v>
      </c>
      <c r="H330" s="2959">
        <v>157.88999999999999</v>
      </c>
      <c r="I330" s="2959">
        <v>121.63</v>
      </c>
    </row>
    <row r="331" spans="1:9" ht="18.75" customHeight="1">
      <c r="A331" s="2958">
        <v>330</v>
      </c>
      <c r="B331" s="2959" t="s">
        <v>3122</v>
      </c>
      <c r="C331" s="2959" t="s">
        <v>3463</v>
      </c>
      <c r="D331" s="2959" t="s">
        <v>3464</v>
      </c>
      <c r="E331" s="2959" t="s">
        <v>3125</v>
      </c>
      <c r="F331" s="2960">
        <v>1601</v>
      </c>
      <c r="G331" s="2959" t="s">
        <v>3479</v>
      </c>
      <c r="H331" s="2959">
        <v>157.71</v>
      </c>
      <c r="I331" s="2959">
        <v>121.49</v>
      </c>
    </row>
    <row r="332" spans="1:9" ht="18.75" customHeight="1">
      <c r="A332" s="2958">
        <v>331</v>
      </c>
      <c r="B332" s="2959" t="s">
        <v>3122</v>
      </c>
      <c r="C332" s="2959" t="s">
        <v>3463</v>
      </c>
      <c r="D332" s="2959" t="s">
        <v>3464</v>
      </c>
      <c r="E332" s="2959" t="s">
        <v>3125</v>
      </c>
      <c r="F332" s="2960">
        <v>1703</v>
      </c>
      <c r="G332" s="2959" t="s">
        <v>3480</v>
      </c>
      <c r="H332" s="2959">
        <v>157.88999999999999</v>
      </c>
      <c r="I332" s="2959">
        <v>121.63</v>
      </c>
    </row>
    <row r="333" spans="1:9" ht="18.75" customHeight="1">
      <c r="A333" s="2958">
        <v>332</v>
      </c>
      <c r="B333" s="2959" t="s">
        <v>3122</v>
      </c>
      <c r="C333" s="2959" t="s">
        <v>3463</v>
      </c>
      <c r="D333" s="2959" t="s">
        <v>3464</v>
      </c>
      <c r="E333" s="2959" t="s">
        <v>3125</v>
      </c>
      <c r="F333" s="2960">
        <v>2103</v>
      </c>
      <c r="G333" s="2959" t="s">
        <v>3481</v>
      </c>
      <c r="H333" s="2959">
        <v>159.06</v>
      </c>
      <c r="I333" s="2959">
        <v>122.53</v>
      </c>
    </row>
    <row r="334" spans="1:9" ht="18.75" customHeight="1">
      <c r="A334" s="2958">
        <v>333</v>
      </c>
      <c r="B334" s="2959" t="s">
        <v>3122</v>
      </c>
      <c r="C334" s="2959" t="s">
        <v>3463</v>
      </c>
      <c r="D334" s="2959" t="s">
        <v>3464</v>
      </c>
      <c r="E334" s="2959" t="s">
        <v>3125</v>
      </c>
      <c r="F334" s="2960">
        <v>2203</v>
      </c>
      <c r="G334" s="2959" t="s">
        <v>3482</v>
      </c>
      <c r="H334" s="2959">
        <v>159.06</v>
      </c>
      <c r="I334" s="2959">
        <v>122.53</v>
      </c>
    </row>
    <row r="335" spans="1:9" ht="18.75" customHeight="1">
      <c r="A335" s="2958">
        <v>334</v>
      </c>
      <c r="B335" s="2959" t="s">
        <v>3122</v>
      </c>
      <c r="C335" s="2959" t="s">
        <v>3463</v>
      </c>
      <c r="D335" s="2959" t="s">
        <v>3464</v>
      </c>
      <c r="E335" s="2959" t="s">
        <v>3125</v>
      </c>
      <c r="F335" s="2960">
        <v>2403</v>
      </c>
      <c r="G335" s="2959" t="s">
        <v>3483</v>
      </c>
      <c r="H335" s="2959">
        <v>159.06</v>
      </c>
      <c r="I335" s="2959">
        <v>122.53</v>
      </c>
    </row>
    <row r="336" spans="1:9" ht="18.75" customHeight="1">
      <c r="A336" s="2958">
        <v>335</v>
      </c>
      <c r="B336" s="2959" t="s">
        <v>3122</v>
      </c>
      <c r="C336" s="2959" t="s">
        <v>3463</v>
      </c>
      <c r="D336" s="2959" t="s">
        <v>3464</v>
      </c>
      <c r="E336" s="2959" t="s">
        <v>3125</v>
      </c>
      <c r="F336" s="2960">
        <v>2503</v>
      </c>
      <c r="G336" s="2959" t="s">
        <v>3484</v>
      </c>
      <c r="H336" s="2959">
        <v>159.06</v>
      </c>
      <c r="I336" s="2959">
        <v>122.53</v>
      </c>
    </row>
    <row r="337" spans="1:9" ht="18.75" customHeight="1">
      <c r="A337" s="2958">
        <v>336</v>
      </c>
      <c r="B337" s="2959" t="s">
        <v>3122</v>
      </c>
      <c r="C337" s="2959" t="s">
        <v>3463</v>
      </c>
      <c r="D337" s="2959" t="s">
        <v>3464</v>
      </c>
      <c r="E337" s="2959" t="s">
        <v>3125</v>
      </c>
      <c r="F337" s="2960">
        <v>2603</v>
      </c>
      <c r="G337" s="2959" t="s">
        <v>3485</v>
      </c>
      <c r="H337" s="2959">
        <v>159.06</v>
      </c>
      <c r="I337" s="2959">
        <v>122.53</v>
      </c>
    </row>
    <row r="338" spans="1:9" ht="18.75" customHeight="1">
      <c r="A338" s="2958">
        <v>337</v>
      </c>
      <c r="B338" s="2959" t="s">
        <v>3122</v>
      </c>
      <c r="C338" s="2959" t="s">
        <v>3463</v>
      </c>
      <c r="D338" s="2959" t="s">
        <v>3464</v>
      </c>
      <c r="E338" s="2959" t="s">
        <v>3125</v>
      </c>
      <c r="F338" s="2960">
        <v>2703</v>
      </c>
      <c r="G338" s="2959" t="s">
        <v>3486</v>
      </c>
      <c r="H338" s="2959">
        <v>159.06</v>
      </c>
      <c r="I338" s="2959">
        <v>122.53</v>
      </c>
    </row>
    <row r="339" spans="1:9" ht="18.75" customHeight="1">
      <c r="A339" s="2958">
        <v>338</v>
      </c>
      <c r="B339" s="2959" t="s">
        <v>3122</v>
      </c>
      <c r="C339" s="2959" t="s">
        <v>3463</v>
      </c>
      <c r="D339" s="2959" t="s">
        <v>3464</v>
      </c>
      <c r="E339" s="2959" t="s">
        <v>3125</v>
      </c>
      <c r="F339" s="2960">
        <v>2803</v>
      </c>
      <c r="G339" s="2959" t="s">
        <v>3487</v>
      </c>
      <c r="H339" s="2959">
        <v>159.06</v>
      </c>
      <c r="I339" s="2959">
        <v>122.53</v>
      </c>
    </row>
    <row r="340" spans="1:9" ht="18.75" customHeight="1">
      <c r="A340" s="2958">
        <v>339</v>
      </c>
      <c r="B340" s="2959" t="s">
        <v>3122</v>
      </c>
      <c r="C340" s="2959" t="s">
        <v>3463</v>
      </c>
      <c r="D340" s="2959" t="s">
        <v>3464</v>
      </c>
      <c r="E340" s="2959" t="s">
        <v>3125</v>
      </c>
      <c r="F340" s="2960">
        <v>2903</v>
      </c>
      <c r="G340" s="2959" t="s">
        <v>3488</v>
      </c>
      <c r="H340" s="2959">
        <v>159.06</v>
      </c>
      <c r="I340" s="2959">
        <v>122.53</v>
      </c>
    </row>
    <row r="341" spans="1:9" ht="18.75" customHeight="1">
      <c r="A341" s="2958">
        <v>340</v>
      </c>
      <c r="B341" s="2959" t="s">
        <v>3122</v>
      </c>
      <c r="C341" s="2959" t="s">
        <v>3463</v>
      </c>
      <c r="D341" s="2959" t="s">
        <v>3464</v>
      </c>
      <c r="E341" s="2959" t="s">
        <v>3125</v>
      </c>
      <c r="F341" s="2960">
        <v>3001</v>
      </c>
      <c r="G341" s="2959" t="s">
        <v>3489</v>
      </c>
      <c r="H341" s="2959">
        <v>158.97</v>
      </c>
      <c r="I341" s="2959">
        <v>122.46</v>
      </c>
    </row>
    <row r="342" spans="1:9" ht="18.75" customHeight="1">
      <c r="A342" s="2958">
        <v>341</v>
      </c>
      <c r="B342" s="2959" t="s">
        <v>3122</v>
      </c>
      <c r="C342" s="2959" t="s">
        <v>3463</v>
      </c>
      <c r="D342" s="2959" t="s">
        <v>3464</v>
      </c>
      <c r="E342" s="2959" t="s">
        <v>3125</v>
      </c>
      <c r="F342" s="2960">
        <v>3003</v>
      </c>
      <c r="G342" s="2959" t="s">
        <v>3490</v>
      </c>
      <c r="H342" s="2959">
        <v>159.06</v>
      </c>
      <c r="I342" s="2959">
        <v>122.53</v>
      </c>
    </row>
    <row r="343" spans="1:9" ht="18.75" customHeight="1">
      <c r="A343" s="2958">
        <v>342</v>
      </c>
      <c r="B343" s="2959" t="s">
        <v>3122</v>
      </c>
      <c r="C343" s="2959" t="s">
        <v>3463</v>
      </c>
      <c r="D343" s="2959" t="s">
        <v>3464</v>
      </c>
      <c r="E343" s="2959" t="s">
        <v>3125</v>
      </c>
      <c r="F343" s="2960">
        <v>3101</v>
      </c>
      <c r="G343" s="2959" t="s">
        <v>3491</v>
      </c>
      <c r="H343" s="2959">
        <v>158.97</v>
      </c>
      <c r="I343" s="2959">
        <v>122.46</v>
      </c>
    </row>
    <row r="344" spans="1:9" ht="18.75" customHeight="1">
      <c r="A344" s="2958">
        <v>343</v>
      </c>
      <c r="B344" s="2959" t="s">
        <v>3122</v>
      </c>
      <c r="C344" s="2959" t="s">
        <v>3463</v>
      </c>
      <c r="D344" s="2959" t="s">
        <v>3464</v>
      </c>
      <c r="E344" s="2959" t="s">
        <v>3125</v>
      </c>
      <c r="F344" s="2960">
        <v>3102</v>
      </c>
      <c r="G344" s="2959" t="s">
        <v>3492</v>
      </c>
      <c r="H344" s="2959">
        <v>121.73</v>
      </c>
      <c r="I344" s="2959">
        <v>93.77</v>
      </c>
    </row>
    <row r="345" spans="1:9" ht="18.75" customHeight="1">
      <c r="A345" s="2958">
        <v>344</v>
      </c>
      <c r="B345" s="2959" t="s">
        <v>3122</v>
      </c>
      <c r="C345" s="2959" t="s">
        <v>3463</v>
      </c>
      <c r="D345" s="2959" t="s">
        <v>3464</v>
      </c>
      <c r="E345" s="2959" t="s">
        <v>3125</v>
      </c>
      <c r="F345" s="2960">
        <v>3103</v>
      </c>
      <c r="G345" s="2959" t="s">
        <v>3493</v>
      </c>
      <c r="H345" s="2959">
        <v>159.06</v>
      </c>
      <c r="I345" s="2959">
        <v>122.53</v>
      </c>
    </row>
    <row r="346" spans="1:9" ht="18.75" customHeight="1">
      <c r="A346" s="2958">
        <v>345</v>
      </c>
      <c r="B346" s="2959" t="s">
        <v>3122</v>
      </c>
      <c r="C346" s="2959" t="s">
        <v>3463</v>
      </c>
      <c r="D346" s="2959" t="s">
        <v>3464</v>
      </c>
      <c r="E346" s="2959" t="s">
        <v>3125</v>
      </c>
      <c r="F346" s="2960">
        <v>3104</v>
      </c>
      <c r="G346" s="2959" t="s">
        <v>3494</v>
      </c>
      <c r="H346" s="2959">
        <v>118.17</v>
      </c>
      <c r="I346" s="2959">
        <v>91.03</v>
      </c>
    </row>
    <row r="347" spans="1:9" ht="18.75" customHeight="1">
      <c r="A347" s="2958">
        <v>346</v>
      </c>
      <c r="B347" s="2959" t="s">
        <v>3122</v>
      </c>
      <c r="C347" s="2959" t="s">
        <v>3463</v>
      </c>
      <c r="D347" s="2959" t="s">
        <v>3464</v>
      </c>
      <c r="E347" s="2959" t="s">
        <v>3125</v>
      </c>
      <c r="F347" s="2960">
        <v>3105</v>
      </c>
      <c r="G347" s="2959" t="s">
        <v>3495</v>
      </c>
      <c r="H347" s="2959">
        <v>117.73</v>
      </c>
      <c r="I347" s="2959">
        <v>90.69</v>
      </c>
    </row>
    <row r="348" spans="1:9" s="2956" customFormat="1" ht="18.75" customHeight="1">
      <c r="A348" s="2958">
        <v>347</v>
      </c>
      <c r="B348" s="2959" t="s">
        <v>3122</v>
      </c>
      <c r="C348" s="2959" t="s">
        <v>3463</v>
      </c>
      <c r="D348" s="2959" t="s">
        <v>3496</v>
      </c>
      <c r="E348" s="2959" t="s">
        <v>3125</v>
      </c>
      <c r="F348" s="2960">
        <v>101</v>
      </c>
      <c r="G348" s="2959" t="s">
        <v>3497</v>
      </c>
      <c r="H348" s="2959">
        <v>157.41999999999999</v>
      </c>
      <c r="I348" s="2959">
        <v>121.27</v>
      </c>
    </row>
    <row r="349" spans="1:9" s="2956" customFormat="1" ht="18.75" customHeight="1">
      <c r="A349" s="2958">
        <v>348</v>
      </c>
      <c r="B349" s="2959" t="s">
        <v>3122</v>
      </c>
      <c r="C349" s="2959" t="s">
        <v>3463</v>
      </c>
      <c r="D349" s="2959" t="s">
        <v>3496</v>
      </c>
      <c r="E349" s="2959" t="s">
        <v>3125</v>
      </c>
      <c r="F349" s="2960">
        <v>102</v>
      </c>
      <c r="G349" s="2959" t="s">
        <v>3498</v>
      </c>
      <c r="H349" s="2959">
        <v>157.58000000000001</v>
      </c>
      <c r="I349" s="2959">
        <v>121.39</v>
      </c>
    </row>
    <row r="350" spans="1:9" s="2956" customFormat="1" ht="18.75" customHeight="1">
      <c r="A350" s="2958">
        <v>349</v>
      </c>
      <c r="B350" s="2959" t="s">
        <v>3122</v>
      </c>
      <c r="C350" s="2959" t="s">
        <v>3463</v>
      </c>
      <c r="D350" s="2959" t="s">
        <v>3496</v>
      </c>
      <c r="E350" s="2959" t="s">
        <v>3125</v>
      </c>
      <c r="F350" s="2960">
        <v>103</v>
      </c>
      <c r="G350" s="2959" t="s">
        <v>3499</v>
      </c>
      <c r="H350" s="2959">
        <v>116.71</v>
      </c>
      <c r="I350" s="2959">
        <v>89.91</v>
      </c>
    </row>
    <row r="351" spans="1:9" s="2956" customFormat="1" ht="18.75" customHeight="1">
      <c r="A351" s="2958">
        <v>350</v>
      </c>
      <c r="B351" s="2959" t="s">
        <v>3122</v>
      </c>
      <c r="C351" s="2959" t="s">
        <v>3463</v>
      </c>
      <c r="D351" s="2959" t="s">
        <v>3496</v>
      </c>
      <c r="E351" s="2959" t="s">
        <v>3125</v>
      </c>
      <c r="F351" s="2960">
        <v>104</v>
      </c>
      <c r="G351" s="2959" t="s">
        <v>3500</v>
      </c>
      <c r="H351" s="2959">
        <v>116.29</v>
      </c>
      <c r="I351" s="2959">
        <v>89.58</v>
      </c>
    </row>
    <row r="352" spans="1:9" ht="18.75" customHeight="1">
      <c r="A352" s="2958">
        <v>351</v>
      </c>
      <c r="B352" s="2959" t="s">
        <v>3122</v>
      </c>
      <c r="C352" s="2959" t="s">
        <v>3463</v>
      </c>
      <c r="D352" s="2959" t="s">
        <v>3496</v>
      </c>
      <c r="E352" s="2959" t="s">
        <v>3125</v>
      </c>
      <c r="F352" s="2960">
        <v>201</v>
      </c>
      <c r="G352" s="2959" t="s">
        <v>3501</v>
      </c>
      <c r="H352" s="2959">
        <v>157.41999999999999</v>
      </c>
      <c r="I352" s="2959">
        <v>121.27</v>
      </c>
    </row>
    <row r="353" spans="1:9" ht="18.75" customHeight="1">
      <c r="A353" s="2958">
        <v>352</v>
      </c>
      <c r="B353" s="2959" t="s">
        <v>3122</v>
      </c>
      <c r="C353" s="2959" t="s">
        <v>3463</v>
      </c>
      <c r="D353" s="2959" t="s">
        <v>3496</v>
      </c>
      <c r="E353" s="2959" t="s">
        <v>3125</v>
      </c>
      <c r="F353" s="2960">
        <v>202</v>
      </c>
      <c r="G353" s="2959" t="s">
        <v>3502</v>
      </c>
      <c r="H353" s="2959">
        <v>120.36</v>
      </c>
      <c r="I353" s="2959">
        <v>92.72</v>
      </c>
    </row>
    <row r="354" spans="1:9" ht="18.75" customHeight="1">
      <c r="A354" s="2958">
        <v>353</v>
      </c>
      <c r="B354" s="2959" t="s">
        <v>3122</v>
      </c>
      <c r="C354" s="2959" t="s">
        <v>3463</v>
      </c>
      <c r="D354" s="2959" t="s">
        <v>3496</v>
      </c>
      <c r="E354" s="2959" t="s">
        <v>3125</v>
      </c>
      <c r="F354" s="2960">
        <v>203</v>
      </c>
      <c r="G354" s="2959" t="s">
        <v>3503</v>
      </c>
      <c r="H354" s="2959">
        <v>157.52000000000001</v>
      </c>
      <c r="I354" s="2959">
        <v>121.34</v>
      </c>
    </row>
    <row r="355" spans="1:9" ht="18.75" customHeight="1">
      <c r="A355" s="2958">
        <v>354</v>
      </c>
      <c r="B355" s="2959" t="s">
        <v>3122</v>
      </c>
      <c r="C355" s="2959" t="s">
        <v>3463</v>
      </c>
      <c r="D355" s="2959" t="s">
        <v>3496</v>
      </c>
      <c r="E355" s="2959" t="s">
        <v>3125</v>
      </c>
      <c r="F355" s="2960">
        <v>204</v>
      </c>
      <c r="G355" s="2959" t="s">
        <v>3504</v>
      </c>
      <c r="H355" s="2959">
        <v>116.95</v>
      </c>
      <c r="I355" s="2959">
        <v>90.09</v>
      </c>
    </row>
    <row r="356" spans="1:9" ht="18.75" customHeight="1">
      <c r="A356" s="2958">
        <v>355</v>
      </c>
      <c r="B356" s="2959" t="s">
        <v>3122</v>
      </c>
      <c r="C356" s="2959" t="s">
        <v>3463</v>
      </c>
      <c r="D356" s="2959" t="s">
        <v>3496</v>
      </c>
      <c r="E356" s="2959" t="s">
        <v>3125</v>
      </c>
      <c r="F356" s="2960">
        <v>205</v>
      </c>
      <c r="G356" s="2959" t="s">
        <v>3505</v>
      </c>
      <c r="H356" s="2959">
        <v>116.51</v>
      </c>
      <c r="I356" s="2959">
        <v>89.75</v>
      </c>
    </row>
    <row r="357" spans="1:9" ht="18.75" customHeight="1">
      <c r="A357" s="2958">
        <v>356</v>
      </c>
      <c r="B357" s="2959" t="s">
        <v>3122</v>
      </c>
      <c r="C357" s="2959" t="s">
        <v>3463</v>
      </c>
      <c r="D357" s="2959" t="s">
        <v>3496</v>
      </c>
      <c r="E357" s="2959" t="s">
        <v>3125</v>
      </c>
      <c r="F357" s="2960">
        <v>301</v>
      </c>
      <c r="G357" s="2959" t="s">
        <v>3506</v>
      </c>
      <c r="H357" s="2959">
        <v>157.41999999999999</v>
      </c>
      <c r="I357" s="2959">
        <v>121.27</v>
      </c>
    </row>
    <row r="358" spans="1:9" ht="18.75" customHeight="1">
      <c r="A358" s="2958">
        <v>357</v>
      </c>
      <c r="B358" s="2959" t="s">
        <v>3122</v>
      </c>
      <c r="C358" s="2959" t="s">
        <v>3463</v>
      </c>
      <c r="D358" s="2959" t="s">
        <v>3496</v>
      </c>
      <c r="E358" s="2959" t="s">
        <v>3125</v>
      </c>
      <c r="F358" s="2960">
        <v>302</v>
      </c>
      <c r="G358" s="2959" t="s">
        <v>3507</v>
      </c>
      <c r="H358" s="2959">
        <v>120.36</v>
      </c>
      <c r="I358" s="2959">
        <v>92.72</v>
      </c>
    </row>
    <row r="359" spans="1:9" ht="18.75" customHeight="1">
      <c r="A359" s="2958">
        <v>358</v>
      </c>
      <c r="B359" s="2959" t="s">
        <v>3122</v>
      </c>
      <c r="C359" s="2959" t="s">
        <v>3463</v>
      </c>
      <c r="D359" s="2959" t="s">
        <v>3496</v>
      </c>
      <c r="E359" s="2959" t="s">
        <v>3125</v>
      </c>
      <c r="F359" s="2960">
        <v>1403</v>
      </c>
      <c r="G359" s="2959" t="s">
        <v>3508</v>
      </c>
      <c r="H359" s="2959">
        <v>157.88999999999999</v>
      </c>
      <c r="I359" s="2959">
        <v>121.63</v>
      </c>
    </row>
    <row r="360" spans="1:9" ht="18.75" customHeight="1">
      <c r="A360" s="2958">
        <v>359</v>
      </c>
      <c r="B360" s="2959" t="s">
        <v>3122</v>
      </c>
      <c r="C360" s="2959" t="s">
        <v>3463</v>
      </c>
      <c r="D360" s="2959" t="s">
        <v>3496</v>
      </c>
      <c r="E360" s="2959" t="s">
        <v>3125</v>
      </c>
      <c r="F360" s="2960">
        <v>2403</v>
      </c>
      <c r="G360" s="2959" t="s">
        <v>3509</v>
      </c>
      <c r="H360" s="2959">
        <v>159.06</v>
      </c>
      <c r="I360" s="2959">
        <v>122.53</v>
      </c>
    </row>
    <row r="361" spans="1:9" ht="18.75" customHeight="1">
      <c r="A361" s="2958">
        <v>360</v>
      </c>
      <c r="B361" s="2959" t="s">
        <v>3122</v>
      </c>
      <c r="C361" s="2959" t="s">
        <v>3463</v>
      </c>
      <c r="D361" s="2959" t="s">
        <v>3496</v>
      </c>
      <c r="E361" s="2959" t="s">
        <v>3125</v>
      </c>
      <c r="F361" s="2960">
        <v>2703</v>
      </c>
      <c r="G361" s="2959" t="s">
        <v>3510</v>
      </c>
      <c r="H361" s="2959">
        <v>159.06</v>
      </c>
      <c r="I361" s="2959">
        <v>122.53</v>
      </c>
    </row>
    <row r="362" spans="1:9" ht="18.75" customHeight="1">
      <c r="A362" s="2958">
        <v>361</v>
      </c>
      <c r="B362" s="2959" t="s">
        <v>3122</v>
      </c>
      <c r="C362" s="2959" t="s">
        <v>3463</v>
      </c>
      <c r="D362" s="2959" t="s">
        <v>3496</v>
      </c>
      <c r="E362" s="2959" t="s">
        <v>3125</v>
      </c>
      <c r="F362" s="2960">
        <v>3101</v>
      </c>
      <c r="G362" s="2959" t="s">
        <v>3511</v>
      </c>
      <c r="H362" s="2959">
        <v>158.97</v>
      </c>
      <c r="I362" s="2959">
        <v>122.46</v>
      </c>
    </row>
    <row r="363" spans="1:9" ht="18.75" customHeight="1">
      <c r="A363" s="2958">
        <v>362</v>
      </c>
      <c r="B363" s="2959" t="s">
        <v>3122</v>
      </c>
      <c r="C363" s="2959" t="s">
        <v>3463</v>
      </c>
      <c r="D363" s="2959" t="s">
        <v>3496</v>
      </c>
      <c r="E363" s="2959" t="s">
        <v>3125</v>
      </c>
      <c r="F363" s="2960">
        <v>3102</v>
      </c>
      <c r="G363" s="2959" t="s">
        <v>3512</v>
      </c>
      <c r="H363" s="2959">
        <v>121.73</v>
      </c>
      <c r="I363" s="2959">
        <v>93.77</v>
      </c>
    </row>
    <row r="364" spans="1:9" ht="18.75" customHeight="1">
      <c r="A364" s="2958">
        <v>363</v>
      </c>
      <c r="B364" s="2959" t="s">
        <v>3122</v>
      </c>
      <c r="C364" s="2959" t="s">
        <v>3463</v>
      </c>
      <c r="D364" s="2959" t="s">
        <v>3496</v>
      </c>
      <c r="E364" s="2959" t="s">
        <v>3125</v>
      </c>
      <c r="F364" s="2960">
        <v>3103</v>
      </c>
      <c r="G364" s="2959" t="s">
        <v>3513</v>
      </c>
      <c r="H364" s="2959">
        <v>159.06</v>
      </c>
      <c r="I364" s="2959">
        <v>122.53</v>
      </c>
    </row>
    <row r="365" spans="1:9" ht="18.75" customHeight="1">
      <c r="A365" s="2958">
        <v>364</v>
      </c>
      <c r="B365" s="2959" t="s">
        <v>3122</v>
      </c>
      <c r="C365" s="2959" t="s">
        <v>3463</v>
      </c>
      <c r="D365" s="2959" t="s">
        <v>3496</v>
      </c>
      <c r="E365" s="2959" t="s">
        <v>3125</v>
      </c>
      <c r="F365" s="2960">
        <v>3104</v>
      </c>
      <c r="G365" s="2959" t="s">
        <v>3514</v>
      </c>
      <c r="H365" s="2959">
        <v>118.17</v>
      </c>
      <c r="I365" s="2959">
        <v>91.03</v>
      </c>
    </row>
    <row r="366" spans="1:9" ht="18.75" customHeight="1">
      <c r="A366" s="2958">
        <v>365</v>
      </c>
      <c r="B366" s="2959" t="s">
        <v>3122</v>
      </c>
      <c r="C366" s="2959" t="s">
        <v>3463</v>
      </c>
      <c r="D366" s="2959" t="s">
        <v>3496</v>
      </c>
      <c r="E366" s="2959" t="s">
        <v>3125</v>
      </c>
      <c r="F366" s="2960">
        <v>3105</v>
      </c>
      <c r="G366" s="2959" t="s">
        <v>3515</v>
      </c>
      <c r="H366" s="2959">
        <v>117.73</v>
      </c>
      <c r="I366" s="2959">
        <v>90.69</v>
      </c>
    </row>
    <row r="367" spans="1:9" s="2956" customFormat="1" ht="18.75" customHeight="1">
      <c r="A367" s="2958">
        <v>366</v>
      </c>
      <c r="B367" s="2959" t="s">
        <v>3122</v>
      </c>
      <c r="C367" s="2959" t="s">
        <v>3463</v>
      </c>
      <c r="D367" s="2959" t="s">
        <v>3516</v>
      </c>
      <c r="E367" s="2959" t="s">
        <v>3125</v>
      </c>
      <c r="F367" s="2960">
        <v>101</v>
      </c>
      <c r="G367" s="2959" t="s">
        <v>3517</v>
      </c>
      <c r="H367" s="2959">
        <v>157.66</v>
      </c>
      <c r="I367" s="2959">
        <v>121.45</v>
      </c>
    </row>
    <row r="368" spans="1:9" s="2956" customFormat="1" ht="18.75" customHeight="1">
      <c r="A368" s="2958">
        <v>367</v>
      </c>
      <c r="B368" s="2959" t="s">
        <v>3122</v>
      </c>
      <c r="C368" s="2959" t="s">
        <v>3463</v>
      </c>
      <c r="D368" s="2959" t="s">
        <v>3516</v>
      </c>
      <c r="E368" s="2959" t="s">
        <v>3125</v>
      </c>
      <c r="F368" s="2960">
        <v>102</v>
      </c>
      <c r="G368" s="2959" t="s">
        <v>3518</v>
      </c>
      <c r="H368" s="2959">
        <v>120.37</v>
      </c>
      <c r="I368" s="2959">
        <v>92.72</v>
      </c>
    </row>
    <row r="369" spans="1:9" s="2956" customFormat="1" ht="18.75" customHeight="1">
      <c r="A369" s="2958">
        <v>368</v>
      </c>
      <c r="B369" s="2959" t="s">
        <v>3122</v>
      </c>
      <c r="C369" s="2959" t="s">
        <v>3463</v>
      </c>
      <c r="D369" s="2959" t="s">
        <v>3516</v>
      </c>
      <c r="E369" s="2959" t="s">
        <v>3125</v>
      </c>
      <c r="F369" s="2960">
        <v>103</v>
      </c>
      <c r="G369" s="2959" t="s">
        <v>3519</v>
      </c>
      <c r="H369" s="2959">
        <v>157.52000000000001</v>
      </c>
      <c r="I369" s="2959">
        <v>121.34</v>
      </c>
    </row>
    <row r="370" spans="1:9" s="2956" customFormat="1" ht="18.75" customHeight="1">
      <c r="A370" s="2958">
        <v>369</v>
      </c>
      <c r="B370" s="2959" t="s">
        <v>3122</v>
      </c>
      <c r="C370" s="2959" t="s">
        <v>3463</v>
      </c>
      <c r="D370" s="2959" t="s">
        <v>3516</v>
      </c>
      <c r="E370" s="2959" t="s">
        <v>3125</v>
      </c>
      <c r="F370" s="2960">
        <v>104</v>
      </c>
      <c r="G370" s="2959" t="s">
        <v>3520</v>
      </c>
      <c r="H370" s="2959">
        <v>116.65</v>
      </c>
      <c r="I370" s="2959">
        <v>89.86</v>
      </c>
    </row>
    <row r="371" spans="1:9" s="2956" customFormat="1" ht="18.75" customHeight="1">
      <c r="A371" s="2958">
        <v>370</v>
      </c>
      <c r="B371" s="2959" t="s">
        <v>3122</v>
      </c>
      <c r="C371" s="2959" t="s">
        <v>3463</v>
      </c>
      <c r="D371" s="2959" t="s">
        <v>3516</v>
      </c>
      <c r="E371" s="2959" t="s">
        <v>3125</v>
      </c>
      <c r="F371" s="2960">
        <v>105</v>
      </c>
      <c r="G371" s="2959" t="s">
        <v>3521</v>
      </c>
      <c r="H371" s="2959">
        <v>116.29</v>
      </c>
      <c r="I371" s="2959">
        <v>89.58</v>
      </c>
    </row>
    <row r="372" spans="1:9" ht="18.75" customHeight="1">
      <c r="A372" s="2958">
        <v>371</v>
      </c>
      <c r="B372" s="2959" t="s">
        <v>3122</v>
      </c>
      <c r="C372" s="2959" t="s">
        <v>3463</v>
      </c>
      <c r="D372" s="2959" t="s">
        <v>3516</v>
      </c>
      <c r="E372" s="2959" t="s">
        <v>3125</v>
      </c>
      <c r="F372" s="2960">
        <v>201</v>
      </c>
      <c r="G372" s="2959" t="s">
        <v>3522</v>
      </c>
      <c r="H372" s="2959">
        <v>157.43</v>
      </c>
      <c r="I372" s="2959">
        <v>121.27</v>
      </c>
    </row>
    <row r="373" spans="1:9" ht="18.75" customHeight="1">
      <c r="A373" s="2958">
        <v>372</v>
      </c>
      <c r="B373" s="2959" t="s">
        <v>3122</v>
      </c>
      <c r="C373" s="2959" t="s">
        <v>3463</v>
      </c>
      <c r="D373" s="2959" t="s">
        <v>3516</v>
      </c>
      <c r="E373" s="2959" t="s">
        <v>3125</v>
      </c>
      <c r="F373" s="2960">
        <v>202</v>
      </c>
      <c r="G373" s="2959" t="s">
        <v>3523</v>
      </c>
      <c r="H373" s="2959">
        <v>120.37</v>
      </c>
      <c r="I373" s="2959">
        <v>92.72</v>
      </c>
    </row>
    <row r="374" spans="1:9" ht="18.75" customHeight="1">
      <c r="A374" s="2958">
        <v>373</v>
      </c>
      <c r="B374" s="2959" t="s">
        <v>3122</v>
      </c>
      <c r="C374" s="2959" t="s">
        <v>3463</v>
      </c>
      <c r="D374" s="2959" t="s">
        <v>3516</v>
      </c>
      <c r="E374" s="2959" t="s">
        <v>3125</v>
      </c>
      <c r="F374" s="2960">
        <v>203</v>
      </c>
      <c r="G374" s="2959" t="s">
        <v>3524</v>
      </c>
      <c r="H374" s="2959">
        <v>157.52000000000001</v>
      </c>
      <c r="I374" s="2959">
        <v>121.34</v>
      </c>
    </row>
    <row r="375" spans="1:9" ht="18.75" customHeight="1">
      <c r="A375" s="2958">
        <v>374</v>
      </c>
      <c r="B375" s="2959" t="s">
        <v>3122</v>
      </c>
      <c r="C375" s="2959" t="s">
        <v>3463</v>
      </c>
      <c r="D375" s="2959" t="s">
        <v>3516</v>
      </c>
      <c r="E375" s="2959" t="s">
        <v>3125</v>
      </c>
      <c r="F375" s="2960">
        <v>204</v>
      </c>
      <c r="G375" s="2959" t="s">
        <v>3525</v>
      </c>
      <c r="H375" s="2959">
        <v>116.95</v>
      </c>
      <c r="I375" s="2959">
        <v>90.09</v>
      </c>
    </row>
    <row r="376" spans="1:9" ht="18.75" customHeight="1">
      <c r="A376" s="2958">
        <v>375</v>
      </c>
      <c r="B376" s="2959" t="s">
        <v>3122</v>
      </c>
      <c r="C376" s="2959" t="s">
        <v>3463</v>
      </c>
      <c r="D376" s="2959" t="s">
        <v>3516</v>
      </c>
      <c r="E376" s="2959" t="s">
        <v>3125</v>
      </c>
      <c r="F376" s="2960">
        <v>205</v>
      </c>
      <c r="G376" s="2959" t="s">
        <v>3526</v>
      </c>
      <c r="H376" s="2959">
        <v>116.51</v>
      </c>
      <c r="I376" s="2959">
        <v>89.75</v>
      </c>
    </row>
    <row r="377" spans="1:9" ht="18.75" customHeight="1">
      <c r="A377" s="2958">
        <v>376</v>
      </c>
      <c r="B377" s="2959" t="s">
        <v>3122</v>
      </c>
      <c r="C377" s="2959" t="s">
        <v>3463</v>
      </c>
      <c r="D377" s="2959" t="s">
        <v>3516</v>
      </c>
      <c r="E377" s="2959" t="s">
        <v>3125</v>
      </c>
      <c r="F377" s="2960">
        <v>301</v>
      </c>
      <c r="G377" s="2959" t="s">
        <v>3527</v>
      </c>
      <c r="H377" s="2959">
        <v>157.43</v>
      </c>
      <c r="I377" s="2959">
        <v>121.27</v>
      </c>
    </row>
    <row r="378" spans="1:9" ht="18.75" customHeight="1">
      <c r="A378" s="2958">
        <v>377</v>
      </c>
      <c r="B378" s="2959" t="s">
        <v>3122</v>
      </c>
      <c r="C378" s="2959" t="s">
        <v>3463</v>
      </c>
      <c r="D378" s="2959" t="s">
        <v>3516</v>
      </c>
      <c r="E378" s="2959" t="s">
        <v>3125</v>
      </c>
      <c r="F378" s="2960">
        <v>303</v>
      </c>
      <c r="G378" s="2959" t="s">
        <v>3528</v>
      </c>
      <c r="H378" s="2959">
        <v>157.52000000000001</v>
      </c>
      <c r="I378" s="2959">
        <v>121.34</v>
      </c>
    </row>
    <row r="379" spans="1:9" ht="18.75" customHeight="1">
      <c r="A379" s="2958">
        <v>378</v>
      </c>
      <c r="B379" s="2959" t="s">
        <v>3122</v>
      </c>
      <c r="C379" s="2959" t="s">
        <v>3463</v>
      </c>
      <c r="D379" s="2959" t="s">
        <v>3516</v>
      </c>
      <c r="E379" s="2959" t="s">
        <v>3125</v>
      </c>
      <c r="F379" s="2960">
        <v>401</v>
      </c>
      <c r="G379" s="2959" t="s">
        <v>3529</v>
      </c>
      <c r="H379" s="2959">
        <v>157.43</v>
      </c>
      <c r="I379" s="2959">
        <v>121.27</v>
      </c>
    </row>
    <row r="380" spans="1:9" ht="18.75" customHeight="1">
      <c r="A380" s="2958">
        <v>379</v>
      </c>
      <c r="B380" s="2959" t="s">
        <v>3122</v>
      </c>
      <c r="C380" s="2959" t="s">
        <v>3463</v>
      </c>
      <c r="D380" s="2959" t="s">
        <v>3516</v>
      </c>
      <c r="E380" s="2959" t="s">
        <v>3125</v>
      </c>
      <c r="F380" s="2960">
        <v>503</v>
      </c>
      <c r="G380" s="2959" t="s">
        <v>3530</v>
      </c>
      <c r="H380" s="2959">
        <v>157.9</v>
      </c>
      <c r="I380" s="2959">
        <v>121.63</v>
      </c>
    </row>
    <row r="381" spans="1:9" ht="18.75" customHeight="1">
      <c r="A381" s="2958">
        <v>380</v>
      </c>
      <c r="B381" s="2959" t="s">
        <v>3122</v>
      </c>
      <c r="C381" s="2959" t="s">
        <v>3463</v>
      </c>
      <c r="D381" s="2959" t="s">
        <v>3516</v>
      </c>
      <c r="E381" s="2959" t="s">
        <v>3125</v>
      </c>
      <c r="F381" s="2960">
        <v>1103</v>
      </c>
      <c r="G381" s="2959" t="s">
        <v>3531</v>
      </c>
      <c r="H381" s="2959">
        <v>157.9</v>
      </c>
      <c r="I381" s="2959">
        <v>121.63</v>
      </c>
    </row>
    <row r="382" spans="1:9" ht="18.75" customHeight="1">
      <c r="A382" s="2958">
        <v>381</v>
      </c>
      <c r="B382" s="2959" t="s">
        <v>3122</v>
      </c>
      <c r="C382" s="2959" t="s">
        <v>3463</v>
      </c>
      <c r="D382" s="2959" t="s">
        <v>3516</v>
      </c>
      <c r="E382" s="2959" t="s">
        <v>3125</v>
      </c>
      <c r="F382" s="2960">
        <v>1201</v>
      </c>
      <c r="G382" s="2959" t="s">
        <v>3532</v>
      </c>
      <c r="H382" s="2959">
        <v>157.71</v>
      </c>
      <c r="I382" s="2959">
        <v>121.49</v>
      </c>
    </row>
    <row r="383" spans="1:9" ht="18.75" customHeight="1">
      <c r="A383" s="2958">
        <v>382</v>
      </c>
      <c r="B383" s="2959" t="s">
        <v>3122</v>
      </c>
      <c r="C383" s="2959" t="s">
        <v>3463</v>
      </c>
      <c r="D383" s="2959" t="s">
        <v>3516</v>
      </c>
      <c r="E383" s="2959" t="s">
        <v>3125</v>
      </c>
      <c r="F383" s="2960">
        <v>1302</v>
      </c>
      <c r="G383" s="2959" t="s">
        <v>3533</v>
      </c>
      <c r="H383" s="2959">
        <v>120.57</v>
      </c>
      <c r="I383" s="2959">
        <v>92.88</v>
      </c>
    </row>
    <row r="384" spans="1:9" ht="18.75" customHeight="1">
      <c r="A384" s="2958">
        <v>383</v>
      </c>
      <c r="B384" s="2959" t="s">
        <v>3122</v>
      </c>
      <c r="C384" s="2959" t="s">
        <v>3463</v>
      </c>
      <c r="D384" s="2959" t="s">
        <v>3516</v>
      </c>
      <c r="E384" s="2959" t="s">
        <v>3125</v>
      </c>
      <c r="F384" s="2960">
        <v>2105</v>
      </c>
      <c r="G384" s="2959" t="s">
        <v>3534</v>
      </c>
      <c r="H384" s="2959">
        <v>117.73</v>
      </c>
      <c r="I384" s="2959">
        <v>90.69</v>
      </c>
    </row>
    <row r="385" spans="1:9" ht="18.75" customHeight="1">
      <c r="A385" s="2958">
        <v>384</v>
      </c>
      <c r="B385" s="2959" t="s">
        <v>3122</v>
      </c>
      <c r="C385" s="2959" t="s">
        <v>3463</v>
      </c>
      <c r="D385" s="2959" t="s">
        <v>3516</v>
      </c>
      <c r="E385" s="2959" t="s">
        <v>3125</v>
      </c>
      <c r="F385" s="2960">
        <v>3101</v>
      </c>
      <c r="G385" s="2959" t="s">
        <v>3535</v>
      </c>
      <c r="H385" s="2959">
        <v>158.97</v>
      </c>
      <c r="I385" s="2959">
        <v>122.46</v>
      </c>
    </row>
    <row r="386" spans="1:9" ht="18.75" customHeight="1">
      <c r="A386" s="2958">
        <v>385</v>
      </c>
      <c r="B386" s="2959" t="s">
        <v>3122</v>
      </c>
      <c r="C386" s="2959" t="s">
        <v>3463</v>
      </c>
      <c r="D386" s="2959" t="s">
        <v>3516</v>
      </c>
      <c r="E386" s="2959" t="s">
        <v>3125</v>
      </c>
      <c r="F386" s="2960">
        <v>3102</v>
      </c>
      <c r="G386" s="2959" t="s">
        <v>3536</v>
      </c>
      <c r="H386" s="2959">
        <v>121.73</v>
      </c>
      <c r="I386" s="2959">
        <v>93.77</v>
      </c>
    </row>
    <row r="387" spans="1:9" ht="18.75" customHeight="1">
      <c r="A387" s="2958">
        <v>386</v>
      </c>
      <c r="B387" s="2959" t="s">
        <v>3122</v>
      </c>
      <c r="C387" s="2959" t="s">
        <v>3463</v>
      </c>
      <c r="D387" s="2959" t="s">
        <v>3516</v>
      </c>
      <c r="E387" s="2959" t="s">
        <v>3125</v>
      </c>
      <c r="F387" s="2960">
        <v>3103</v>
      </c>
      <c r="G387" s="2959" t="s">
        <v>3537</v>
      </c>
      <c r="H387" s="2959">
        <v>159.06</v>
      </c>
      <c r="I387" s="2959">
        <v>122.53</v>
      </c>
    </row>
    <row r="388" spans="1:9" ht="18.75" customHeight="1">
      <c r="A388" s="2958">
        <v>387</v>
      </c>
      <c r="B388" s="2959" t="s">
        <v>3122</v>
      </c>
      <c r="C388" s="2959" t="s">
        <v>3463</v>
      </c>
      <c r="D388" s="2959" t="s">
        <v>3516</v>
      </c>
      <c r="E388" s="2959" t="s">
        <v>3125</v>
      </c>
      <c r="F388" s="2960">
        <v>3104</v>
      </c>
      <c r="G388" s="2959" t="s">
        <v>3538</v>
      </c>
      <c r="H388" s="2959">
        <v>118.17</v>
      </c>
      <c r="I388" s="2959">
        <v>91.03</v>
      </c>
    </row>
    <row r="389" spans="1:9" ht="18.75" customHeight="1">
      <c r="A389" s="2958">
        <v>388</v>
      </c>
      <c r="B389" s="2959" t="s">
        <v>3122</v>
      </c>
      <c r="C389" s="2959" t="s">
        <v>3463</v>
      </c>
      <c r="D389" s="2959" t="s">
        <v>3516</v>
      </c>
      <c r="E389" s="2959" t="s">
        <v>3125</v>
      </c>
      <c r="F389" s="2960">
        <v>3105</v>
      </c>
      <c r="G389" s="2959" t="s">
        <v>3539</v>
      </c>
      <c r="H389" s="2959">
        <v>117.73</v>
      </c>
      <c r="I389" s="2959">
        <v>90.69</v>
      </c>
    </row>
    <row r="390" spans="1:9" s="2956" customFormat="1" ht="18.75" customHeight="1">
      <c r="A390" s="2958">
        <v>389</v>
      </c>
      <c r="B390" s="2959" t="s">
        <v>3122</v>
      </c>
      <c r="C390" s="2959" t="s">
        <v>3463</v>
      </c>
      <c r="D390" s="2959" t="s">
        <v>3540</v>
      </c>
      <c r="E390" s="2959" t="s">
        <v>3125</v>
      </c>
      <c r="F390" s="2960">
        <v>101</v>
      </c>
      <c r="G390" s="2959" t="s">
        <v>3541</v>
      </c>
      <c r="H390" s="2959">
        <v>157.72</v>
      </c>
      <c r="I390" s="2959">
        <v>122.59</v>
      </c>
    </row>
    <row r="391" spans="1:9" s="2956" customFormat="1" ht="18.75" customHeight="1">
      <c r="A391" s="2958">
        <v>390</v>
      </c>
      <c r="B391" s="2959" t="s">
        <v>3122</v>
      </c>
      <c r="C391" s="2959" t="s">
        <v>3463</v>
      </c>
      <c r="D391" s="2959" t="s">
        <v>3540</v>
      </c>
      <c r="E391" s="2959" t="s">
        <v>3125</v>
      </c>
      <c r="F391" s="2960">
        <v>102</v>
      </c>
      <c r="G391" s="2959" t="s">
        <v>3542</v>
      </c>
      <c r="H391" s="2959">
        <v>120.82</v>
      </c>
      <c r="I391" s="2959">
        <v>93.91</v>
      </c>
    </row>
    <row r="392" spans="1:9" s="2956" customFormat="1" ht="18.75" customHeight="1">
      <c r="A392" s="2958">
        <v>391</v>
      </c>
      <c r="B392" s="2959" t="s">
        <v>3122</v>
      </c>
      <c r="C392" s="2959" t="s">
        <v>3463</v>
      </c>
      <c r="D392" s="2959" t="s">
        <v>3540</v>
      </c>
      <c r="E392" s="2959" t="s">
        <v>3125</v>
      </c>
      <c r="F392" s="2960">
        <v>103</v>
      </c>
      <c r="G392" s="2959" t="s">
        <v>3543</v>
      </c>
      <c r="H392" s="2959">
        <v>157.72999999999999</v>
      </c>
      <c r="I392" s="2959">
        <v>122.6</v>
      </c>
    </row>
    <row r="393" spans="1:9" s="2956" customFormat="1" ht="18.75" customHeight="1">
      <c r="A393" s="2958">
        <v>392</v>
      </c>
      <c r="B393" s="2959" t="s">
        <v>3122</v>
      </c>
      <c r="C393" s="2959" t="s">
        <v>3463</v>
      </c>
      <c r="D393" s="2959" t="s">
        <v>3540</v>
      </c>
      <c r="E393" s="2959" t="s">
        <v>3125</v>
      </c>
      <c r="F393" s="2960">
        <v>104</v>
      </c>
      <c r="G393" s="2959" t="s">
        <v>3544</v>
      </c>
      <c r="H393" s="2959">
        <v>117.07</v>
      </c>
      <c r="I393" s="2959">
        <v>90.99</v>
      </c>
    </row>
    <row r="394" spans="1:9" s="2956" customFormat="1" ht="18.75" customHeight="1">
      <c r="A394" s="2958">
        <v>393</v>
      </c>
      <c r="B394" s="2959" t="s">
        <v>3122</v>
      </c>
      <c r="C394" s="2959" t="s">
        <v>3463</v>
      </c>
      <c r="D394" s="2959" t="s">
        <v>3540</v>
      </c>
      <c r="E394" s="2959" t="s">
        <v>3125</v>
      </c>
      <c r="F394" s="2960">
        <v>105</v>
      </c>
      <c r="G394" s="2959" t="s">
        <v>3545</v>
      </c>
      <c r="H394" s="2959">
        <v>116.63</v>
      </c>
      <c r="I394" s="2959">
        <v>90.65</v>
      </c>
    </row>
    <row r="395" spans="1:9" ht="18.75" customHeight="1">
      <c r="A395" s="2958">
        <v>394</v>
      </c>
      <c r="B395" s="2959" t="s">
        <v>3122</v>
      </c>
      <c r="C395" s="2959" t="s">
        <v>3463</v>
      </c>
      <c r="D395" s="2959" t="s">
        <v>3540</v>
      </c>
      <c r="E395" s="2959" t="s">
        <v>3125</v>
      </c>
      <c r="F395" s="2960">
        <v>201</v>
      </c>
      <c r="G395" s="2959" t="s">
        <v>3546</v>
      </c>
      <c r="H395" s="2959">
        <v>158.21</v>
      </c>
      <c r="I395" s="2959">
        <v>122.97</v>
      </c>
    </row>
    <row r="396" spans="1:9" ht="18.75" customHeight="1">
      <c r="A396" s="2958">
        <v>395</v>
      </c>
      <c r="B396" s="2959" t="s">
        <v>3122</v>
      </c>
      <c r="C396" s="2959" t="s">
        <v>3463</v>
      </c>
      <c r="D396" s="2959" t="s">
        <v>3540</v>
      </c>
      <c r="E396" s="2959" t="s">
        <v>3125</v>
      </c>
      <c r="F396" s="2960">
        <v>202</v>
      </c>
      <c r="G396" s="2959" t="s">
        <v>3547</v>
      </c>
      <c r="H396" s="2959">
        <v>121.49</v>
      </c>
      <c r="I396" s="2959">
        <v>94.43</v>
      </c>
    </row>
    <row r="397" spans="1:9" ht="18.75" customHeight="1">
      <c r="A397" s="2958">
        <v>396</v>
      </c>
      <c r="B397" s="2959" t="s">
        <v>3122</v>
      </c>
      <c r="C397" s="2959" t="s">
        <v>3463</v>
      </c>
      <c r="D397" s="2959" t="s">
        <v>3540</v>
      </c>
      <c r="E397" s="2959" t="s">
        <v>3125</v>
      </c>
      <c r="F397" s="2960">
        <v>203</v>
      </c>
      <c r="G397" s="2959" t="s">
        <v>3548</v>
      </c>
      <c r="H397" s="2959">
        <v>158.22</v>
      </c>
      <c r="I397" s="2959">
        <v>122.98</v>
      </c>
    </row>
    <row r="398" spans="1:9" ht="18.75" customHeight="1">
      <c r="A398" s="2958">
        <v>397</v>
      </c>
      <c r="B398" s="2959" t="s">
        <v>3122</v>
      </c>
      <c r="C398" s="2959" t="s">
        <v>3463</v>
      </c>
      <c r="D398" s="2959" t="s">
        <v>3540</v>
      </c>
      <c r="E398" s="2959" t="s">
        <v>3125</v>
      </c>
      <c r="F398" s="2960">
        <v>204</v>
      </c>
      <c r="G398" s="2959" t="s">
        <v>3549</v>
      </c>
      <c r="H398" s="2959">
        <v>117.66</v>
      </c>
      <c r="I398" s="2959">
        <v>91.45</v>
      </c>
    </row>
    <row r="399" spans="1:9" ht="18.75" customHeight="1">
      <c r="A399" s="2958">
        <v>398</v>
      </c>
      <c r="B399" s="2959" t="s">
        <v>3122</v>
      </c>
      <c r="C399" s="2959" t="s">
        <v>3463</v>
      </c>
      <c r="D399" s="2959" t="s">
        <v>3540</v>
      </c>
      <c r="E399" s="2959" t="s">
        <v>3125</v>
      </c>
      <c r="F399" s="2960">
        <v>205</v>
      </c>
      <c r="G399" s="2959" t="s">
        <v>3550</v>
      </c>
      <c r="H399" s="2959">
        <v>117.22</v>
      </c>
      <c r="I399" s="2959">
        <v>91.11</v>
      </c>
    </row>
    <row r="400" spans="1:9" ht="18.75" customHeight="1">
      <c r="A400" s="2958">
        <v>399</v>
      </c>
      <c r="B400" s="2959" t="s">
        <v>3122</v>
      </c>
      <c r="C400" s="2959" t="s">
        <v>3463</v>
      </c>
      <c r="D400" s="2959" t="s">
        <v>3540</v>
      </c>
      <c r="E400" s="2959" t="s">
        <v>3125</v>
      </c>
      <c r="F400" s="2960">
        <v>301</v>
      </c>
      <c r="G400" s="2959" t="s">
        <v>3551</v>
      </c>
      <c r="H400" s="2959">
        <v>158.21</v>
      </c>
      <c r="I400" s="2959">
        <v>122.97</v>
      </c>
    </row>
    <row r="401" spans="1:9" ht="18.75" customHeight="1">
      <c r="A401" s="2958">
        <v>400</v>
      </c>
      <c r="B401" s="2959" t="s">
        <v>3122</v>
      </c>
      <c r="C401" s="2959" t="s">
        <v>3463</v>
      </c>
      <c r="D401" s="2959" t="s">
        <v>3540</v>
      </c>
      <c r="E401" s="2959" t="s">
        <v>3125</v>
      </c>
      <c r="F401" s="2960">
        <v>302</v>
      </c>
      <c r="G401" s="2959" t="s">
        <v>3552</v>
      </c>
      <c r="H401" s="2959">
        <v>121.49</v>
      </c>
      <c r="I401" s="2959">
        <v>94.43</v>
      </c>
    </row>
    <row r="402" spans="1:9" ht="18.75" customHeight="1">
      <c r="A402" s="2958">
        <v>401</v>
      </c>
      <c r="B402" s="2959" t="s">
        <v>3122</v>
      </c>
      <c r="C402" s="2959" t="s">
        <v>3463</v>
      </c>
      <c r="D402" s="2959" t="s">
        <v>3540</v>
      </c>
      <c r="E402" s="2959" t="s">
        <v>3125</v>
      </c>
      <c r="F402" s="2960">
        <v>303</v>
      </c>
      <c r="G402" s="2959" t="s">
        <v>3553</v>
      </c>
      <c r="H402" s="2959">
        <v>158.22</v>
      </c>
      <c r="I402" s="2959">
        <v>122.98</v>
      </c>
    </row>
    <row r="403" spans="1:9" ht="18.75" customHeight="1">
      <c r="A403" s="2958">
        <v>402</v>
      </c>
      <c r="B403" s="2959" t="s">
        <v>3122</v>
      </c>
      <c r="C403" s="2959" t="s">
        <v>3463</v>
      </c>
      <c r="D403" s="2959" t="s">
        <v>3540</v>
      </c>
      <c r="E403" s="2959" t="s">
        <v>3125</v>
      </c>
      <c r="F403" s="2960">
        <v>304</v>
      </c>
      <c r="G403" s="2959" t="s">
        <v>3554</v>
      </c>
      <c r="H403" s="2959">
        <v>117.66</v>
      </c>
      <c r="I403" s="2959">
        <v>91.45</v>
      </c>
    </row>
    <row r="404" spans="1:9" ht="18.75" customHeight="1">
      <c r="A404" s="2958">
        <v>403</v>
      </c>
      <c r="B404" s="2959" t="s">
        <v>3122</v>
      </c>
      <c r="C404" s="2959" t="s">
        <v>3463</v>
      </c>
      <c r="D404" s="2959" t="s">
        <v>3540</v>
      </c>
      <c r="E404" s="2959" t="s">
        <v>3125</v>
      </c>
      <c r="F404" s="2960">
        <v>305</v>
      </c>
      <c r="G404" s="2959" t="s">
        <v>3555</v>
      </c>
      <c r="H404" s="2959">
        <v>117.3</v>
      </c>
      <c r="I404" s="2959">
        <v>91.11</v>
      </c>
    </row>
    <row r="405" spans="1:9" ht="18.75" customHeight="1">
      <c r="A405" s="2958">
        <v>404</v>
      </c>
      <c r="B405" s="2959" t="s">
        <v>3122</v>
      </c>
      <c r="C405" s="2959" t="s">
        <v>3463</v>
      </c>
      <c r="D405" s="2959" t="s">
        <v>3540</v>
      </c>
      <c r="E405" s="2959" t="s">
        <v>3125</v>
      </c>
      <c r="F405" s="2960">
        <v>401</v>
      </c>
      <c r="G405" s="2959" t="s">
        <v>3556</v>
      </c>
      <c r="H405" s="2959">
        <v>158.21</v>
      </c>
      <c r="I405" s="2959">
        <v>122.97</v>
      </c>
    </row>
    <row r="406" spans="1:9" ht="18.75" customHeight="1">
      <c r="A406" s="2958">
        <v>405</v>
      </c>
      <c r="B406" s="2959" t="s">
        <v>3122</v>
      </c>
      <c r="C406" s="2959" t="s">
        <v>3463</v>
      </c>
      <c r="D406" s="2959" t="s">
        <v>3540</v>
      </c>
      <c r="E406" s="2959" t="s">
        <v>3125</v>
      </c>
      <c r="F406" s="2960">
        <v>402</v>
      </c>
      <c r="G406" s="2959" t="s">
        <v>3557</v>
      </c>
      <c r="H406" s="2959">
        <v>121.49</v>
      </c>
      <c r="I406" s="2959">
        <v>94.43</v>
      </c>
    </row>
    <row r="407" spans="1:9" ht="18.75" customHeight="1">
      <c r="A407" s="2958">
        <v>406</v>
      </c>
      <c r="B407" s="2959" t="s">
        <v>3122</v>
      </c>
      <c r="C407" s="2959" t="s">
        <v>3463</v>
      </c>
      <c r="D407" s="2959" t="s">
        <v>3540</v>
      </c>
      <c r="E407" s="2959" t="s">
        <v>3125</v>
      </c>
      <c r="F407" s="2960">
        <v>403</v>
      </c>
      <c r="G407" s="2959" t="s">
        <v>3558</v>
      </c>
      <c r="H407" s="2959">
        <v>158.22</v>
      </c>
      <c r="I407" s="2959">
        <v>122.98</v>
      </c>
    </row>
    <row r="408" spans="1:9" ht="18.75" customHeight="1">
      <c r="A408" s="2958">
        <v>407</v>
      </c>
      <c r="B408" s="2959" t="s">
        <v>3122</v>
      </c>
      <c r="C408" s="2959" t="s">
        <v>3463</v>
      </c>
      <c r="D408" s="2959" t="s">
        <v>3540</v>
      </c>
      <c r="E408" s="2959" t="s">
        <v>3125</v>
      </c>
      <c r="F408" s="2960">
        <v>404</v>
      </c>
      <c r="G408" s="2959" t="s">
        <v>3559</v>
      </c>
      <c r="H408" s="2959">
        <v>117.66</v>
      </c>
      <c r="I408" s="2959">
        <v>91.45</v>
      </c>
    </row>
    <row r="409" spans="1:9" ht="18.75" customHeight="1">
      <c r="A409" s="2958">
        <v>408</v>
      </c>
      <c r="B409" s="2959" t="s">
        <v>3122</v>
      </c>
      <c r="C409" s="2959" t="s">
        <v>3463</v>
      </c>
      <c r="D409" s="2959" t="s">
        <v>3540</v>
      </c>
      <c r="E409" s="2959" t="s">
        <v>3125</v>
      </c>
      <c r="F409" s="2960">
        <v>405</v>
      </c>
      <c r="G409" s="2959" t="s">
        <v>3560</v>
      </c>
      <c r="H409" s="2959">
        <v>117.3</v>
      </c>
      <c r="I409" s="2959">
        <v>91.11</v>
      </c>
    </row>
    <row r="410" spans="1:9" ht="18.75" customHeight="1">
      <c r="A410" s="2958">
        <v>409</v>
      </c>
      <c r="B410" s="2959" t="s">
        <v>3122</v>
      </c>
      <c r="C410" s="2959" t="s">
        <v>3463</v>
      </c>
      <c r="D410" s="2959" t="s">
        <v>3540</v>
      </c>
      <c r="E410" s="2959" t="s">
        <v>3125</v>
      </c>
      <c r="F410" s="2960">
        <v>501</v>
      </c>
      <c r="G410" s="2959" t="s">
        <v>3561</v>
      </c>
      <c r="H410" s="2959">
        <v>158.21</v>
      </c>
      <c r="I410" s="2959">
        <v>122.97</v>
      </c>
    </row>
    <row r="411" spans="1:9" ht="18.75" customHeight="1">
      <c r="A411" s="2958">
        <v>410</v>
      </c>
      <c r="B411" s="2959" t="s">
        <v>3122</v>
      </c>
      <c r="C411" s="2959" t="s">
        <v>3463</v>
      </c>
      <c r="D411" s="2959" t="s">
        <v>3540</v>
      </c>
      <c r="E411" s="2959" t="s">
        <v>3125</v>
      </c>
      <c r="F411" s="2960">
        <v>502</v>
      </c>
      <c r="G411" s="2959" t="s">
        <v>3562</v>
      </c>
      <c r="H411" s="2959">
        <v>121.49</v>
      </c>
      <c r="I411" s="2959">
        <v>94.43</v>
      </c>
    </row>
    <row r="412" spans="1:9" ht="18.75" customHeight="1">
      <c r="A412" s="2958">
        <v>411</v>
      </c>
      <c r="B412" s="2959" t="s">
        <v>3122</v>
      </c>
      <c r="C412" s="2959" t="s">
        <v>3463</v>
      </c>
      <c r="D412" s="2959" t="s">
        <v>3540</v>
      </c>
      <c r="E412" s="2959" t="s">
        <v>3125</v>
      </c>
      <c r="F412" s="2960">
        <v>503</v>
      </c>
      <c r="G412" s="2959" t="s">
        <v>3563</v>
      </c>
      <c r="H412" s="2959">
        <v>158.22</v>
      </c>
      <c r="I412" s="2959">
        <v>122.98</v>
      </c>
    </row>
    <row r="413" spans="1:9" ht="18.75" customHeight="1">
      <c r="A413" s="2958">
        <v>412</v>
      </c>
      <c r="B413" s="2959" t="s">
        <v>3122</v>
      </c>
      <c r="C413" s="2959" t="s">
        <v>3463</v>
      </c>
      <c r="D413" s="2959" t="s">
        <v>3540</v>
      </c>
      <c r="E413" s="2959" t="s">
        <v>3125</v>
      </c>
      <c r="F413" s="2960">
        <v>504</v>
      </c>
      <c r="G413" s="2959" t="s">
        <v>3564</v>
      </c>
      <c r="H413" s="2959">
        <v>117.66</v>
      </c>
      <c r="I413" s="2959">
        <v>91.45</v>
      </c>
    </row>
    <row r="414" spans="1:9" ht="18.75" customHeight="1">
      <c r="A414" s="2958">
        <v>413</v>
      </c>
      <c r="B414" s="2959" t="s">
        <v>3122</v>
      </c>
      <c r="C414" s="2959" t="s">
        <v>3463</v>
      </c>
      <c r="D414" s="2959" t="s">
        <v>3540</v>
      </c>
      <c r="E414" s="2959" t="s">
        <v>3125</v>
      </c>
      <c r="F414" s="2960">
        <v>505</v>
      </c>
      <c r="G414" s="2959" t="s">
        <v>3565</v>
      </c>
      <c r="H414" s="2959">
        <v>117.3</v>
      </c>
      <c r="I414" s="2959">
        <v>91.11</v>
      </c>
    </row>
    <row r="415" spans="1:9" ht="18.75" customHeight="1">
      <c r="A415" s="2958">
        <v>414</v>
      </c>
      <c r="B415" s="2959" t="s">
        <v>3122</v>
      </c>
      <c r="C415" s="2959" t="s">
        <v>3463</v>
      </c>
      <c r="D415" s="2959" t="s">
        <v>3540</v>
      </c>
      <c r="E415" s="2959" t="s">
        <v>3125</v>
      </c>
      <c r="F415" s="2960">
        <v>601</v>
      </c>
      <c r="G415" s="2959" t="s">
        <v>3566</v>
      </c>
      <c r="H415" s="2959">
        <v>158.21</v>
      </c>
      <c r="I415" s="2959">
        <v>122.97</v>
      </c>
    </row>
    <row r="416" spans="1:9" ht="18.75" customHeight="1">
      <c r="A416" s="2958">
        <v>415</v>
      </c>
      <c r="B416" s="2959" t="s">
        <v>3122</v>
      </c>
      <c r="C416" s="2959" t="s">
        <v>3463</v>
      </c>
      <c r="D416" s="2959" t="s">
        <v>3540</v>
      </c>
      <c r="E416" s="2959" t="s">
        <v>3125</v>
      </c>
      <c r="F416" s="2960">
        <v>602</v>
      </c>
      <c r="G416" s="2959" t="s">
        <v>3567</v>
      </c>
      <c r="H416" s="2959">
        <v>121.49</v>
      </c>
      <c r="I416" s="2959">
        <v>94.43</v>
      </c>
    </row>
    <row r="417" spans="1:9" ht="18.75" customHeight="1">
      <c r="A417" s="2958">
        <v>416</v>
      </c>
      <c r="B417" s="2959" t="s">
        <v>3122</v>
      </c>
      <c r="C417" s="2959" t="s">
        <v>3463</v>
      </c>
      <c r="D417" s="2959" t="s">
        <v>3540</v>
      </c>
      <c r="E417" s="2959" t="s">
        <v>3125</v>
      </c>
      <c r="F417" s="2960">
        <v>603</v>
      </c>
      <c r="G417" s="2959" t="s">
        <v>3568</v>
      </c>
      <c r="H417" s="2959">
        <v>158.22</v>
      </c>
      <c r="I417" s="2959">
        <v>122.98</v>
      </c>
    </row>
    <row r="418" spans="1:9" ht="18.75" customHeight="1">
      <c r="A418" s="2958">
        <v>417</v>
      </c>
      <c r="B418" s="2959" t="s">
        <v>3122</v>
      </c>
      <c r="C418" s="2959" t="s">
        <v>3463</v>
      </c>
      <c r="D418" s="2959" t="s">
        <v>3540</v>
      </c>
      <c r="E418" s="2959" t="s">
        <v>3125</v>
      </c>
      <c r="F418" s="2960">
        <v>604</v>
      </c>
      <c r="G418" s="2959" t="s">
        <v>3569</v>
      </c>
      <c r="H418" s="2959">
        <v>117.66</v>
      </c>
      <c r="I418" s="2959">
        <v>91.45</v>
      </c>
    </row>
    <row r="419" spans="1:9" ht="18.75" customHeight="1">
      <c r="A419" s="2958">
        <v>418</v>
      </c>
      <c r="B419" s="2959" t="s">
        <v>3122</v>
      </c>
      <c r="C419" s="2959" t="s">
        <v>3463</v>
      </c>
      <c r="D419" s="2959" t="s">
        <v>3540</v>
      </c>
      <c r="E419" s="2959" t="s">
        <v>3125</v>
      </c>
      <c r="F419" s="2960">
        <v>605</v>
      </c>
      <c r="G419" s="2959" t="s">
        <v>3570</v>
      </c>
      <c r="H419" s="2959">
        <v>117.3</v>
      </c>
      <c r="I419" s="2959">
        <v>91.11</v>
      </c>
    </row>
    <row r="420" spans="1:9" ht="18.75" customHeight="1">
      <c r="A420" s="2958">
        <v>419</v>
      </c>
      <c r="B420" s="2959" t="s">
        <v>3122</v>
      </c>
      <c r="C420" s="2959" t="s">
        <v>3463</v>
      </c>
      <c r="D420" s="2959" t="s">
        <v>3540</v>
      </c>
      <c r="E420" s="2959" t="s">
        <v>3125</v>
      </c>
      <c r="F420" s="2960">
        <v>701</v>
      </c>
      <c r="G420" s="2959" t="s">
        <v>3571</v>
      </c>
      <c r="H420" s="2959">
        <v>158.21</v>
      </c>
      <c r="I420" s="2959">
        <v>122.97</v>
      </c>
    </row>
    <row r="421" spans="1:9" ht="18.75" customHeight="1">
      <c r="A421" s="2958">
        <v>420</v>
      </c>
      <c r="B421" s="2959" t="s">
        <v>3122</v>
      </c>
      <c r="C421" s="2959" t="s">
        <v>3463</v>
      </c>
      <c r="D421" s="2959" t="s">
        <v>3540</v>
      </c>
      <c r="E421" s="2959" t="s">
        <v>3125</v>
      </c>
      <c r="F421" s="2960">
        <v>702</v>
      </c>
      <c r="G421" s="2959" t="s">
        <v>3572</v>
      </c>
      <c r="H421" s="2959">
        <v>121.49</v>
      </c>
      <c r="I421" s="2959">
        <v>94.43</v>
      </c>
    </row>
    <row r="422" spans="1:9" ht="18.75" customHeight="1">
      <c r="A422" s="2958">
        <v>421</v>
      </c>
      <c r="B422" s="2959" t="s">
        <v>3122</v>
      </c>
      <c r="C422" s="2959" t="s">
        <v>3463</v>
      </c>
      <c r="D422" s="2959" t="s">
        <v>3540</v>
      </c>
      <c r="E422" s="2959" t="s">
        <v>3125</v>
      </c>
      <c r="F422" s="2960">
        <v>703</v>
      </c>
      <c r="G422" s="2959" t="s">
        <v>3573</v>
      </c>
      <c r="H422" s="2959">
        <v>158.22</v>
      </c>
      <c r="I422" s="2959">
        <v>122.98</v>
      </c>
    </row>
    <row r="423" spans="1:9" ht="18.75" customHeight="1">
      <c r="A423" s="2958">
        <v>422</v>
      </c>
      <c r="B423" s="2959" t="s">
        <v>3122</v>
      </c>
      <c r="C423" s="2959" t="s">
        <v>3463</v>
      </c>
      <c r="D423" s="2959" t="s">
        <v>3540</v>
      </c>
      <c r="E423" s="2959" t="s">
        <v>3125</v>
      </c>
      <c r="F423" s="2960">
        <v>704</v>
      </c>
      <c r="G423" s="2959" t="s">
        <v>3574</v>
      </c>
      <c r="H423" s="2959">
        <v>117.66</v>
      </c>
      <c r="I423" s="2959">
        <v>91.45</v>
      </c>
    </row>
    <row r="424" spans="1:9" ht="18.75" customHeight="1">
      <c r="A424" s="2958">
        <v>423</v>
      </c>
      <c r="B424" s="2959" t="s">
        <v>3122</v>
      </c>
      <c r="C424" s="2959" t="s">
        <v>3463</v>
      </c>
      <c r="D424" s="2959" t="s">
        <v>3540</v>
      </c>
      <c r="E424" s="2959" t="s">
        <v>3125</v>
      </c>
      <c r="F424" s="2960">
        <v>705</v>
      </c>
      <c r="G424" s="2959" t="s">
        <v>3575</v>
      </c>
      <c r="H424" s="2959">
        <v>117.3</v>
      </c>
      <c r="I424" s="2959">
        <v>91.11</v>
      </c>
    </row>
    <row r="425" spans="1:9" ht="18.75" customHeight="1">
      <c r="A425" s="2958">
        <v>424</v>
      </c>
      <c r="B425" s="2959" t="s">
        <v>3122</v>
      </c>
      <c r="C425" s="2959" t="s">
        <v>3463</v>
      </c>
      <c r="D425" s="2959" t="s">
        <v>3540</v>
      </c>
      <c r="E425" s="2959" t="s">
        <v>3125</v>
      </c>
      <c r="F425" s="2960">
        <v>801</v>
      </c>
      <c r="G425" s="2959" t="s">
        <v>3576</v>
      </c>
      <c r="H425" s="2959">
        <v>158.21</v>
      </c>
      <c r="I425" s="2959">
        <v>122.97</v>
      </c>
    </row>
    <row r="426" spans="1:9" ht="18.75" customHeight="1">
      <c r="A426" s="2958">
        <v>425</v>
      </c>
      <c r="B426" s="2959" t="s">
        <v>3122</v>
      </c>
      <c r="C426" s="2959" t="s">
        <v>3463</v>
      </c>
      <c r="D426" s="2959" t="s">
        <v>3540</v>
      </c>
      <c r="E426" s="2959" t="s">
        <v>3125</v>
      </c>
      <c r="F426" s="2960">
        <v>802</v>
      </c>
      <c r="G426" s="2959" t="s">
        <v>3577</v>
      </c>
      <c r="H426" s="2959">
        <v>121.49</v>
      </c>
      <c r="I426" s="2959">
        <v>94.43</v>
      </c>
    </row>
    <row r="427" spans="1:9" ht="18.75" customHeight="1">
      <c r="A427" s="2958">
        <v>426</v>
      </c>
      <c r="B427" s="2959" t="s">
        <v>3122</v>
      </c>
      <c r="C427" s="2959" t="s">
        <v>3463</v>
      </c>
      <c r="D427" s="2959" t="s">
        <v>3540</v>
      </c>
      <c r="E427" s="2959" t="s">
        <v>3125</v>
      </c>
      <c r="F427" s="2960">
        <v>803</v>
      </c>
      <c r="G427" s="2959" t="s">
        <v>3578</v>
      </c>
      <c r="H427" s="2959">
        <v>158.22</v>
      </c>
      <c r="I427" s="2959">
        <v>122.98</v>
      </c>
    </row>
    <row r="428" spans="1:9" ht="18.75" customHeight="1">
      <c r="A428" s="2958">
        <v>427</v>
      </c>
      <c r="B428" s="2959" t="s">
        <v>3122</v>
      </c>
      <c r="C428" s="2959" t="s">
        <v>3463</v>
      </c>
      <c r="D428" s="2959" t="s">
        <v>3540</v>
      </c>
      <c r="E428" s="2959" t="s">
        <v>3125</v>
      </c>
      <c r="F428" s="2960">
        <v>804</v>
      </c>
      <c r="G428" s="2959" t="s">
        <v>3579</v>
      </c>
      <c r="H428" s="2959">
        <v>117.66</v>
      </c>
      <c r="I428" s="2959">
        <v>91.45</v>
      </c>
    </row>
    <row r="429" spans="1:9" ht="18.75" customHeight="1">
      <c r="A429" s="2958">
        <v>428</v>
      </c>
      <c r="B429" s="2959" t="s">
        <v>3122</v>
      </c>
      <c r="C429" s="2959" t="s">
        <v>3463</v>
      </c>
      <c r="D429" s="2959" t="s">
        <v>3540</v>
      </c>
      <c r="E429" s="2959" t="s">
        <v>3125</v>
      </c>
      <c r="F429" s="2960">
        <v>805</v>
      </c>
      <c r="G429" s="2959" t="s">
        <v>3580</v>
      </c>
      <c r="H429" s="2959">
        <v>117.3</v>
      </c>
      <c r="I429" s="2959">
        <v>91.11</v>
      </c>
    </row>
    <row r="430" spans="1:9" ht="18.75" customHeight="1">
      <c r="A430" s="2958">
        <v>429</v>
      </c>
      <c r="B430" s="2959" t="s">
        <v>3122</v>
      </c>
      <c r="C430" s="2959" t="s">
        <v>3463</v>
      </c>
      <c r="D430" s="2959" t="s">
        <v>3540</v>
      </c>
      <c r="E430" s="2959" t="s">
        <v>3125</v>
      </c>
      <c r="F430" s="2960">
        <v>901</v>
      </c>
      <c r="G430" s="2959" t="s">
        <v>3581</v>
      </c>
      <c r="H430" s="2959">
        <v>158.21</v>
      </c>
      <c r="I430" s="2959">
        <v>122.97</v>
      </c>
    </row>
    <row r="431" spans="1:9" ht="18.75" customHeight="1">
      <c r="A431" s="2958">
        <v>430</v>
      </c>
      <c r="B431" s="2959" t="s">
        <v>3122</v>
      </c>
      <c r="C431" s="2959" t="s">
        <v>3463</v>
      </c>
      <c r="D431" s="2959" t="s">
        <v>3540</v>
      </c>
      <c r="E431" s="2959" t="s">
        <v>3125</v>
      </c>
      <c r="F431" s="2960">
        <v>902</v>
      </c>
      <c r="G431" s="2959" t="s">
        <v>3582</v>
      </c>
      <c r="H431" s="2959">
        <v>121.49</v>
      </c>
      <c r="I431" s="2959">
        <v>94.43</v>
      </c>
    </row>
    <row r="432" spans="1:9" ht="18.75" customHeight="1">
      <c r="A432" s="2958">
        <v>431</v>
      </c>
      <c r="B432" s="2959" t="s">
        <v>3122</v>
      </c>
      <c r="C432" s="2959" t="s">
        <v>3463</v>
      </c>
      <c r="D432" s="2959" t="s">
        <v>3540</v>
      </c>
      <c r="E432" s="2959" t="s">
        <v>3125</v>
      </c>
      <c r="F432" s="2960">
        <v>903</v>
      </c>
      <c r="G432" s="2959" t="s">
        <v>3583</v>
      </c>
      <c r="H432" s="2959">
        <v>158.22</v>
      </c>
      <c r="I432" s="2959">
        <v>122.98</v>
      </c>
    </row>
    <row r="433" spans="1:9" ht="18.75" customHeight="1">
      <c r="A433" s="2958">
        <v>432</v>
      </c>
      <c r="B433" s="2959" t="s">
        <v>3122</v>
      </c>
      <c r="C433" s="2959" t="s">
        <v>3463</v>
      </c>
      <c r="D433" s="2959" t="s">
        <v>3540</v>
      </c>
      <c r="E433" s="2959" t="s">
        <v>3125</v>
      </c>
      <c r="F433" s="2960">
        <v>904</v>
      </c>
      <c r="G433" s="2959" t="s">
        <v>3584</v>
      </c>
      <c r="H433" s="2959">
        <v>117.66</v>
      </c>
      <c r="I433" s="2959">
        <v>91.45</v>
      </c>
    </row>
    <row r="434" spans="1:9" ht="18.75" customHeight="1">
      <c r="A434" s="2958">
        <v>433</v>
      </c>
      <c r="B434" s="2959" t="s">
        <v>3122</v>
      </c>
      <c r="C434" s="2959" t="s">
        <v>3463</v>
      </c>
      <c r="D434" s="2959" t="s">
        <v>3540</v>
      </c>
      <c r="E434" s="2959" t="s">
        <v>3125</v>
      </c>
      <c r="F434" s="2960">
        <v>905</v>
      </c>
      <c r="G434" s="2959" t="s">
        <v>3585</v>
      </c>
      <c r="H434" s="2959">
        <v>117.3</v>
      </c>
      <c r="I434" s="2959">
        <v>91.11</v>
      </c>
    </row>
    <row r="435" spans="1:9" ht="18.75" customHeight="1">
      <c r="A435" s="2958">
        <v>434</v>
      </c>
      <c r="B435" s="2959" t="s">
        <v>3122</v>
      </c>
      <c r="C435" s="2959" t="s">
        <v>3463</v>
      </c>
      <c r="D435" s="2959" t="s">
        <v>3540</v>
      </c>
      <c r="E435" s="2959" t="s">
        <v>3125</v>
      </c>
      <c r="F435" s="2960">
        <v>1001</v>
      </c>
      <c r="G435" s="2959" t="s">
        <v>3586</v>
      </c>
      <c r="H435" s="2959">
        <v>158.21</v>
      </c>
      <c r="I435" s="2959">
        <v>122.97</v>
      </c>
    </row>
    <row r="436" spans="1:9" ht="18.75" customHeight="1">
      <c r="A436" s="2958">
        <v>435</v>
      </c>
      <c r="B436" s="2959" t="s">
        <v>3122</v>
      </c>
      <c r="C436" s="2959" t="s">
        <v>3463</v>
      </c>
      <c r="D436" s="2959" t="s">
        <v>3540</v>
      </c>
      <c r="E436" s="2959" t="s">
        <v>3125</v>
      </c>
      <c r="F436" s="2960">
        <v>1002</v>
      </c>
      <c r="G436" s="2959" t="s">
        <v>3587</v>
      </c>
      <c r="H436" s="2959">
        <v>121.49</v>
      </c>
      <c r="I436" s="2959">
        <v>94.43</v>
      </c>
    </row>
    <row r="437" spans="1:9" ht="18.75" customHeight="1">
      <c r="A437" s="2958">
        <v>436</v>
      </c>
      <c r="B437" s="2959" t="s">
        <v>3122</v>
      </c>
      <c r="C437" s="2959" t="s">
        <v>3463</v>
      </c>
      <c r="D437" s="2959" t="s">
        <v>3540</v>
      </c>
      <c r="E437" s="2959" t="s">
        <v>3125</v>
      </c>
      <c r="F437" s="2960">
        <v>1003</v>
      </c>
      <c r="G437" s="2959" t="s">
        <v>3588</v>
      </c>
      <c r="H437" s="2959">
        <v>158.22</v>
      </c>
      <c r="I437" s="2959">
        <v>122.98</v>
      </c>
    </row>
    <row r="438" spans="1:9" ht="18.75" customHeight="1">
      <c r="A438" s="2958">
        <v>437</v>
      </c>
      <c r="B438" s="2959" t="s">
        <v>3122</v>
      </c>
      <c r="C438" s="2959" t="s">
        <v>3463</v>
      </c>
      <c r="D438" s="2959" t="s">
        <v>3540</v>
      </c>
      <c r="E438" s="2959" t="s">
        <v>3125</v>
      </c>
      <c r="F438" s="2960">
        <v>1004</v>
      </c>
      <c r="G438" s="2959" t="s">
        <v>3589</v>
      </c>
      <c r="H438" s="2959">
        <v>117.66</v>
      </c>
      <c r="I438" s="2959">
        <v>91.45</v>
      </c>
    </row>
    <row r="439" spans="1:9" ht="18.75" customHeight="1">
      <c r="A439" s="2958">
        <v>438</v>
      </c>
      <c r="B439" s="2959" t="s">
        <v>3122</v>
      </c>
      <c r="C439" s="2959" t="s">
        <v>3463</v>
      </c>
      <c r="D439" s="2959" t="s">
        <v>3540</v>
      </c>
      <c r="E439" s="2959" t="s">
        <v>3125</v>
      </c>
      <c r="F439" s="2960">
        <v>1005</v>
      </c>
      <c r="G439" s="2959" t="s">
        <v>3590</v>
      </c>
      <c r="H439" s="2959">
        <v>117.3</v>
      </c>
      <c r="I439" s="2959">
        <v>91.11</v>
      </c>
    </row>
    <row r="440" spans="1:9" ht="18.75" customHeight="1">
      <c r="A440" s="2958">
        <v>439</v>
      </c>
      <c r="B440" s="2959" t="s">
        <v>3122</v>
      </c>
      <c r="C440" s="2959" t="s">
        <v>3463</v>
      </c>
      <c r="D440" s="2959" t="s">
        <v>3540</v>
      </c>
      <c r="E440" s="2959" t="s">
        <v>3125</v>
      </c>
      <c r="F440" s="2960">
        <v>1101</v>
      </c>
      <c r="G440" s="2959" t="s">
        <v>3591</v>
      </c>
      <c r="H440" s="2959">
        <v>158.21</v>
      </c>
      <c r="I440" s="2959">
        <v>122.97</v>
      </c>
    </row>
    <row r="441" spans="1:9" ht="18.75" customHeight="1">
      <c r="A441" s="2958">
        <v>440</v>
      </c>
      <c r="B441" s="2959" t="s">
        <v>3122</v>
      </c>
      <c r="C441" s="2959" t="s">
        <v>3463</v>
      </c>
      <c r="D441" s="2959" t="s">
        <v>3540</v>
      </c>
      <c r="E441" s="2959" t="s">
        <v>3125</v>
      </c>
      <c r="F441" s="2960">
        <v>1102</v>
      </c>
      <c r="G441" s="2959" t="s">
        <v>3592</v>
      </c>
      <c r="H441" s="2959">
        <v>121.49</v>
      </c>
      <c r="I441" s="2959">
        <v>94.43</v>
      </c>
    </row>
    <row r="442" spans="1:9" ht="18.75" customHeight="1">
      <c r="A442" s="2958">
        <v>441</v>
      </c>
      <c r="B442" s="2959" t="s">
        <v>3122</v>
      </c>
      <c r="C442" s="2959" t="s">
        <v>3463</v>
      </c>
      <c r="D442" s="2959" t="s">
        <v>3540</v>
      </c>
      <c r="E442" s="2959" t="s">
        <v>3125</v>
      </c>
      <c r="F442" s="2960">
        <v>1103</v>
      </c>
      <c r="G442" s="2959" t="s">
        <v>3593</v>
      </c>
      <c r="H442" s="2959">
        <v>158.22</v>
      </c>
      <c r="I442" s="2959">
        <v>122.98</v>
      </c>
    </row>
    <row r="443" spans="1:9" ht="18.75" customHeight="1">
      <c r="A443" s="2958">
        <v>442</v>
      </c>
      <c r="B443" s="2959" t="s">
        <v>3122</v>
      </c>
      <c r="C443" s="2959" t="s">
        <v>3463</v>
      </c>
      <c r="D443" s="2959" t="s">
        <v>3540</v>
      </c>
      <c r="E443" s="2959" t="s">
        <v>3125</v>
      </c>
      <c r="F443" s="2960">
        <v>1104</v>
      </c>
      <c r="G443" s="2959" t="s">
        <v>3594</v>
      </c>
      <c r="H443" s="2959">
        <v>117.66</v>
      </c>
      <c r="I443" s="2959">
        <v>91.45</v>
      </c>
    </row>
    <row r="444" spans="1:9" ht="18.75" customHeight="1">
      <c r="A444" s="2958">
        <v>443</v>
      </c>
      <c r="B444" s="2959" t="s">
        <v>3122</v>
      </c>
      <c r="C444" s="2959" t="s">
        <v>3463</v>
      </c>
      <c r="D444" s="2959" t="s">
        <v>3540</v>
      </c>
      <c r="E444" s="2959" t="s">
        <v>3125</v>
      </c>
      <c r="F444" s="2960">
        <v>1105</v>
      </c>
      <c r="G444" s="2959" t="s">
        <v>3595</v>
      </c>
      <c r="H444" s="2959">
        <v>117.3</v>
      </c>
      <c r="I444" s="2959">
        <v>91.11</v>
      </c>
    </row>
    <row r="445" spans="1:9" ht="18.75" customHeight="1">
      <c r="A445" s="2958">
        <v>444</v>
      </c>
      <c r="B445" s="2959" t="s">
        <v>3122</v>
      </c>
      <c r="C445" s="2959" t="s">
        <v>3463</v>
      </c>
      <c r="D445" s="2959" t="s">
        <v>3540</v>
      </c>
      <c r="E445" s="2959" t="s">
        <v>3125</v>
      </c>
      <c r="F445" s="2960">
        <v>1201</v>
      </c>
      <c r="G445" s="2959" t="s">
        <v>3596</v>
      </c>
      <c r="H445" s="2959">
        <v>158.21</v>
      </c>
      <c r="I445" s="2959">
        <v>122.97</v>
      </c>
    </row>
    <row r="446" spans="1:9" ht="18.75" customHeight="1">
      <c r="A446" s="2958">
        <v>445</v>
      </c>
      <c r="B446" s="2959" t="s">
        <v>3122</v>
      </c>
      <c r="C446" s="2959" t="s">
        <v>3463</v>
      </c>
      <c r="D446" s="2959" t="s">
        <v>3540</v>
      </c>
      <c r="E446" s="2959" t="s">
        <v>3125</v>
      </c>
      <c r="F446" s="2960">
        <v>1202</v>
      </c>
      <c r="G446" s="2959" t="s">
        <v>3597</v>
      </c>
      <c r="H446" s="2959">
        <v>121.49</v>
      </c>
      <c r="I446" s="2959">
        <v>94.43</v>
      </c>
    </row>
    <row r="447" spans="1:9" ht="18.75" customHeight="1">
      <c r="A447" s="2958">
        <v>446</v>
      </c>
      <c r="B447" s="2959" t="s">
        <v>3122</v>
      </c>
      <c r="C447" s="2959" t="s">
        <v>3463</v>
      </c>
      <c r="D447" s="2959" t="s">
        <v>3540</v>
      </c>
      <c r="E447" s="2959" t="s">
        <v>3125</v>
      </c>
      <c r="F447" s="2960">
        <v>1203</v>
      </c>
      <c r="G447" s="2959" t="s">
        <v>3598</v>
      </c>
      <c r="H447" s="2959">
        <v>158.22</v>
      </c>
      <c r="I447" s="2959">
        <v>122.98</v>
      </c>
    </row>
    <row r="448" spans="1:9" ht="18.75" customHeight="1">
      <c r="A448" s="2958">
        <v>447</v>
      </c>
      <c r="B448" s="2959" t="s">
        <v>3122</v>
      </c>
      <c r="C448" s="2959" t="s">
        <v>3463</v>
      </c>
      <c r="D448" s="2959" t="s">
        <v>3540</v>
      </c>
      <c r="E448" s="2959" t="s">
        <v>3125</v>
      </c>
      <c r="F448" s="2960">
        <v>1204</v>
      </c>
      <c r="G448" s="2959" t="s">
        <v>3599</v>
      </c>
      <c r="H448" s="2959">
        <v>117.66</v>
      </c>
      <c r="I448" s="2959">
        <v>91.45</v>
      </c>
    </row>
    <row r="449" spans="1:9" ht="18.75" customHeight="1">
      <c r="A449" s="2958">
        <v>448</v>
      </c>
      <c r="B449" s="2959" t="s">
        <v>3122</v>
      </c>
      <c r="C449" s="2959" t="s">
        <v>3463</v>
      </c>
      <c r="D449" s="2959" t="s">
        <v>3540</v>
      </c>
      <c r="E449" s="2959" t="s">
        <v>3125</v>
      </c>
      <c r="F449" s="2960">
        <v>1205</v>
      </c>
      <c r="G449" s="2959" t="s">
        <v>3600</v>
      </c>
      <c r="H449" s="2959">
        <v>117.3</v>
      </c>
      <c r="I449" s="2959">
        <v>91.11</v>
      </c>
    </row>
    <row r="450" spans="1:9" ht="18.75" customHeight="1">
      <c r="A450" s="2958">
        <v>449</v>
      </c>
      <c r="B450" s="2959" t="s">
        <v>3122</v>
      </c>
      <c r="C450" s="2959" t="s">
        <v>3463</v>
      </c>
      <c r="D450" s="2959" t="s">
        <v>3540</v>
      </c>
      <c r="E450" s="2959" t="s">
        <v>3125</v>
      </c>
      <c r="F450" s="2960">
        <v>1301</v>
      </c>
      <c r="G450" s="2959" t="s">
        <v>3601</v>
      </c>
      <c r="H450" s="2959">
        <v>158.21</v>
      </c>
      <c r="I450" s="2959">
        <v>122.97</v>
      </c>
    </row>
    <row r="451" spans="1:9" ht="18.75" customHeight="1">
      <c r="A451" s="2958">
        <v>450</v>
      </c>
      <c r="B451" s="2959" t="s">
        <v>3122</v>
      </c>
      <c r="C451" s="2959" t="s">
        <v>3463</v>
      </c>
      <c r="D451" s="2959" t="s">
        <v>3540</v>
      </c>
      <c r="E451" s="2959" t="s">
        <v>3125</v>
      </c>
      <c r="F451" s="2960">
        <v>1302</v>
      </c>
      <c r="G451" s="2959" t="s">
        <v>3602</v>
      </c>
      <c r="H451" s="2959">
        <v>121.49</v>
      </c>
      <c r="I451" s="2959">
        <v>94.43</v>
      </c>
    </row>
    <row r="452" spans="1:9" ht="18.75" customHeight="1">
      <c r="A452" s="2958">
        <v>451</v>
      </c>
      <c r="B452" s="2959" t="s">
        <v>3122</v>
      </c>
      <c r="C452" s="2959" t="s">
        <v>3463</v>
      </c>
      <c r="D452" s="2959" t="s">
        <v>3540</v>
      </c>
      <c r="E452" s="2959" t="s">
        <v>3125</v>
      </c>
      <c r="F452" s="2960">
        <v>1303</v>
      </c>
      <c r="G452" s="2959" t="s">
        <v>3603</v>
      </c>
      <c r="H452" s="2959">
        <v>158.22</v>
      </c>
      <c r="I452" s="2959">
        <v>122.98</v>
      </c>
    </row>
    <row r="453" spans="1:9" ht="18.75" customHeight="1">
      <c r="A453" s="2958">
        <v>452</v>
      </c>
      <c r="B453" s="2959" t="s">
        <v>3122</v>
      </c>
      <c r="C453" s="2959" t="s">
        <v>3463</v>
      </c>
      <c r="D453" s="2959" t="s">
        <v>3540</v>
      </c>
      <c r="E453" s="2959" t="s">
        <v>3125</v>
      </c>
      <c r="F453" s="2960">
        <v>1304</v>
      </c>
      <c r="G453" s="2959" t="s">
        <v>3604</v>
      </c>
      <c r="H453" s="2959">
        <v>117.66</v>
      </c>
      <c r="I453" s="2959">
        <v>91.45</v>
      </c>
    </row>
    <row r="454" spans="1:9" ht="18.75" customHeight="1">
      <c r="A454" s="2958">
        <v>453</v>
      </c>
      <c r="B454" s="2959" t="s">
        <v>3122</v>
      </c>
      <c r="C454" s="2959" t="s">
        <v>3463</v>
      </c>
      <c r="D454" s="2959" t="s">
        <v>3540</v>
      </c>
      <c r="E454" s="2959" t="s">
        <v>3125</v>
      </c>
      <c r="F454" s="2960">
        <v>1305</v>
      </c>
      <c r="G454" s="2959" t="s">
        <v>3605</v>
      </c>
      <c r="H454" s="2959">
        <v>117.3</v>
      </c>
      <c r="I454" s="2959">
        <v>91.11</v>
      </c>
    </row>
    <row r="455" spans="1:9" ht="18.75" customHeight="1">
      <c r="A455" s="2958">
        <v>454</v>
      </c>
      <c r="B455" s="2959" t="s">
        <v>3122</v>
      </c>
      <c r="C455" s="2959" t="s">
        <v>3463</v>
      </c>
      <c r="D455" s="2959" t="s">
        <v>3540</v>
      </c>
      <c r="E455" s="2959" t="s">
        <v>3125</v>
      </c>
      <c r="F455" s="2960">
        <v>1401</v>
      </c>
      <c r="G455" s="2959" t="s">
        <v>3606</v>
      </c>
      <c r="H455" s="2959">
        <v>158.21</v>
      </c>
      <c r="I455" s="2959">
        <v>122.97</v>
      </c>
    </row>
    <row r="456" spans="1:9" ht="18.75" customHeight="1">
      <c r="A456" s="2958">
        <v>455</v>
      </c>
      <c r="B456" s="2959" t="s">
        <v>3122</v>
      </c>
      <c r="C456" s="2959" t="s">
        <v>3463</v>
      </c>
      <c r="D456" s="2959" t="s">
        <v>3540</v>
      </c>
      <c r="E456" s="2959" t="s">
        <v>3125</v>
      </c>
      <c r="F456" s="2960">
        <v>1402</v>
      </c>
      <c r="G456" s="2959" t="s">
        <v>3607</v>
      </c>
      <c r="H456" s="2959">
        <v>121.49</v>
      </c>
      <c r="I456" s="2959">
        <v>94.43</v>
      </c>
    </row>
    <row r="457" spans="1:9" ht="18.75" customHeight="1">
      <c r="A457" s="2958">
        <v>456</v>
      </c>
      <c r="B457" s="2959" t="s">
        <v>3122</v>
      </c>
      <c r="C457" s="2959" t="s">
        <v>3463</v>
      </c>
      <c r="D457" s="2959" t="s">
        <v>3540</v>
      </c>
      <c r="E457" s="2959" t="s">
        <v>3125</v>
      </c>
      <c r="F457" s="2960">
        <v>1403</v>
      </c>
      <c r="G457" s="2959" t="s">
        <v>3608</v>
      </c>
      <c r="H457" s="2959">
        <v>158.22</v>
      </c>
      <c r="I457" s="2959">
        <v>122.98</v>
      </c>
    </row>
    <row r="458" spans="1:9" ht="18.75" customHeight="1">
      <c r="A458" s="2958">
        <v>457</v>
      </c>
      <c r="B458" s="2959" t="s">
        <v>3122</v>
      </c>
      <c r="C458" s="2959" t="s">
        <v>3463</v>
      </c>
      <c r="D458" s="2959" t="s">
        <v>3540</v>
      </c>
      <c r="E458" s="2959" t="s">
        <v>3125</v>
      </c>
      <c r="F458" s="2960">
        <v>1404</v>
      </c>
      <c r="G458" s="2959" t="s">
        <v>3609</v>
      </c>
      <c r="H458" s="2959">
        <v>117.66</v>
      </c>
      <c r="I458" s="2959">
        <v>91.45</v>
      </c>
    </row>
    <row r="459" spans="1:9" ht="18.75" customHeight="1">
      <c r="A459" s="2958">
        <v>458</v>
      </c>
      <c r="B459" s="2959" t="s">
        <v>3122</v>
      </c>
      <c r="C459" s="2959" t="s">
        <v>3463</v>
      </c>
      <c r="D459" s="2959" t="s">
        <v>3540</v>
      </c>
      <c r="E459" s="2959" t="s">
        <v>3125</v>
      </c>
      <c r="F459" s="2960">
        <v>1405</v>
      </c>
      <c r="G459" s="2959" t="s">
        <v>3610</v>
      </c>
      <c r="H459" s="2959">
        <v>117.3</v>
      </c>
      <c r="I459" s="2959">
        <v>91.11</v>
      </c>
    </row>
    <row r="460" spans="1:9" ht="18.75" customHeight="1">
      <c r="A460" s="2958">
        <v>459</v>
      </c>
      <c r="B460" s="2959" t="s">
        <v>3122</v>
      </c>
      <c r="C460" s="2959" t="s">
        <v>3463</v>
      </c>
      <c r="D460" s="2959" t="s">
        <v>3540</v>
      </c>
      <c r="E460" s="2959" t="s">
        <v>3125</v>
      </c>
      <c r="F460" s="2960">
        <v>1501</v>
      </c>
      <c r="G460" s="2959" t="s">
        <v>3611</v>
      </c>
      <c r="H460" s="2959">
        <v>158.21</v>
      </c>
      <c r="I460" s="2959">
        <v>122.97</v>
      </c>
    </row>
    <row r="461" spans="1:9" ht="18.75" customHeight="1">
      <c r="A461" s="2958">
        <v>460</v>
      </c>
      <c r="B461" s="2959" t="s">
        <v>3122</v>
      </c>
      <c r="C461" s="2959" t="s">
        <v>3463</v>
      </c>
      <c r="D461" s="2959" t="s">
        <v>3540</v>
      </c>
      <c r="E461" s="2959" t="s">
        <v>3125</v>
      </c>
      <c r="F461" s="2960">
        <v>1502</v>
      </c>
      <c r="G461" s="2959" t="s">
        <v>3612</v>
      </c>
      <c r="H461" s="2959">
        <v>121.49</v>
      </c>
      <c r="I461" s="2959">
        <v>94.43</v>
      </c>
    </row>
    <row r="462" spans="1:9" ht="18.75" customHeight="1">
      <c r="A462" s="2958">
        <v>461</v>
      </c>
      <c r="B462" s="2959" t="s">
        <v>3122</v>
      </c>
      <c r="C462" s="2959" t="s">
        <v>3463</v>
      </c>
      <c r="D462" s="2959" t="s">
        <v>3540</v>
      </c>
      <c r="E462" s="2959" t="s">
        <v>3125</v>
      </c>
      <c r="F462" s="2960">
        <v>1503</v>
      </c>
      <c r="G462" s="2959" t="s">
        <v>3613</v>
      </c>
      <c r="H462" s="2959">
        <v>158.22</v>
      </c>
      <c r="I462" s="2959">
        <v>122.98</v>
      </c>
    </row>
    <row r="463" spans="1:9" ht="18.75" customHeight="1">
      <c r="A463" s="2958">
        <v>462</v>
      </c>
      <c r="B463" s="2959" t="s">
        <v>3122</v>
      </c>
      <c r="C463" s="2959" t="s">
        <v>3463</v>
      </c>
      <c r="D463" s="2959" t="s">
        <v>3540</v>
      </c>
      <c r="E463" s="2959" t="s">
        <v>3125</v>
      </c>
      <c r="F463" s="2960">
        <v>1504</v>
      </c>
      <c r="G463" s="2959" t="s">
        <v>3614</v>
      </c>
      <c r="H463" s="2959">
        <v>117.66</v>
      </c>
      <c r="I463" s="2959">
        <v>91.45</v>
      </c>
    </row>
    <row r="464" spans="1:9" ht="18.75" customHeight="1">
      <c r="A464" s="2958">
        <v>463</v>
      </c>
      <c r="B464" s="2959" t="s">
        <v>3122</v>
      </c>
      <c r="C464" s="2959" t="s">
        <v>3463</v>
      </c>
      <c r="D464" s="2959" t="s">
        <v>3540</v>
      </c>
      <c r="E464" s="2959" t="s">
        <v>3125</v>
      </c>
      <c r="F464" s="2960">
        <v>1505</v>
      </c>
      <c r="G464" s="2959" t="s">
        <v>3615</v>
      </c>
      <c r="H464" s="2959">
        <v>117.3</v>
      </c>
      <c r="I464" s="2959">
        <v>91.11</v>
      </c>
    </row>
    <row r="465" spans="1:9" ht="18.75" customHeight="1">
      <c r="A465" s="2958">
        <v>464</v>
      </c>
      <c r="B465" s="2959" t="s">
        <v>3122</v>
      </c>
      <c r="C465" s="2959" t="s">
        <v>3463</v>
      </c>
      <c r="D465" s="2959" t="s">
        <v>3540</v>
      </c>
      <c r="E465" s="2959" t="s">
        <v>3125</v>
      </c>
      <c r="F465" s="2960">
        <v>1601</v>
      </c>
      <c r="G465" s="2959" t="s">
        <v>3616</v>
      </c>
      <c r="H465" s="2959">
        <v>158.21</v>
      </c>
      <c r="I465" s="2959">
        <v>122.97</v>
      </c>
    </row>
    <row r="466" spans="1:9" ht="18.75" customHeight="1">
      <c r="A466" s="2958">
        <v>465</v>
      </c>
      <c r="B466" s="2959" t="s">
        <v>3122</v>
      </c>
      <c r="C466" s="2959" t="s">
        <v>3463</v>
      </c>
      <c r="D466" s="2959" t="s">
        <v>3540</v>
      </c>
      <c r="E466" s="2959" t="s">
        <v>3125</v>
      </c>
      <c r="F466" s="2960">
        <v>1602</v>
      </c>
      <c r="G466" s="2959" t="s">
        <v>3617</v>
      </c>
      <c r="H466" s="2959">
        <v>121.49</v>
      </c>
      <c r="I466" s="2959">
        <v>94.43</v>
      </c>
    </row>
    <row r="467" spans="1:9" ht="18.75" customHeight="1">
      <c r="A467" s="2958">
        <v>466</v>
      </c>
      <c r="B467" s="2959" t="s">
        <v>3122</v>
      </c>
      <c r="C467" s="2959" t="s">
        <v>3463</v>
      </c>
      <c r="D467" s="2959" t="s">
        <v>3540</v>
      </c>
      <c r="E467" s="2959" t="s">
        <v>3125</v>
      </c>
      <c r="F467" s="2960">
        <v>1603</v>
      </c>
      <c r="G467" s="2959" t="s">
        <v>3618</v>
      </c>
      <c r="H467" s="2959">
        <v>158.22</v>
      </c>
      <c r="I467" s="2959">
        <v>122.98</v>
      </c>
    </row>
    <row r="468" spans="1:9" ht="18.75" customHeight="1">
      <c r="A468" s="2958">
        <v>467</v>
      </c>
      <c r="B468" s="2959" t="s">
        <v>3122</v>
      </c>
      <c r="C468" s="2959" t="s">
        <v>3463</v>
      </c>
      <c r="D468" s="2959" t="s">
        <v>3540</v>
      </c>
      <c r="E468" s="2959" t="s">
        <v>3125</v>
      </c>
      <c r="F468" s="2960">
        <v>1604</v>
      </c>
      <c r="G468" s="2959" t="s">
        <v>3619</v>
      </c>
      <c r="H468" s="2959">
        <v>117.66</v>
      </c>
      <c r="I468" s="2959">
        <v>91.45</v>
      </c>
    </row>
    <row r="469" spans="1:9" ht="18.75" customHeight="1">
      <c r="A469" s="2958">
        <v>468</v>
      </c>
      <c r="B469" s="2959" t="s">
        <v>3122</v>
      </c>
      <c r="C469" s="2959" t="s">
        <v>3463</v>
      </c>
      <c r="D469" s="2959" t="s">
        <v>3540</v>
      </c>
      <c r="E469" s="2959" t="s">
        <v>3125</v>
      </c>
      <c r="F469" s="2960">
        <v>1605</v>
      </c>
      <c r="G469" s="2959" t="s">
        <v>3620</v>
      </c>
      <c r="H469" s="2959">
        <v>117.3</v>
      </c>
      <c r="I469" s="2959">
        <v>91.11</v>
      </c>
    </row>
    <row r="470" spans="1:9" ht="18.75" customHeight="1">
      <c r="A470" s="2958">
        <v>469</v>
      </c>
      <c r="B470" s="2959" t="s">
        <v>3122</v>
      </c>
      <c r="C470" s="2959" t="s">
        <v>3463</v>
      </c>
      <c r="D470" s="2959" t="s">
        <v>3540</v>
      </c>
      <c r="E470" s="2959" t="s">
        <v>3125</v>
      </c>
      <c r="F470" s="2960">
        <v>1701</v>
      </c>
      <c r="G470" s="2959" t="s">
        <v>3621</v>
      </c>
      <c r="H470" s="2959">
        <v>158.21</v>
      </c>
      <c r="I470" s="2959">
        <v>122.97</v>
      </c>
    </row>
    <row r="471" spans="1:9" ht="18.75" customHeight="1">
      <c r="A471" s="2958">
        <v>470</v>
      </c>
      <c r="B471" s="2959" t="s">
        <v>3122</v>
      </c>
      <c r="C471" s="2959" t="s">
        <v>3463</v>
      </c>
      <c r="D471" s="2959" t="s">
        <v>3540</v>
      </c>
      <c r="E471" s="2959" t="s">
        <v>3125</v>
      </c>
      <c r="F471" s="2960">
        <v>1702</v>
      </c>
      <c r="G471" s="2959" t="s">
        <v>3622</v>
      </c>
      <c r="H471" s="2959">
        <v>121.49</v>
      </c>
      <c r="I471" s="2959">
        <v>94.43</v>
      </c>
    </row>
    <row r="472" spans="1:9" ht="18.75" customHeight="1">
      <c r="A472" s="2958">
        <v>471</v>
      </c>
      <c r="B472" s="2959" t="s">
        <v>3122</v>
      </c>
      <c r="C472" s="2959" t="s">
        <v>3463</v>
      </c>
      <c r="D472" s="2959" t="s">
        <v>3540</v>
      </c>
      <c r="E472" s="2959" t="s">
        <v>3125</v>
      </c>
      <c r="F472" s="2960">
        <v>1703</v>
      </c>
      <c r="G472" s="2959" t="s">
        <v>3623</v>
      </c>
      <c r="H472" s="2959">
        <v>158.22</v>
      </c>
      <c r="I472" s="2959">
        <v>122.98</v>
      </c>
    </row>
    <row r="473" spans="1:9" ht="18.75" customHeight="1">
      <c r="A473" s="2958">
        <v>472</v>
      </c>
      <c r="B473" s="2959" t="s">
        <v>3122</v>
      </c>
      <c r="C473" s="2959" t="s">
        <v>3463</v>
      </c>
      <c r="D473" s="2959" t="s">
        <v>3540</v>
      </c>
      <c r="E473" s="2959" t="s">
        <v>3125</v>
      </c>
      <c r="F473" s="2960">
        <v>1704</v>
      </c>
      <c r="G473" s="2959" t="s">
        <v>3624</v>
      </c>
      <c r="H473" s="2959">
        <v>117.66</v>
      </c>
      <c r="I473" s="2959">
        <v>91.45</v>
      </c>
    </row>
    <row r="474" spans="1:9" ht="18.75" customHeight="1">
      <c r="A474" s="2958">
        <v>473</v>
      </c>
      <c r="B474" s="2959" t="s">
        <v>3122</v>
      </c>
      <c r="C474" s="2959" t="s">
        <v>3463</v>
      </c>
      <c r="D474" s="2959" t="s">
        <v>3540</v>
      </c>
      <c r="E474" s="2959" t="s">
        <v>3125</v>
      </c>
      <c r="F474" s="2960">
        <v>1705</v>
      </c>
      <c r="G474" s="2959" t="s">
        <v>3625</v>
      </c>
      <c r="H474" s="2959">
        <v>117.3</v>
      </c>
      <c r="I474" s="2959">
        <v>91.11</v>
      </c>
    </row>
    <row r="475" spans="1:9" ht="18.75" customHeight="1">
      <c r="A475" s="2958">
        <v>474</v>
      </c>
      <c r="B475" s="2959" t="s">
        <v>3122</v>
      </c>
      <c r="C475" s="2959" t="s">
        <v>3463</v>
      </c>
      <c r="D475" s="2959" t="s">
        <v>3540</v>
      </c>
      <c r="E475" s="2959" t="s">
        <v>3125</v>
      </c>
      <c r="F475" s="2960">
        <v>1801</v>
      </c>
      <c r="G475" s="2959" t="s">
        <v>3626</v>
      </c>
      <c r="H475" s="2959">
        <v>158.21</v>
      </c>
      <c r="I475" s="2959">
        <v>122.97</v>
      </c>
    </row>
    <row r="476" spans="1:9" ht="18.75" customHeight="1">
      <c r="A476" s="2958">
        <v>475</v>
      </c>
      <c r="B476" s="2959" t="s">
        <v>3122</v>
      </c>
      <c r="C476" s="2959" t="s">
        <v>3463</v>
      </c>
      <c r="D476" s="2959" t="s">
        <v>3540</v>
      </c>
      <c r="E476" s="2959" t="s">
        <v>3125</v>
      </c>
      <c r="F476" s="2960">
        <v>1802</v>
      </c>
      <c r="G476" s="2959" t="s">
        <v>3627</v>
      </c>
      <c r="H476" s="2959">
        <v>121.49</v>
      </c>
      <c r="I476" s="2959">
        <v>94.43</v>
      </c>
    </row>
    <row r="477" spans="1:9" ht="18.75" customHeight="1">
      <c r="A477" s="2958">
        <v>476</v>
      </c>
      <c r="B477" s="2959" t="s">
        <v>3122</v>
      </c>
      <c r="C477" s="2959" t="s">
        <v>3463</v>
      </c>
      <c r="D477" s="2959" t="s">
        <v>3540</v>
      </c>
      <c r="E477" s="2959" t="s">
        <v>3125</v>
      </c>
      <c r="F477" s="2960">
        <v>1803</v>
      </c>
      <c r="G477" s="2959" t="s">
        <v>3628</v>
      </c>
      <c r="H477" s="2959">
        <v>158.22</v>
      </c>
      <c r="I477" s="2959">
        <v>122.98</v>
      </c>
    </row>
    <row r="478" spans="1:9" ht="18.75" customHeight="1">
      <c r="A478" s="2958">
        <v>477</v>
      </c>
      <c r="B478" s="2959" t="s">
        <v>3122</v>
      </c>
      <c r="C478" s="2959" t="s">
        <v>3463</v>
      </c>
      <c r="D478" s="2959" t="s">
        <v>3540</v>
      </c>
      <c r="E478" s="2959" t="s">
        <v>3125</v>
      </c>
      <c r="F478" s="2960">
        <v>1804</v>
      </c>
      <c r="G478" s="2959" t="s">
        <v>3629</v>
      </c>
      <c r="H478" s="2959">
        <v>117.66</v>
      </c>
      <c r="I478" s="2959">
        <v>91.45</v>
      </c>
    </row>
    <row r="479" spans="1:9" ht="18.75" customHeight="1">
      <c r="A479" s="2958">
        <v>478</v>
      </c>
      <c r="B479" s="2959" t="s">
        <v>3122</v>
      </c>
      <c r="C479" s="2959" t="s">
        <v>3463</v>
      </c>
      <c r="D479" s="2959" t="s">
        <v>3540</v>
      </c>
      <c r="E479" s="2959" t="s">
        <v>3125</v>
      </c>
      <c r="F479" s="2960">
        <v>1805</v>
      </c>
      <c r="G479" s="2959" t="s">
        <v>3630</v>
      </c>
      <c r="H479" s="2959">
        <v>117.3</v>
      </c>
      <c r="I479" s="2959">
        <v>91.11</v>
      </c>
    </row>
    <row r="480" spans="1:9" ht="18.75" customHeight="1">
      <c r="A480" s="2958">
        <v>479</v>
      </c>
      <c r="B480" s="2959" t="s">
        <v>3122</v>
      </c>
      <c r="C480" s="2959" t="s">
        <v>3463</v>
      </c>
      <c r="D480" s="2959" t="s">
        <v>3540</v>
      </c>
      <c r="E480" s="2959" t="s">
        <v>3125</v>
      </c>
      <c r="F480" s="2960">
        <v>1901</v>
      </c>
      <c r="G480" s="2959" t="s">
        <v>3631</v>
      </c>
      <c r="H480" s="2959">
        <v>158.21</v>
      </c>
      <c r="I480" s="2959">
        <v>122.97</v>
      </c>
    </row>
    <row r="481" spans="1:9" ht="18.75" customHeight="1">
      <c r="A481" s="2958">
        <v>480</v>
      </c>
      <c r="B481" s="2959" t="s">
        <v>3122</v>
      </c>
      <c r="C481" s="2959" t="s">
        <v>3463</v>
      </c>
      <c r="D481" s="2959" t="s">
        <v>3540</v>
      </c>
      <c r="E481" s="2959" t="s">
        <v>3125</v>
      </c>
      <c r="F481" s="2960">
        <v>1902</v>
      </c>
      <c r="G481" s="2959" t="s">
        <v>3632</v>
      </c>
      <c r="H481" s="2959">
        <v>121.49</v>
      </c>
      <c r="I481" s="2959">
        <v>94.43</v>
      </c>
    </row>
    <row r="482" spans="1:9" ht="18.75" customHeight="1">
      <c r="A482" s="2958">
        <v>481</v>
      </c>
      <c r="B482" s="2959" t="s">
        <v>3122</v>
      </c>
      <c r="C482" s="2959" t="s">
        <v>3463</v>
      </c>
      <c r="D482" s="2959" t="s">
        <v>3540</v>
      </c>
      <c r="E482" s="2959" t="s">
        <v>3125</v>
      </c>
      <c r="F482" s="2960">
        <v>1903</v>
      </c>
      <c r="G482" s="2959" t="s">
        <v>3633</v>
      </c>
      <c r="H482" s="2959">
        <v>158.22</v>
      </c>
      <c r="I482" s="2959">
        <v>122.98</v>
      </c>
    </row>
    <row r="483" spans="1:9" ht="18.75" customHeight="1">
      <c r="A483" s="2958">
        <v>482</v>
      </c>
      <c r="B483" s="2959" t="s">
        <v>3122</v>
      </c>
      <c r="C483" s="2959" t="s">
        <v>3463</v>
      </c>
      <c r="D483" s="2959" t="s">
        <v>3540</v>
      </c>
      <c r="E483" s="2959" t="s">
        <v>3125</v>
      </c>
      <c r="F483" s="2960">
        <v>1904</v>
      </c>
      <c r="G483" s="2959" t="s">
        <v>3634</v>
      </c>
      <c r="H483" s="2959">
        <v>117.66</v>
      </c>
      <c r="I483" s="2959">
        <v>91.45</v>
      </c>
    </row>
    <row r="484" spans="1:9" ht="18.75" customHeight="1">
      <c r="A484" s="2958">
        <v>483</v>
      </c>
      <c r="B484" s="2959" t="s">
        <v>3122</v>
      </c>
      <c r="C484" s="2959" t="s">
        <v>3463</v>
      </c>
      <c r="D484" s="2959" t="s">
        <v>3540</v>
      </c>
      <c r="E484" s="2959" t="s">
        <v>3125</v>
      </c>
      <c r="F484" s="2960">
        <v>1905</v>
      </c>
      <c r="G484" s="2959" t="s">
        <v>3635</v>
      </c>
      <c r="H484" s="2959">
        <v>117.3</v>
      </c>
      <c r="I484" s="2959">
        <v>91.11</v>
      </c>
    </row>
    <row r="485" spans="1:9" ht="18.75" customHeight="1">
      <c r="A485" s="2958">
        <v>484</v>
      </c>
      <c r="B485" s="2959" t="s">
        <v>3122</v>
      </c>
      <c r="C485" s="2959" t="s">
        <v>3463</v>
      </c>
      <c r="D485" s="2959" t="s">
        <v>3540</v>
      </c>
      <c r="E485" s="2959" t="s">
        <v>3125</v>
      </c>
      <c r="F485" s="2960">
        <v>2001</v>
      </c>
      <c r="G485" s="2959" t="s">
        <v>3636</v>
      </c>
      <c r="H485" s="2959">
        <v>158.21</v>
      </c>
      <c r="I485" s="2959">
        <v>122.97</v>
      </c>
    </row>
    <row r="486" spans="1:9" ht="18.75" customHeight="1">
      <c r="A486" s="2958">
        <v>485</v>
      </c>
      <c r="B486" s="2959" t="s">
        <v>3122</v>
      </c>
      <c r="C486" s="2959" t="s">
        <v>3463</v>
      </c>
      <c r="D486" s="2959" t="s">
        <v>3540</v>
      </c>
      <c r="E486" s="2959" t="s">
        <v>3125</v>
      </c>
      <c r="F486" s="2960">
        <v>2002</v>
      </c>
      <c r="G486" s="2959" t="s">
        <v>3637</v>
      </c>
      <c r="H486" s="2959">
        <v>121.49</v>
      </c>
      <c r="I486" s="2959">
        <v>94.43</v>
      </c>
    </row>
    <row r="487" spans="1:9" ht="18.75" customHeight="1">
      <c r="A487" s="2958">
        <v>486</v>
      </c>
      <c r="B487" s="2959" t="s">
        <v>3122</v>
      </c>
      <c r="C487" s="2959" t="s">
        <v>3463</v>
      </c>
      <c r="D487" s="2959" t="s">
        <v>3540</v>
      </c>
      <c r="E487" s="2959" t="s">
        <v>3125</v>
      </c>
      <c r="F487" s="2960">
        <v>2003</v>
      </c>
      <c r="G487" s="2959" t="s">
        <v>3638</v>
      </c>
      <c r="H487" s="2959">
        <v>158.22</v>
      </c>
      <c r="I487" s="2959">
        <v>122.98</v>
      </c>
    </row>
    <row r="488" spans="1:9" ht="18.75" customHeight="1">
      <c r="A488" s="2958">
        <v>487</v>
      </c>
      <c r="B488" s="2959" t="s">
        <v>3122</v>
      </c>
      <c r="C488" s="2959" t="s">
        <v>3463</v>
      </c>
      <c r="D488" s="2959" t="s">
        <v>3540</v>
      </c>
      <c r="E488" s="2959" t="s">
        <v>3125</v>
      </c>
      <c r="F488" s="2960">
        <v>2004</v>
      </c>
      <c r="G488" s="2959" t="s">
        <v>3639</v>
      </c>
      <c r="H488" s="2959">
        <v>117.66</v>
      </c>
      <c r="I488" s="2959">
        <v>91.45</v>
      </c>
    </row>
    <row r="489" spans="1:9" ht="18.75" customHeight="1">
      <c r="A489" s="2958">
        <v>488</v>
      </c>
      <c r="B489" s="2959" t="s">
        <v>3122</v>
      </c>
      <c r="C489" s="2959" t="s">
        <v>3463</v>
      </c>
      <c r="D489" s="2959" t="s">
        <v>3540</v>
      </c>
      <c r="E489" s="2959" t="s">
        <v>3125</v>
      </c>
      <c r="F489" s="2960">
        <v>2005</v>
      </c>
      <c r="G489" s="2959" t="s">
        <v>3640</v>
      </c>
      <c r="H489" s="2959">
        <v>117.3</v>
      </c>
      <c r="I489" s="2959">
        <v>91.11</v>
      </c>
    </row>
    <row r="490" spans="1:9" ht="18.75" customHeight="1">
      <c r="A490" s="2958">
        <v>489</v>
      </c>
      <c r="B490" s="2959" t="s">
        <v>3122</v>
      </c>
      <c r="C490" s="2959" t="s">
        <v>3463</v>
      </c>
      <c r="D490" s="2959" t="s">
        <v>3540</v>
      </c>
      <c r="E490" s="2959" t="s">
        <v>3125</v>
      </c>
      <c r="F490" s="2960">
        <v>2101</v>
      </c>
      <c r="G490" s="2959" t="s">
        <v>3641</v>
      </c>
      <c r="H490" s="2959">
        <v>158.21</v>
      </c>
      <c r="I490" s="2959">
        <v>122.97</v>
      </c>
    </row>
    <row r="491" spans="1:9" ht="18.75" customHeight="1">
      <c r="A491" s="2958">
        <v>490</v>
      </c>
      <c r="B491" s="2959" t="s">
        <v>3122</v>
      </c>
      <c r="C491" s="2959" t="s">
        <v>3463</v>
      </c>
      <c r="D491" s="2959" t="s">
        <v>3540</v>
      </c>
      <c r="E491" s="2959" t="s">
        <v>3125</v>
      </c>
      <c r="F491" s="2960">
        <v>2102</v>
      </c>
      <c r="G491" s="2959" t="s">
        <v>3642</v>
      </c>
      <c r="H491" s="2959">
        <v>121.49</v>
      </c>
      <c r="I491" s="2959">
        <v>94.43</v>
      </c>
    </row>
    <row r="492" spans="1:9" ht="18.75" customHeight="1">
      <c r="A492" s="2958">
        <v>491</v>
      </c>
      <c r="B492" s="2959" t="s">
        <v>3122</v>
      </c>
      <c r="C492" s="2959" t="s">
        <v>3463</v>
      </c>
      <c r="D492" s="2959" t="s">
        <v>3540</v>
      </c>
      <c r="E492" s="2959" t="s">
        <v>3125</v>
      </c>
      <c r="F492" s="2960">
        <v>2103</v>
      </c>
      <c r="G492" s="2959" t="s">
        <v>3643</v>
      </c>
      <c r="H492" s="2959">
        <v>158.22</v>
      </c>
      <c r="I492" s="2959">
        <v>122.98</v>
      </c>
    </row>
    <row r="493" spans="1:9" ht="18.75" customHeight="1">
      <c r="A493" s="2958">
        <v>492</v>
      </c>
      <c r="B493" s="2959" t="s">
        <v>3122</v>
      </c>
      <c r="C493" s="2959" t="s">
        <v>3463</v>
      </c>
      <c r="D493" s="2959" t="s">
        <v>3540</v>
      </c>
      <c r="E493" s="2959" t="s">
        <v>3125</v>
      </c>
      <c r="F493" s="2960">
        <v>2104</v>
      </c>
      <c r="G493" s="2959" t="s">
        <v>3644</v>
      </c>
      <c r="H493" s="2959">
        <v>117.66</v>
      </c>
      <c r="I493" s="2959">
        <v>91.45</v>
      </c>
    </row>
    <row r="494" spans="1:9" ht="18.75" customHeight="1">
      <c r="A494" s="2958">
        <v>493</v>
      </c>
      <c r="B494" s="2959" t="s">
        <v>3122</v>
      </c>
      <c r="C494" s="2959" t="s">
        <v>3463</v>
      </c>
      <c r="D494" s="2959" t="s">
        <v>3540</v>
      </c>
      <c r="E494" s="2959" t="s">
        <v>3125</v>
      </c>
      <c r="F494" s="2960">
        <v>2105</v>
      </c>
      <c r="G494" s="2959" t="s">
        <v>3645</v>
      </c>
      <c r="H494" s="2959">
        <v>117.3</v>
      </c>
      <c r="I494" s="2959">
        <v>91.11</v>
      </c>
    </row>
    <row r="495" spans="1:9" ht="18.75" customHeight="1">
      <c r="A495" s="2958">
        <v>494</v>
      </c>
      <c r="B495" s="2959" t="s">
        <v>3122</v>
      </c>
      <c r="C495" s="2959" t="s">
        <v>3646</v>
      </c>
      <c r="D495" s="2959" t="s">
        <v>3647</v>
      </c>
      <c r="E495" s="2959" t="s">
        <v>3648</v>
      </c>
      <c r="F495" s="2960">
        <v>1004</v>
      </c>
      <c r="G495" s="2959" t="s">
        <v>3649</v>
      </c>
      <c r="H495" s="2959">
        <v>103.97</v>
      </c>
      <c r="I495" s="2959">
        <v>80.28</v>
      </c>
    </row>
    <row r="496" spans="1:9" s="2956" customFormat="1" ht="18.75" customHeight="1">
      <c r="A496" s="2958">
        <v>495</v>
      </c>
      <c r="B496" s="2959" t="s">
        <v>3122</v>
      </c>
      <c r="C496" s="2959" t="s">
        <v>3650</v>
      </c>
      <c r="D496" s="2959" t="s">
        <v>3651</v>
      </c>
      <c r="E496" s="2959" t="s">
        <v>3125</v>
      </c>
      <c r="F496" s="2960">
        <v>101</v>
      </c>
      <c r="G496" s="2959" t="s">
        <v>3652</v>
      </c>
      <c r="H496" s="2959">
        <v>101.48</v>
      </c>
      <c r="I496" s="2959">
        <v>78.47</v>
      </c>
    </row>
    <row r="497" spans="1:9" s="2956" customFormat="1" ht="18.75" customHeight="1">
      <c r="A497" s="2958">
        <v>496</v>
      </c>
      <c r="B497" s="2959" t="s">
        <v>3122</v>
      </c>
      <c r="C497" s="2959" t="s">
        <v>3650</v>
      </c>
      <c r="D497" s="2959" t="s">
        <v>3651</v>
      </c>
      <c r="E497" s="2959" t="s">
        <v>3125</v>
      </c>
      <c r="F497" s="2960">
        <v>102</v>
      </c>
      <c r="G497" s="2959" t="s">
        <v>3653</v>
      </c>
      <c r="H497" s="2959">
        <v>117.03</v>
      </c>
      <c r="I497" s="2959">
        <v>90.49</v>
      </c>
    </row>
    <row r="498" spans="1:9" s="2956" customFormat="1" ht="18.75" customHeight="1">
      <c r="A498" s="2958">
        <v>497</v>
      </c>
      <c r="B498" s="2959" t="s">
        <v>3122</v>
      </c>
      <c r="C498" s="2959" t="s">
        <v>3650</v>
      </c>
      <c r="D498" s="2959" t="s">
        <v>3651</v>
      </c>
      <c r="E498" s="2959" t="s">
        <v>3125</v>
      </c>
      <c r="F498" s="2960">
        <v>103</v>
      </c>
      <c r="G498" s="2959" t="s">
        <v>3654</v>
      </c>
      <c r="H498" s="2959">
        <v>102.27</v>
      </c>
      <c r="I498" s="2959">
        <v>79.08</v>
      </c>
    </row>
    <row r="499" spans="1:9" s="2956" customFormat="1" ht="18.75" customHeight="1">
      <c r="A499" s="2958">
        <v>498</v>
      </c>
      <c r="B499" s="2959" t="s">
        <v>3122</v>
      </c>
      <c r="C499" s="2959" t="s">
        <v>3650</v>
      </c>
      <c r="D499" s="2959" t="s">
        <v>3651</v>
      </c>
      <c r="E499" s="2959" t="s">
        <v>3125</v>
      </c>
      <c r="F499" s="2960">
        <v>104</v>
      </c>
      <c r="G499" s="2959" t="s">
        <v>3655</v>
      </c>
      <c r="H499" s="2959">
        <v>73.62</v>
      </c>
      <c r="I499" s="2959">
        <v>56.93</v>
      </c>
    </row>
    <row r="500" spans="1:9" s="2956" customFormat="1" ht="18.75" customHeight="1">
      <c r="A500" s="2958">
        <v>499</v>
      </c>
      <c r="B500" s="2959" t="s">
        <v>3122</v>
      </c>
      <c r="C500" s="2959" t="s">
        <v>3650</v>
      </c>
      <c r="D500" s="2959" t="s">
        <v>3651</v>
      </c>
      <c r="E500" s="2959" t="s">
        <v>3125</v>
      </c>
      <c r="F500" s="2960">
        <v>105</v>
      </c>
      <c r="G500" s="2959" t="s">
        <v>3656</v>
      </c>
      <c r="H500" s="2959">
        <v>72.95</v>
      </c>
      <c r="I500" s="2959">
        <v>56.41</v>
      </c>
    </row>
    <row r="501" spans="1:9" s="2956" customFormat="1" ht="18.75" customHeight="1">
      <c r="A501" s="2958">
        <v>500</v>
      </c>
      <c r="B501" s="2959" t="s">
        <v>3122</v>
      </c>
      <c r="C501" s="2959" t="s">
        <v>3650</v>
      </c>
      <c r="D501" s="2959" t="s">
        <v>3657</v>
      </c>
      <c r="E501" s="2959" t="s">
        <v>3125</v>
      </c>
      <c r="F501" s="2960">
        <v>101</v>
      </c>
      <c r="G501" s="2959" t="s">
        <v>3658</v>
      </c>
      <c r="H501" s="2959">
        <v>101.48</v>
      </c>
      <c r="I501" s="2959">
        <v>78.47</v>
      </c>
    </row>
    <row r="502" spans="1:9" s="2956" customFormat="1" ht="18.75" customHeight="1">
      <c r="A502" s="2958">
        <v>501</v>
      </c>
      <c r="B502" s="2959" t="s">
        <v>3122</v>
      </c>
      <c r="C502" s="2959" t="s">
        <v>3650</v>
      </c>
      <c r="D502" s="2959" t="s">
        <v>3657</v>
      </c>
      <c r="E502" s="2959" t="s">
        <v>3125</v>
      </c>
      <c r="F502" s="2960">
        <v>102</v>
      </c>
      <c r="G502" s="2959" t="s">
        <v>3659</v>
      </c>
      <c r="H502" s="2959">
        <v>117.34</v>
      </c>
      <c r="I502" s="2959">
        <v>90.73</v>
      </c>
    </row>
    <row r="503" spans="1:9" s="2956" customFormat="1" ht="18.75" customHeight="1">
      <c r="A503" s="2958">
        <v>502</v>
      </c>
      <c r="B503" s="2959" t="s">
        <v>3122</v>
      </c>
      <c r="C503" s="2959" t="s">
        <v>3650</v>
      </c>
      <c r="D503" s="2959" t="s">
        <v>3657</v>
      </c>
      <c r="E503" s="2959" t="s">
        <v>3125</v>
      </c>
      <c r="F503" s="2960">
        <v>103</v>
      </c>
      <c r="G503" s="2959" t="s">
        <v>3660</v>
      </c>
      <c r="H503" s="2959">
        <v>102.27</v>
      </c>
      <c r="I503" s="2959">
        <v>79.08</v>
      </c>
    </row>
    <row r="504" spans="1:9" s="2956" customFormat="1" ht="18.75" customHeight="1">
      <c r="A504" s="2958">
        <v>503</v>
      </c>
      <c r="B504" s="2959" t="s">
        <v>3122</v>
      </c>
      <c r="C504" s="2959" t="s">
        <v>3650</v>
      </c>
      <c r="D504" s="2959" t="s">
        <v>3657</v>
      </c>
      <c r="E504" s="2959" t="s">
        <v>3125</v>
      </c>
      <c r="F504" s="2960">
        <v>104</v>
      </c>
      <c r="G504" s="2959" t="s">
        <v>3661</v>
      </c>
      <c r="H504" s="2959">
        <v>73.62</v>
      </c>
      <c r="I504" s="2959">
        <v>56.93</v>
      </c>
    </row>
    <row r="505" spans="1:9" s="2956" customFormat="1" ht="18.75" customHeight="1">
      <c r="A505" s="2958">
        <v>504</v>
      </c>
      <c r="B505" s="2959" t="s">
        <v>3122</v>
      </c>
      <c r="C505" s="2959" t="s">
        <v>3650</v>
      </c>
      <c r="D505" s="2959" t="s">
        <v>3657</v>
      </c>
      <c r="E505" s="2959" t="s">
        <v>3125</v>
      </c>
      <c r="F505" s="2960">
        <v>105</v>
      </c>
      <c r="G505" s="2959" t="s">
        <v>3662</v>
      </c>
      <c r="H505" s="2959">
        <v>72.53</v>
      </c>
      <c r="I505" s="2959">
        <v>56.08</v>
      </c>
    </row>
    <row r="506" spans="1:9" s="2956" customFormat="1" ht="18.75" customHeight="1">
      <c r="A506" s="2958">
        <v>505</v>
      </c>
      <c r="B506" s="2959" t="s">
        <v>3122</v>
      </c>
      <c r="C506" s="2959" t="s">
        <v>3650</v>
      </c>
      <c r="D506" s="2959" t="s">
        <v>3663</v>
      </c>
      <c r="E506" s="2959" t="s">
        <v>3125</v>
      </c>
      <c r="F506" s="2960">
        <v>101</v>
      </c>
      <c r="G506" s="2959" t="s">
        <v>3664</v>
      </c>
      <c r="H506" s="2959">
        <v>73.73</v>
      </c>
      <c r="I506" s="2959">
        <v>55.75</v>
      </c>
    </row>
    <row r="507" spans="1:9" s="2956" customFormat="1" ht="18.75" customHeight="1">
      <c r="A507" s="2958">
        <v>506</v>
      </c>
      <c r="B507" s="2959" t="s">
        <v>3122</v>
      </c>
      <c r="C507" s="2959" t="s">
        <v>3650</v>
      </c>
      <c r="D507" s="2959" t="s">
        <v>3663</v>
      </c>
      <c r="E507" s="2959" t="s">
        <v>3125</v>
      </c>
      <c r="F507" s="2960">
        <v>102</v>
      </c>
      <c r="G507" s="2959" t="s">
        <v>3665</v>
      </c>
      <c r="H507" s="2959">
        <v>101.89</v>
      </c>
      <c r="I507" s="2959">
        <v>77.040000000000006</v>
      </c>
    </row>
    <row r="508" spans="1:9" s="2956" customFormat="1" ht="18.75" customHeight="1">
      <c r="A508" s="2958">
        <v>507</v>
      </c>
      <c r="B508" s="2959" t="s">
        <v>3122</v>
      </c>
      <c r="C508" s="2959" t="s">
        <v>3650</v>
      </c>
      <c r="D508" s="2959" t="s">
        <v>3663</v>
      </c>
      <c r="E508" s="2959" t="s">
        <v>3125</v>
      </c>
      <c r="F508" s="2960">
        <v>103</v>
      </c>
      <c r="G508" s="2959" t="s">
        <v>3666</v>
      </c>
      <c r="H508" s="2959">
        <v>129.31</v>
      </c>
      <c r="I508" s="2959">
        <v>97.77</v>
      </c>
    </row>
    <row r="509" spans="1:9" s="2956" customFormat="1" ht="18.75" customHeight="1">
      <c r="A509" s="2958">
        <v>508</v>
      </c>
      <c r="B509" s="2959" t="s">
        <v>3122</v>
      </c>
      <c r="C509" s="2959" t="s">
        <v>3650</v>
      </c>
      <c r="D509" s="2959" t="s">
        <v>3663</v>
      </c>
      <c r="E509" s="2959" t="s">
        <v>3125</v>
      </c>
      <c r="F509" s="2960">
        <v>104</v>
      </c>
      <c r="G509" s="2959" t="s">
        <v>3667</v>
      </c>
      <c r="H509" s="2959">
        <v>129.80000000000001</v>
      </c>
      <c r="I509" s="2959">
        <v>98.14</v>
      </c>
    </row>
    <row r="510" spans="1:9" s="2956" customFormat="1" ht="18.75" customHeight="1">
      <c r="A510" s="2958">
        <v>509</v>
      </c>
      <c r="B510" s="2959" t="s">
        <v>3122</v>
      </c>
      <c r="C510" s="2959" t="s">
        <v>3650</v>
      </c>
      <c r="D510" s="2959" t="s">
        <v>3663</v>
      </c>
      <c r="E510" s="2959" t="s">
        <v>3125</v>
      </c>
      <c r="F510" s="2960">
        <v>105</v>
      </c>
      <c r="G510" s="2959" t="s">
        <v>3668</v>
      </c>
      <c r="H510" s="2959">
        <v>122.55</v>
      </c>
      <c r="I510" s="2959">
        <v>92.66</v>
      </c>
    </row>
    <row r="511" spans="1:9" s="2956" customFormat="1" ht="18.75" customHeight="1">
      <c r="A511" s="2958">
        <v>510</v>
      </c>
      <c r="B511" s="2959" t="s">
        <v>3122</v>
      </c>
      <c r="C511" s="2959" t="s">
        <v>3650</v>
      </c>
      <c r="D511" s="2959" t="s">
        <v>3663</v>
      </c>
      <c r="E511" s="2959" t="s">
        <v>3125</v>
      </c>
      <c r="F511" s="2960">
        <v>106</v>
      </c>
      <c r="G511" s="2959" t="s">
        <v>3669</v>
      </c>
      <c r="H511" s="2959">
        <v>101</v>
      </c>
      <c r="I511" s="2959">
        <v>76.37</v>
      </c>
    </row>
    <row r="512" spans="1:9" s="2956" customFormat="1" ht="18.75" customHeight="1">
      <c r="A512" s="2958">
        <v>511</v>
      </c>
      <c r="B512" s="2959" t="s">
        <v>3122</v>
      </c>
      <c r="C512" s="2959" t="s">
        <v>3650</v>
      </c>
      <c r="D512" s="2959" t="s">
        <v>3670</v>
      </c>
      <c r="E512" s="2959" t="s">
        <v>3648</v>
      </c>
      <c r="F512" s="2960">
        <v>101</v>
      </c>
      <c r="G512" s="2959" t="s">
        <v>3671</v>
      </c>
      <c r="H512" s="2959">
        <v>102.07</v>
      </c>
      <c r="I512" s="2959">
        <v>79.3</v>
      </c>
    </row>
    <row r="513" spans="1:9" s="2956" customFormat="1" ht="18.75" customHeight="1">
      <c r="A513" s="2958">
        <v>512</v>
      </c>
      <c r="B513" s="2959" t="s">
        <v>3122</v>
      </c>
      <c r="C513" s="2959" t="s">
        <v>3650</v>
      </c>
      <c r="D513" s="2959" t="s">
        <v>3670</v>
      </c>
      <c r="E513" s="2959" t="s">
        <v>3648</v>
      </c>
      <c r="F513" s="2960">
        <v>102</v>
      </c>
      <c r="G513" s="2959" t="s">
        <v>3672</v>
      </c>
      <c r="H513" s="2959">
        <v>117.81</v>
      </c>
      <c r="I513" s="2959">
        <v>91.53</v>
      </c>
    </row>
    <row r="514" spans="1:9" s="2956" customFormat="1" ht="18.75" customHeight="1">
      <c r="A514" s="2958">
        <v>513</v>
      </c>
      <c r="B514" s="2959" t="s">
        <v>3122</v>
      </c>
      <c r="C514" s="2959" t="s">
        <v>3650</v>
      </c>
      <c r="D514" s="2959" t="s">
        <v>3670</v>
      </c>
      <c r="E514" s="2959" t="s">
        <v>3648</v>
      </c>
      <c r="F514" s="2960">
        <v>103</v>
      </c>
      <c r="G514" s="2959" t="s">
        <v>3673</v>
      </c>
      <c r="H514" s="2959">
        <v>102.73</v>
      </c>
      <c r="I514" s="2959">
        <v>79.81</v>
      </c>
    </row>
    <row r="515" spans="1:9" s="2956" customFormat="1" ht="18.75" customHeight="1">
      <c r="A515" s="2958">
        <v>514</v>
      </c>
      <c r="B515" s="2959" t="s">
        <v>3122</v>
      </c>
      <c r="C515" s="2959" t="s">
        <v>3650</v>
      </c>
      <c r="D515" s="2959" t="s">
        <v>3670</v>
      </c>
      <c r="E515" s="2959" t="s">
        <v>3648</v>
      </c>
      <c r="F515" s="2960">
        <v>104</v>
      </c>
      <c r="G515" s="2959" t="s">
        <v>3674</v>
      </c>
      <c r="H515" s="2959">
        <v>102.84</v>
      </c>
      <c r="I515" s="2959">
        <v>79.900000000000006</v>
      </c>
    </row>
    <row r="516" spans="1:9" s="2956" customFormat="1" ht="18.75" customHeight="1">
      <c r="A516" s="2958">
        <v>515</v>
      </c>
      <c r="B516" s="2959" t="s">
        <v>3122</v>
      </c>
      <c r="C516" s="2959" t="s">
        <v>3650</v>
      </c>
      <c r="D516" s="2959" t="s">
        <v>3670</v>
      </c>
      <c r="E516" s="2959" t="s">
        <v>3648</v>
      </c>
      <c r="F516" s="2960">
        <v>105</v>
      </c>
      <c r="G516" s="2959" t="s">
        <v>3675</v>
      </c>
      <c r="H516" s="2959">
        <v>74.150000000000006</v>
      </c>
      <c r="I516" s="2959">
        <v>57.61</v>
      </c>
    </row>
    <row r="517" spans="1:9" s="2956" customFormat="1" ht="18.75" customHeight="1">
      <c r="A517" s="2958">
        <v>516</v>
      </c>
      <c r="B517" s="2959" t="s">
        <v>3122</v>
      </c>
      <c r="C517" s="2959" t="s">
        <v>3650</v>
      </c>
      <c r="D517" s="2959" t="s">
        <v>3670</v>
      </c>
      <c r="E517" s="2959" t="s">
        <v>3648</v>
      </c>
      <c r="F517" s="2960">
        <v>106</v>
      </c>
      <c r="G517" s="2959" t="s">
        <v>3676</v>
      </c>
      <c r="H517" s="2959">
        <v>73.77</v>
      </c>
      <c r="I517" s="2959">
        <v>57.31</v>
      </c>
    </row>
    <row r="518" spans="1:9" s="2956" customFormat="1" ht="18.75" customHeight="1">
      <c r="A518" s="2958">
        <v>517</v>
      </c>
      <c r="B518" s="2959" t="s">
        <v>3122</v>
      </c>
      <c r="C518" s="2959" t="s">
        <v>3650</v>
      </c>
      <c r="D518" s="2959" t="s">
        <v>3670</v>
      </c>
      <c r="E518" s="2959" t="s">
        <v>3397</v>
      </c>
      <c r="F518" s="2960">
        <v>101</v>
      </c>
      <c r="G518" s="2959" t="s">
        <v>3677</v>
      </c>
      <c r="H518" s="2959">
        <v>102.07</v>
      </c>
      <c r="I518" s="2959">
        <v>79.3</v>
      </c>
    </row>
    <row r="519" spans="1:9" s="2956" customFormat="1" ht="18.75" customHeight="1">
      <c r="A519" s="2958">
        <v>518</v>
      </c>
      <c r="B519" s="2959" t="s">
        <v>3122</v>
      </c>
      <c r="C519" s="2959" t="s">
        <v>3650</v>
      </c>
      <c r="D519" s="2959" t="s">
        <v>3670</v>
      </c>
      <c r="E519" s="2959" t="s">
        <v>3397</v>
      </c>
      <c r="F519" s="2960">
        <v>102</v>
      </c>
      <c r="G519" s="2959" t="s">
        <v>3678</v>
      </c>
      <c r="H519" s="2959">
        <v>118.06</v>
      </c>
      <c r="I519" s="2959">
        <v>91.72</v>
      </c>
    </row>
    <row r="520" spans="1:9" s="2956" customFormat="1" ht="18.75" customHeight="1">
      <c r="A520" s="2958">
        <v>519</v>
      </c>
      <c r="B520" s="2959" t="s">
        <v>3122</v>
      </c>
      <c r="C520" s="2959" t="s">
        <v>3650</v>
      </c>
      <c r="D520" s="2959" t="s">
        <v>3670</v>
      </c>
      <c r="E520" s="2959" t="s">
        <v>3397</v>
      </c>
      <c r="F520" s="2960">
        <v>103</v>
      </c>
      <c r="G520" s="2959" t="s">
        <v>3679</v>
      </c>
      <c r="H520" s="2959">
        <v>102.73</v>
      </c>
      <c r="I520" s="2959">
        <v>79.81</v>
      </c>
    </row>
    <row r="521" spans="1:9" s="2956" customFormat="1" ht="18.75" customHeight="1">
      <c r="A521" s="2958">
        <v>520</v>
      </c>
      <c r="B521" s="2959" t="s">
        <v>3122</v>
      </c>
      <c r="C521" s="2959" t="s">
        <v>3650</v>
      </c>
      <c r="D521" s="2959" t="s">
        <v>3670</v>
      </c>
      <c r="E521" s="2959" t="s">
        <v>3397</v>
      </c>
      <c r="F521" s="2960">
        <v>104</v>
      </c>
      <c r="G521" s="2959" t="s">
        <v>3680</v>
      </c>
      <c r="H521" s="2959">
        <v>102.84</v>
      </c>
      <c r="I521" s="2959">
        <v>79.900000000000006</v>
      </c>
    </row>
    <row r="522" spans="1:9" s="2956" customFormat="1" ht="18.75" customHeight="1">
      <c r="A522" s="2958">
        <v>521</v>
      </c>
      <c r="B522" s="2959" t="s">
        <v>3122</v>
      </c>
      <c r="C522" s="2959" t="s">
        <v>3650</v>
      </c>
      <c r="D522" s="2959" t="s">
        <v>3670</v>
      </c>
      <c r="E522" s="2959" t="s">
        <v>3397</v>
      </c>
      <c r="F522" s="2960">
        <v>105</v>
      </c>
      <c r="G522" s="2959" t="s">
        <v>3681</v>
      </c>
      <c r="H522" s="2959">
        <v>74.150000000000006</v>
      </c>
      <c r="I522" s="2959">
        <v>57.61</v>
      </c>
    </row>
    <row r="523" spans="1:9" s="2956" customFormat="1" ht="18.75" customHeight="1">
      <c r="A523" s="2958">
        <v>522</v>
      </c>
      <c r="B523" s="2959" t="s">
        <v>3122</v>
      </c>
      <c r="C523" s="2959" t="s">
        <v>3650</v>
      </c>
      <c r="D523" s="2959" t="s">
        <v>3670</v>
      </c>
      <c r="E523" s="2959" t="s">
        <v>3397</v>
      </c>
      <c r="F523" s="2960">
        <v>106</v>
      </c>
      <c r="G523" s="2959" t="s">
        <v>3682</v>
      </c>
      <c r="H523" s="2959">
        <v>73.77</v>
      </c>
      <c r="I523" s="2959">
        <v>57.31</v>
      </c>
    </row>
    <row r="524" spans="1:9" s="2956" customFormat="1" ht="18.75" customHeight="1">
      <c r="A524" s="2958">
        <v>523</v>
      </c>
      <c r="B524" s="2959" t="s">
        <v>3122</v>
      </c>
      <c r="C524" s="2959" t="s">
        <v>3650</v>
      </c>
      <c r="D524" s="2959" t="s">
        <v>3683</v>
      </c>
      <c r="E524" s="2959" t="s">
        <v>3125</v>
      </c>
      <c r="F524" s="2960">
        <v>102</v>
      </c>
      <c r="G524" s="2959" t="s">
        <v>3684</v>
      </c>
      <c r="H524" s="2959">
        <v>103.23</v>
      </c>
      <c r="I524" s="2959">
        <v>77.77</v>
      </c>
    </row>
    <row r="525" spans="1:9" s="2956" customFormat="1" ht="18.75" customHeight="1">
      <c r="A525" s="2958">
        <v>524</v>
      </c>
      <c r="B525" s="2959" t="s">
        <v>3122</v>
      </c>
      <c r="C525" s="2959" t="s">
        <v>3650</v>
      </c>
      <c r="D525" s="2959" t="s">
        <v>3683</v>
      </c>
      <c r="E525" s="2959" t="s">
        <v>3125</v>
      </c>
      <c r="F525" s="2960">
        <v>103</v>
      </c>
      <c r="G525" s="2959" t="s">
        <v>3685</v>
      </c>
      <c r="H525" s="2959">
        <v>129.81</v>
      </c>
      <c r="I525" s="2959">
        <v>97.8</v>
      </c>
    </row>
    <row r="526" spans="1:9" s="2956" customFormat="1" ht="18.75" customHeight="1">
      <c r="A526" s="2958">
        <v>525</v>
      </c>
      <c r="B526" s="2959" t="s">
        <v>3122</v>
      </c>
      <c r="C526" s="2959" t="s">
        <v>3650</v>
      </c>
      <c r="D526" s="2959" t="s">
        <v>3683</v>
      </c>
      <c r="E526" s="2959" t="s">
        <v>3125</v>
      </c>
      <c r="F526" s="2960">
        <v>104</v>
      </c>
      <c r="G526" s="2959" t="s">
        <v>3686</v>
      </c>
      <c r="H526" s="2959">
        <v>124.32</v>
      </c>
      <c r="I526" s="2959">
        <v>93.66</v>
      </c>
    </row>
    <row r="527" spans="1:9" s="2956" customFormat="1" ht="18.75" customHeight="1">
      <c r="A527" s="2958">
        <v>526</v>
      </c>
      <c r="B527" s="2959" t="s">
        <v>3122</v>
      </c>
      <c r="C527" s="2959" t="s">
        <v>3650</v>
      </c>
      <c r="D527" s="2959" t="s">
        <v>3683</v>
      </c>
      <c r="E527" s="2959" t="s">
        <v>3125</v>
      </c>
      <c r="F527" s="2960">
        <v>105</v>
      </c>
      <c r="G527" s="2959" t="s">
        <v>3687</v>
      </c>
      <c r="H527" s="2959">
        <v>102.32</v>
      </c>
      <c r="I527" s="2959">
        <v>77.09</v>
      </c>
    </row>
    <row r="528" spans="1:9" s="2956" customFormat="1" ht="18.75" customHeight="1">
      <c r="A528" s="2958">
        <v>527</v>
      </c>
      <c r="B528" s="2959" t="s">
        <v>3122</v>
      </c>
      <c r="C528" s="2959" t="s">
        <v>3650</v>
      </c>
      <c r="D528" s="2959" t="s">
        <v>3688</v>
      </c>
      <c r="E528" s="2959" t="s">
        <v>3125</v>
      </c>
      <c r="F528" s="2960">
        <v>101</v>
      </c>
      <c r="G528" s="2959" t="s">
        <v>3689</v>
      </c>
      <c r="H528" s="2959">
        <v>102.3</v>
      </c>
      <c r="I528" s="2959">
        <v>79.38</v>
      </c>
    </row>
    <row r="529" spans="1:9" s="2956" customFormat="1" ht="18.75" customHeight="1">
      <c r="A529" s="2958">
        <v>528</v>
      </c>
      <c r="B529" s="2959" t="s">
        <v>3122</v>
      </c>
      <c r="C529" s="2959" t="s">
        <v>3650</v>
      </c>
      <c r="D529" s="2959" t="s">
        <v>3688</v>
      </c>
      <c r="E529" s="2959" t="s">
        <v>3125</v>
      </c>
      <c r="F529" s="2960">
        <v>102</v>
      </c>
      <c r="G529" s="2959" t="s">
        <v>3690</v>
      </c>
      <c r="H529" s="2959">
        <v>117.69</v>
      </c>
      <c r="I529" s="2959">
        <v>91.32</v>
      </c>
    </row>
    <row r="530" spans="1:9" s="2956" customFormat="1" ht="18.75" customHeight="1">
      <c r="A530" s="2958">
        <v>529</v>
      </c>
      <c r="B530" s="2959" t="s">
        <v>3122</v>
      </c>
      <c r="C530" s="2959" t="s">
        <v>3650</v>
      </c>
      <c r="D530" s="2959" t="s">
        <v>3688</v>
      </c>
      <c r="E530" s="2959" t="s">
        <v>3125</v>
      </c>
      <c r="F530" s="2960">
        <v>103</v>
      </c>
      <c r="G530" s="2959" t="s">
        <v>3691</v>
      </c>
      <c r="H530" s="2959">
        <v>102.97</v>
      </c>
      <c r="I530" s="2959">
        <v>79.900000000000006</v>
      </c>
    </row>
    <row r="531" spans="1:9" s="2956" customFormat="1" ht="18.75" customHeight="1">
      <c r="A531" s="2958">
        <v>530</v>
      </c>
      <c r="B531" s="2959" t="s">
        <v>3122</v>
      </c>
      <c r="C531" s="2959" t="s">
        <v>3650</v>
      </c>
      <c r="D531" s="2959" t="s">
        <v>3688</v>
      </c>
      <c r="E531" s="2959" t="s">
        <v>3125</v>
      </c>
      <c r="F531" s="2960">
        <v>104</v>
      </c>
      <c r="G531" s="2959" t="s">
        <v>3692</v>
      </c>
      <c r="H531" s="2959">
        <v>74.3</v>
      </c>
      <c r="I531" s="2959">
        <v>57.65</v>
      </c>
    </row>
    <row r="532" spans="1:9" s="2956" customFormat="1" ht="18.75" customHeight="1">
      <c r="A532" s="2958">
        <v>531</v>
      </c>
      <c r="B532" s="2959" t="s">
        <v>3122</v>
      </c>
      <c r="C532" s="2959" t="s">
        <v>3650</v>
      </c>
      <c r="D532" s="2959" t="s">
        <v>3688</v>
      </c>
      <c r="E532" s="2959" t="s">
        <v>3125</v>
      </c>
      <c r="F532" s="2960">
        <v>105</v>
      </c>
      <c r="G532" s="2959" t="s">
        <v>3693</v>
      </c>
      <c r="H532" s="2959">
        <v>73.86</v>
      </c>
      <c r="I532" s="2959">
        <v>57.31</v>
      </c>
    </row>
    <row r="533" spans="1:9" s="2956" customFormat="1" ht="18.75" customHeight="1">
      <c r="A533" s="2958">
        <v>532</v>
      </c>
      <c r="B533" s="2959" t="s">
        <v>3122</v>
      </c>
      <c r="C533" s="2959" t="s">
        <v>3650</v>
      </c>
      <c r="D533" s="2959" t="s">
        <v>3694</v>
      </c>
      <c r="E533" s="2959" t="s">
        <v>3125</v>
      </c>
      <c r="F533" s="2960">
        <v>101</v>
      </c>
      <c r="G533" s="2959" t="s">
        <v>3695</v>
      </c>
      <c r="H533" s="2959">
        <v>102.3</v>
      </c>
      <c r="I533" s="2959">
        <v>79.38</v>
      </c>
    </row>
    <row r="534" spans="1:9" s="2956" customFormat="1" ht="18.75" customHeight="1">
      <c r="A534" s="2958">
        <v>533</v>
      </c>
      <c r="B534" s="2959" t="s">
        <v>3122</v>
      </c>
      <c r="C534" s="2959" t="s">
        <v>3650</v>
      </c>
      <c r="D534" s="2959" t="s">
        <v>3694</v>
      </c>
      <c r="E534" s="2959" t="s">
        <v>3125</v>
      </c>
      <c r="F534" s="2960">
        <v>102</v>
      </c>
      <c r="G534" s="2959" t="s">
        <v>3696</v>
      </c>
      <c r="H534" s="2959">
        <v>117.99</v>
      </c>
      <c r="I534" s="2959">
        <v>91.55</v>
      </c>
    </row>
    <row r="535" spans="1:9" s="2956" customFormat="1" ht="18.75" customHeight="1">
      <c r="A535" s="2958">
        <v>534</v>
      </c>
      <c r="B535" s="2959" t="s">
        <v>3122</v>
      </c>
      <c r="C535" s="2959" t="s">
        <v>3650</v>
      </c>
      <c r="D535" s="2959" t="s">
        <v>3694</v>
      </c>
      <c r="E535" s="2959" t="s">
        <v>3125</v>
      </c>
      <c r="F535" s="2960">
        <v>103</v>
      </c>
      <c r="G535" s="2959" t="s">
        <v>3697</v>
      </c>
      <c r="H535" s="2959">
        <v>102.97</v>
      </c>
      <c r="I535" s="2959">
        <v>79.900000000000006</v>
      </c>
    </row>
    <row r="536" spans="1:9" s="2956" customFormat="1" ht="18.75" customHeight="1">
      <c r="A536" s="2958">
        <v>535</v>
      </c>
      <c r="B536" s="2959" t="s">
        <v>3122</v>
      </c>
      <c r="C536" s="2959" t="s">
        <v>3650</v>
      </c>
      <c r="D536" s="2959" t="s">
        <v>3694</v>
      </c>
      <c r="E536" s="2959" t="s">
        <v>3125</v>
      </c>
      <c r="F536" s="2960">
        <v>104</v>
      </c>
      <c r="G536" s="2959" t="s">
        <v>3698</v>
      </c>
      <c r="H536" s="2959">
        <v>74.3</v>
      </c>
      <c r="I536" s="2959">
        <v>57.65</v>
      </c>
    </row>
    <row r="537" spans="1:9" s="2956" customFormat="1" ht="18.75" customHeight="1">
      <c r="A537" s="2958">
        <v>536</v>
      </c>
      <c r="B537" s="2959" t="s">
        <v>3122</v>
      </c>
      <c r="C537" s="2959" t="s">
        <v>3650</v>
      </c>
      <c r="D537" s="2959" t="s">
        <v>3694</v>
      </c>
      <c r="E537" s="2959" t="s">
        <v>3125</v>
      </c>
      <c r="F537" s="2960">
        <v>105</v>
      </c>
      <c r="G537" s="2959" t="s">
        <v>3699</v>
      </c>
      <c r="H537" s="2959">
        <v>73.42</v>
      </c>
      <c r="I537" s="2959">
        <v>56.97</v>
      </c>
    </row>
    <row r="538" spans="1:9" ht="18.75" customHeight="1">
      <c r="A538" s="2958">
        <v>537</v>
      </c>
      <c r="B538" s="2959" t="s">
        <v>3122</v>
      </c>
      <c r="C538" s="2959" t="s">
        <v>3650</v>
      </c>
      <c r="D538" s="2959" t="s">
        <v>3694</v>
      </c>
      <c r="E538" s="2959" t="s">
        <v>3125</v>
      </c>
      <c r="F538" s="2960">
        <v>506</v>
      </c>
      <c r="G538" s="2959" t="s">
        <v>3700</v>
      </c>
      <c r="H538" s="2959">
        <v>74.14</v>
      </c>
      <c r="I538" s="2959">
        <v>57.53</v>
      </c>
    </row>
    <row r="539" spans="1:9" ht="18.75" customHeight="1">
      <c r="A539" s="2958">
        <v>538</v>
      </c>
      <c r="B539" s="2959" t="s">
        <v>3122</v>
      </c>
      <c r="C539" s="2959" t="s">
        <v>3463</v>
      </c>
      <c r="D539" s="2959" t="s">
        <v>3701</v>
      </c>
      <c r="E539" s="2959" t="s">
        <v>3125</v>
      </c>
      <c r="F539" s="2960">
        <v>201</v>
      </c>
      <c r="G539" s="2959" t="s">
        <v>3702</v>
      </c>
      <c r="H539" s="2959">
        <v>157.69</v>
      </c>
      <c r="I539" s="2959">
        <v>121.27</v>
      </c>
    </row>
    <row r="540" spans="1:9" ht="18.75" customHeight="1">
      <c r="A540" s="2958">
        <v>539</v>
      </c>
      <c r="B540" s="2959" t="s">
        <v>3122</v>
      </c>
      <c r="C540" s="2959" t="s">
        <v>3463</v>
      </c>
      <c r="D540" s="2959" t="s">
        <v>3701</v>
      </c>
      <c r="E540" s="2959" t="s">
        <v>3125</v>
      </c>
      <c r="F540" s="2960">
        <v>202</v>
      </c>
      <c r="G540" s="2959" t="s">
        <v>3703</v>
      </c>
      <c r="H540" s="2959">
        <v>120.57</v>
      </c>
      <c r="I540" s="2959">
        <v>92.72</v>
      </c>
    </row>
    <row r="541" spans="1:9" ht="18.75" customHeight="1">
      <c r="A541" s="2958">
        <v>540</v>
      </c>
      <c r="B541" s="2959" t="s">
        <v>3122</v>
      </c>
      <c r="C541" s="2959" t="s">
        <v>3463</v>
      </c>
      <c r="D541" s="2959" t="s">
        <v>3701</v>
      </c>
      <c r="E541" s="2959" t="s">
        <v>3125</v>
      </c>
      <c r="F541" s="2960">
        <v>203</v>
      </c>
      <c r="G541" s="2959" t="s">
        <v>3704</v>
      </c>
      <c r="H541" s="2959">
        <v>157.78</v>
      </c>
      <c r="I541" s="2959">
        <v>121.34</v>
      </c>
    </row>
    <row r="542" spans="1:9" ht="18.75" customHeight="1">
      <c r="A542" s="2958">
        <v>541</v>
      </c>
      <c r="B542" s="2959" t="s">
        <v>3122</v>
      </c>
      <c r="C542" s="2959" t="s">
        <v>3463</v>
      </c>
      <c r="D542" s="2959" t="s">
        <v>3701</v>
      </c>
      <c r="E542" s="2959" t="s">
        <v>3125</v>
      </c>
      <c r="F542" s="2960">
        <v>204</v>
      </c>
      <c r="G542" s="2959" t="s">
        <v>3705</v>
      </c>
      <c r="H542" s="2959">
        <v>117.15</v>
      </c>
      <c r="I542" s="2959">
        <v>90.09</v>
      </c>
    </row>
    <row r="543" spans="1:9" ht="18.75" customHeight="1">
      <c r="A543" s="2958">
        <v>542</v>
      </c>
      <c r="B543" s="2959" t="s">
        <v>3122</v>
      </c>
      <c r="C543" s="2959" t="s">
        <v>3463</v>
      </c>
      <c r="D543" s="2959" t="s">
        <v>3701</v>
      </c>
      <c r="E543" s="2959" t="s">
        <v>3125</v>
      </c>
      <c r="F543" s="2960">
        <v>205</v>
      </c>
      <c r="G543" s="2959" t="s">
        <v>3706</v>
      </c>
      <c r="H543" s="2959">
        <v>116.71</v>
      </c>
      <c r="I543" s="2959">
        <v>89.75</v>
      </c>
    </row>
    <row r="544" spans="1:9" ht="18.75" customHeight="1">
      <c r="A544" s="2958">
        <v>543</v>
      </c>
      <c r="B544" s="2959" t="s">
        <v>3122</v>
      </c>
      <c r="C544" s="2959" t="s">
        <v>3463</v>
      </c>
      <c r="D544" s="2959" t="s">
        <v>3701</v>
      </c>
      <c r="E544" s="2959" t="s">
        <v>3125</v>
      </c>
      <c r="F544" s="2960">
        <v>301</v>
      </c>
      <c r="G544" s="2959" t="s">
        <v>3707</v>
      </c>
      <c r="H544" s="2959">
        <v>157.69</v>
      </c>
      <c r="I544" s="2959">
        <v>121.27</v>
      </c>
    </row>
    <row r="545" spans="1:9" ht="18.75" customHeight="1">
      <c r="A545" s="2958">
        <v>544</v>
      </c>
      <c r="B545" s="2959" t="s">
        <v>3122</v>
      </c>
      <c r="C545" s="2959" t="s">
        <v>3463</v>
      </c>
      <c r="D545" s="2959" t="s">
        <v>3701</v>
      </c>
      <c r="E545" s="2959" t="s">
        <v>3125</v>
      </c>
      <c r="F545" s="2960">
        <v>302</v>
      </c>
      <c r="G545" s="2959" t="s">
        <v>3708</v>
      </c>
      <c r="H545" s="2959">
        <v>120.57</v>
      </c>
      <c r="I545" s="2959">
        <v>92.72</v>
      </c>
    </row>
    <row r="546" spans="1:9" ht="18.75" customHeight="1">
      <c r="A546" s="2958">
        <v>545</v>
      </c>
      <c r="B546" s="2959" t="s">
        <v>3122</v>
      </c>
      <c r="C546" s="2959" t="s">
        <v>3463</v>
      </c>
      <c r="D546" s="2959" t="s">
        <v>3701</v>
      </c>
      <c r="E546" s="2959" t="s">
        <v>3125</v>
      </c>
      <c r="F546" s="2960">
        <v>303</v>
      </c>
      <c r="G546" s="2959" t="s">
        <v>3709</v>
      </c>
      <c r="H546" s="2959">
        <v>157.78</v>
      </c>
      <c r="I546" s="2959">
        <v>121.34</v>
      </c>
    </row>
    <row r="547" spans="1:9" ht="18.75" customHeight="1">
      <c r="A547" s="2958">
        <v>546</v>
      </c>
      <c r="B547" s="2959" t="s">
        <v>3122</v>
      </c>
      <c r="C547" s="2959" t="s">
        <v>3463</v>
      </c>
      <c r="D547" s="2959" t="s">
        <v>3701</v>
      </c>
      <c r="E547" s="2959" t="s">
        <v>3125</v>
      </c>
      <c r="F547" s="2960">
        <v>304</v>
      </c>
      <c r="G547" s="2959" t="s">
        <v>3710</v>
      </c>
      <c r="H547" s="2959">
        <v>117.15</v>
      </c>
      <c r="I547" s="2959">
        <v>90.09</v>
      </c>
    </row>
    <row r="548" spans="1:9" ht="18.75" customHeight="1">
      <c r="A548" s="2958">
        <v>547</v>
      </c>
      <c r="B548" s="2959" t="s">
        <v>3122</v>
      </c>
      <c r="C548" s="2959" t="s">
        <v>3463</v>
      </c>
      <c r="D548" s="2959" t="s">
        <v>3701</v>
      </c>
      <c r="E548" s="2959" t="s">
        <v>3125</v>
      </c>
      <c r="F548" s="2960">
        <v>305</v>
      </c>
      <c r="G548" s="2959" t="s">
        <v>3711</v>
      </c>
      <c r="H548" s="2959">
        <v>116.71</v>
      </c>
      <c r="I548" s="2959">
        <v>89.75</v>
      </c>
    </row>
    <row r="549" spans="1:9" ht="18.75" customHeight="1">
      <c r="A549" s="2958">
        <v>548</v>
      </c>
      <c r="B549" s="2959" t="s">
        <v>3122</v>
      </c>
      <c r="C549" s="2959" t="s">
        <v>3463</v>
      </c>
      <c r="D549" s="2959" t="s">
        <v>3701</v>
      </c>
      <c r="E549" s="2959" t="s">
        <v>3125</v>
      </c>
      <c r="F549" s="2960">
        <v>401</v>
      </c>
      <c r="G549" s="2959" t="s">
        <v>3712</v>
      </c>
      <c r="H549" s="2959">
        <v>157.69</v>
      </c>
      <c r="I549" s="2959">
        <v>121.27</v>
      </c>
    </row>
    <row r="550" spans="1:9" ht="18.75" customHeight="1">
      <c r="A550" s="2958">
        <v>549</v>
      </c>
      <c r="B550" s="2959" t="s">
        <v>3122</v>
      </c>
      <c r="C550" s="2959" t="s">
        <v>3463</v>
      </c>
      <c r="D550" s="2959" t="s">
        <v>3701</v>
      </c>
      <c r="E550" s="2959" t="s">
        <v>3125</v>
      </c>
      <c r="F550" s="2960">
        <v>402</v>
      </c>
      <c r="G550" s="2959" t="s">
        <v>3713</v>
      </c>
      <c r="H550" s="2959">
        <v>120.57</v>
      </c>
      <c r="I550" s="2959">
        <v>92.72</v>
      </c>
    </row>
    <row r="551" spans="1:9" ht="18.75" customHeight="1">
      <c r="A551" s="2958">
        <v>550</v>
      </c>
      <c r="B551" s="2959" t="s">
        <v>3122</v>
      </c>
      <c r="C551" s="2959" t="s">
        <v>3463</v>
      </c>
      <c r="D551" s="2959" t="s">
        <v>3701</v>
      </c>
      <c r="E551" s="2959" t="s">
        <v>3125</v>
      </c>
      <c r="F551" s="2960">
        <v>403</v>
      </c>
      <c r="G551" s="2959" t="s">
        <v>3714</v>
      </c>
      <c r="H551" s="2959">
        <v>157.78</v>
      </c>
      <c r="I551" s="2959">
        <v>121.34</v>
      </c>
    </row>
    <row r="552" spans="1:9" ht="18.75" customHeight="1">
      <c r="A552" s="2958">
        <v>551</v>
      </c>
      <c r="B552" s="2959" t="s">
        <v>3122</v>
      </c>
      <c r="C552" s="2959" t="s">
        <v>3463</v>
      </c>
      <c r="D552" s="2959" t="s">
        <v>3701</v>
      </c>
      <c r="E552" s="2959" t="s">
        <v>3125</v>
      </c>
      <c r="F552" s="2960">
        <v>404</v>
      </c>
      <c r="G552" s="2959" t="s">
        <v>3715</v>
      </c>
      <c r="H552" s="2959">
        <v>117.15</v>
      </c>
      <c r="I552" s="2959">
        <v>90.09</v>
      </c>
    </row>
    <row r="553" spans="1:9" ht="18.75" customHeight="1">
      <c r="A553" s="2958">
        <v>552</v>
      </c>
      <c r="B553" s="2959" t="s">
        <v>3122</v>
      </c>
      <c r="C553" s="2959" t="s">
        <v>3463</v>
      </c>
      <c r="D553" s="2959" t="s">
        <v>3701</v>
      </c>
      <c r="E553" s="2959" t="s">
        <v>3125</v>
      </c>
      <c r="F553" s="2960">
        <v>405</v>
      </c>
      <c r="G553" s="2959" t="s">
        <v>3716</v>
      </c>
      <c r="H553" s="2959">
        <v>116.71</v>
      </c>
      <c r="I553" s="2959">
        <v>89.75</v>
      </c>
    </row>
    <row r="554" spans="1:9" ht="18.75" customHeight="1">
      <c r="A554" s="2958">
        <v>553</v>
      </c>
      <c r="B554" s="2959" t="s">
        <v>3122</v>
      </c>
      <c r="C554" s="2959" t="s">
        <v>3463</v>
      </c>
      <c r="D554" s="2959" t="s">
        <v>3701</v>
      </c>
      <c r="E554" s="2959" t="s">
        <v>3125</v>
      </c>
      <c r="F554" s="2960">
        <v>501</v>
      </c>
      <c r="G554" s="2959" t="s">
        <v>3717</v>
      </c>
      <c r="H554" s="2959">
        <v>157.97999999999999</v>
      </c>
      <c r="I554" s="2959">
        <v>121.49</v>
      </c>
    </row>
    <row r="555" spans="1:9" ht="18.75" customHeight="1">
      <c r="A555" s="2958">
        <v>554</v>
      </c>
      <c r="B555" s="2959" t="s">
        <v>3122</v>
      </c>
      <c r="C555" s="2959" t="s">
        <v>3463</v>
      </c>
      <c r="D555" s="2959" t="s">
        <v>3701</v>
      </c>
      <c r="E555" s="2959" t="s">
        <v>3125</v>
      </c>
      <c r="F555" s="2960">
        <v>502</v>
      </c>
      <c r="G555" s="2959" t="s">
        <v>3718</v>
      </c>
      <c r="H555" s="2959">
        <v>120.78</v>
      </c>
      <c r="I555" s="2959">
        <v>92.88</v>
      </c>
    </row>
    <row r="556" spans="1:9" ht="18.75" customHeight="1">
      <c r="A556" s="2958">
        <v>555</v>
      </c>
      <c r="B556" s="2959" t="s">
        <v>3122</v>
      </c>
      <c r="C556" s="2959" t="s">
        <v>3463</v>
      </c>
      <c r="D556" s="2959" t="s">
        <v>3701</v>
      </c>
      <c r="E556" s="2959" t="s">
        <v>3125</v>
      </c>
      <c r="F556" s="2960">
        <v>503</v>
      </c>
      <c r="G556" s="2959" t="s">
        <v>3719</v>
      </c>
      <c r="H556" s="2959">
        <v>158.16</v>
      </c>
      <c r="I556" s="2959">
        <v>121.63</v>
      </c>
    </row>
    <row r="557" spans="1:9" ht="18.75" customHeight="1">
      <c r="A557" s="2958">
        <v>556</v>
      </c>
      <c r="B557" s="2959" t="s">
        <v>3122</v>
      </c>
      <c r="C557" s="2959" t="s">
        <v>3463</v>
      </c>
      <c r="D557" s="2959" t="s">
        <v>3701</v>
      </c>
      <c r="E557" s="2959" t="s">
        <v>3125</v>
      </c>
      <c r="F557" s="2960">
        <v>504</v>
      </c>
      <c r="G557" s="2959" t="s">
        <v>3720</v>
      </c>
      <c r="H557" s="2959">
        <v>117.62</v>
      </c>
      <c r="I557" s="2959">
        <v>90.45</v>
      </c>
    </row>
    <row r="558" spans="1:9" ht="18.75" customHeight="1">
      <c r="A558" s="2958">
        <v>557</v>
      </c>
      <c r="B558" s="2959" t="s">
        <v>3122</v>
      </c>
      <c r="C558" s="2959" t="s">
        <v>3463</v>
      </c>
      <c r="D558" s="2959" t="s">
        <v>3701</v>
      </c>
      <c r="E558" s="2959" t="s">
        <v>3125</v>
      </c>
      <c r="F558" s="2960">
        <v>505</v>
      </c>
      <c r="G558" s="2959" t="s">
        <v>3721</v>
      </c>
      <c r="H558" s="2959">
        <v>117.33</v>
      </c>
      <c r="I558" s="2959">
        <v>90.23</v>
      </c>
    </row>
    <row r="559" spans="1:9" ht="18.75" customHeight="1">
      <c r="A559" s="2958">
        <v>558</v>
      </c>
      <c r="B559" s="2959" t="s">
        <v>3122</v>
      </c>
      <c r="C559" s="2959" t="s">
        <v>3463</v>
      </c>
      <c r="D559" s="2959" t="s">
        <v>3701</v>
      </c>
      <c r="E559" s="2959" t="s">
        <v>3125</v>
      </c>
      <c r="F559" s="2960">
        <v>601</v>
      </c>
      <c r="G559" s="2959" t="s">
        <v>3722</v>
      </c>
      <c r="H559" s="2959">
        <v>157.97999999999999</v>
      </c>
      <c r="I559" s="2959">
        <v>121.49</v>
      </c>
    </row>
    <row r="560" spans="1:9" ht="18.75" customHeight="1">
      <c r="A560" s="2958">
        <v>559</v>
      </c>
      <c r="B560" s="2959" t="s">
        <v>3122</v>
      </c>
      <c r="C560" s="2959" t="s">
        <v>3463</v>
      </c>
      <c r="D560" s="2959" t="s">
        <v>3701</v>
      </c>
      <c r="E560" s="2959" t="s">
        <v>3125</v>
      </c>
      <c r="F560" s="2960">
        <v>602</v>
      </c>
      <c r="G560" s="2959" t="s">
        <v>3723</v>
      </c>
      <c r="H560" s="2959">
        <v>120.78</v>
      </c>
      <c r="I560" s="2959">
        <v>92.88</v>
      </c>
    </row>
    <row r="561" spans="1:9" ht="18.75" customHeight="1">
      <c r="A561" s="2958">
        <v>560</v>
      </c>
      <c r="B561" s="2959" t="s">
        <v>3122</v>
      </c>
      <c r="C561" s="2959" t="s">
        <v>3463</v>
      </c>
      <c r="D561" s="2959" t="s">
        <v>3701</v>
      </c>
      <c r="E561" s="2959" t="s">
        <v>3125</v>
      </c>
      <c r="F561" s="2960">
        <v>603</v>
      </c>
      <c r="G561" s="2959" t="s">
        <v>3724</v>
      </c>
      <c r="H561" s="2959">
        <v>158.16</v>
      </c>
      <c r="I561" s="2959">
        <v>121.63</v>
      </c>
    </row>
    <row r="562" spans="1:9" ht="18.75" customHeight="1">
      <c r="A562" s="2958">
        <v>561</v>
      </c>
      <c r="B562" s="2959" t="s">
        <v>3122</v>
      </c>
      <c r="C562" s="2959" t="s">
        <v>3463</v>
      </c>
      <c r="D562" s="2959" t="s">
        <v>3701</v>
      </c>
      <c r="E562" s="2959" t="s">
        <v>3125</v>
      </c>
      <c r="F562" s="2960">
        <v>604</v>
      </c>
      <c r="G562" s="2959" t="s">
        <v>3725</v>
      </c>
      <c r="H562" s="2959">
        <v>117.62</v>
      </c>
      <c r="I562" s="2959">
        <v>90.45</v>
      </c>
    </row>
    <row r="563" spans="1:9" ht="18.75" customHeight="1">
      <c r="A563" s="2958">
        <v>562</v>
      </c>
      <c r="B563" s="2959" t="s">
        <v>3122</v>
      </c>
      <c r="C563" s="2959" t="s">
        <v>3463</v>
      </c>
      <c r="D563" s="2959" t="s">
        <v>3701</v>
      </c>
      <c r="E563" s="2959" t="s">
        <v>3125</v>
      </c>
      <c r="F563" s="2960">
        <v>605</v>
      </c>
      <c r="G563" s="2959" t="s">
        <v>3726</v>
      </c>
      <c r="H563" s="2959">
        <v>117.33</v>
      </c>
      <c r="I563" s="2959">
        <v>90.23</v>
      </c>
    </row>
    <row r="564" spans="1:9" ht="18.75" customHeight="1">
      <c r="A564" s="2958">
        <v>563</v>
      </c>
      <c r="B564" s="2959" t="s">
        <v>3122</v>
      </c>
      <c r="C564" s="2959" t="s">
        <v>3463</v>
      </c>
      <c r="D564" s="2959" t="s">
        <v>3701</v>
      </c>
      <c r="E564" s="2959" t="s">
        <v>3125</v>
      </c>
      <c r="F564" s="2960">
        <v>701</v>
      </c>
      <c r="G564" s="2959" t="s">
        <v>3727</v>
      </c>
      <c r="H564" s="2959">
        <v>157.97999999999999</v>
      </c>
      <c r="I564" s="2959">
        <v>121.49</v>
      </c>
    </row>
    <row r="565" spans="1:9" ht="18.75" customHeight="1">
      <c r="A565" s="2958">
        <v>564</v>
      </c>
      <c r="B565" s="2959" t="s">
        <v>3122</v>
      </c>
      <c r="C565" s="2959" t="s">
        <v>3463</v>
      </c>
      <c r="D565" s="2959" t="s">
        <v>3701</v>
      </c>
      <c r="E565" s="2959" t="s">
        <v>3125</v>
      </c>
      <c r="F565" s="2960">
        <v>702</v>
      </c>
      <c r="G565" s="2959" t="s">
        <v>3728</v>
      </c>
      <c r="H565" s="2959">
        <v>120.78</v>
      </c>
      <c r="I565" s="2959">
        <v>92.88</v>
      </c>
    </row>
    <row r="566" spans="1:9" ht="18.75" customHeight="1">
      <c r="A566" s="2958">
        <v>565</v>
      </c>
      <c r="B566" s="2959" t="s">
        <v>3122</v>
      </c>
      <c r="C566" s="2959" t="s">
        <v>3463</v>
      </c>
      <c r="D566" s="2959" t="s">
        <v>3701</v>
      </c>
      <c r="E566" s="2959" t="s">
        <v>3125</v>
      </c>
      <c r="F566" s="2960">
        <v>703</v>
      </c>
      <c r="G566" s="2959" t="s">
        <v>3729</v>
      </c>
      <c r="H566" s="2959">
        <v>158.16</v>
      </c>
      <c r="I566" s="2959">
        <v>121.63</v>
      </c>
    </row>
    <row r="567" spans="1:9" ht="18.75" customHeight="1">
      <c r="A567" s="2958">
        <v>566</v>
      </c>
      <c r="B567" s="2959" t="s">
        <v>3122</v>
      </c>
      <c r="C567" s="2959" t="s">
        <v>3463</v>
      </c>
      <c r="D567" s="2959" t="s">
        <v>3701</v>
      </c>
      <c r="E567" s="2959" t="s">
        <v>3125</v>
      </c>
      <c r="F567" s="2960">
        <v>704</v>
      </c>
      <c r="G567" s="2959" t="s">
        <v>3730</v>
      </c>
      <c r="H567" s="2959">
        <v>117.62</v>
      </c>
      <c r="I567" s="2959">
        <v>90.45</v>
      </c>
    </row>
    <row r="568" spans="1:9" ht="18.75" customHeight="1">
      <c r="A568" s="2958">
        <v>567</v>
      </c>
      <c r="B568" s="2959" t="s">
        <v>3122</v>
      </c>
      <c r="C568" s="2959" t="s">
        <v>3463</v>
      </c>
      <c r="D568" s="2959" t="s">
        <v>3701</v>
      </c>
      <c r="E568" s="2959" t="s">
        <v>3125</v>
      </c>
      <c r="F568" s="2960">
        <v>705</v>
      </c>
      <c r="G568" s="2959" t="s">
        <v>3731</v>
      </c>
      <c r="H568" s="2959">
        <v>117.33</v>
      </c>
      <c r="I568" s="2959">
        <v>90.23</v>
      </c>
    </row>
    <row r="569" spans="1:9" ht="18.75" customHeight="1">
      <c r="A569" s="2958">
        <v>568</v>
      </c>
      <c r="B569" s="2959" t="s">
        <v>3122</v>
      </c>
      <c r="C569" s="2959" t="s">
        <v>3463</v>
      </c>
      <c r="D569" s="2959" t="s">
        <v>3701</v>
      </c>
      <c r="E569" s="2959" t="s">
        <v>3125</v>
      </c>
      <c r="F569" s="2960">
        <v>801</v>
      </c>
      <c r="G569" s="2959" t="s">
        <v>3732</v>
      </c>
      <c r="H569" s="2959">
        <v>157.97999999999999</v>
      </c>
      <c r="I569" s="2959">
        <v>121.49</v>
      </c>
    </row>
    <row r="570" spans="1:9" ht="18.75" customHeight="1">
      <c r="A570" s="2958">
        <v>569</v>
      </c>
      <c r="B570" s="2959" t="s">
        <v>3122</v>
      </c>
      <c r="C570" s="2959" t="s">
        <v>3463</v>
      </c>
      <c r="D570" s="2959" t="s">
        <v>3701</v>
      </c>
      <c r="E570" s="2959" t="s">
        <v>3125</v>
      </c>
      <c r="F570" s="2960">
        <v>802</v>
      </c>
      <c r="G570" s="2959" t="s">
        <v>3733</v>
      </c>
      <c r="H570" s="2959">
        <v>120.78</v>
      </c>
      <c r="I570" s="2959">
        <v>92.88</v>
      </c>
    </row>
    <row r="571" spans="1:9" ht="18.75" customHeight="1">
      <c r="A571" s="2958">
        <v>570</v>
      </c>
      <c r="B571" s="2959" t="s">
        <v>3122</v>
      </c>
      <c r="C571" s="2959" t="s">
        <v>3463</v>
      </c>
      <c r="D571" s="2959" t="s">
        <v>3701</v>
      </c>
      <c r="E571" s="2959" t="s">
        <v>3125</v>
      </c>
      <c r="F571" s="2960">
        <v>803</v>
      </c>
      <c r="G571" s="2959" t="s">
        <v>3734</v>
      </c>
      <c r="H571" s="2959">
        <v>158.16</v>
      </c>
      <c r="I571" s="2959">
        <v>121.63</v>
      </c>
    </row>
    <row r="572" spans="1:9" ht="18.75" customHeight="1">
      <c r="A572" s="2958">
        <v>571</v>
      </c>
      <c r="B572" s="2959" t="s">
        <v>3122</v>
      </c>
      <c r="C572" s="2959" t="s">
        <v>3463</v>
      </c>
      <c r="D572" s="2959" t="s">
        <v>3701</v>
      </c>
      <c r="E572" s="2959" t="s">
        <v>3125</v>
      </c>
      <c r="F572" s="2960">
        <v>804</v>
      </c>
      <c r="G572" s="2959" t="s">
        <v>3735</v>
      </c>
      <c r="H572" s="2959">
        <v>117.62</v>
      </c>
      <c r="I572" s="2959">
        <v>90.45</v>
      </c>
    </row>
    <row r="573" spans="1:9" ht="18.75" customHeight="1">
      <c r="A573" s="2958">
        <v>572</v>
      </c>
      <c r="B573" s="2959" t="s">
        <v>3122</v>
      </c>
      <c r="C573" s="2959" t="s">
        <v>3463</v>
      </c>
      <c r="D573" s="2959" t="s">
        <v>3701</v>
      </c>
      <c r="E573" s="2959" t="s">
        <v>3125</v>
      </c>
      <c r="F573" s="2960">
        <v>805</v>
      </c>
      <c r="G573" s="2959" t="s">
        <v>3736</v>
      </c>
      <c r="H573" s="2959">
        <v>117.33</v>
      </c>
      <c r="I573" s="2959">
        <v>90.23</v>
      </c>
    </row>
    <row r="574" spans="1:9" ht="18.75" customHeight="1">
      <c r="A574" s="2958">
        <v>573</v>
      </c>
      <c r="B574" s="2959" t="s">
        <v>3122</v>
      </c>
      <c r="C574" s="2959" t="s">
        <v>3463</v>
      </c>
      <c r="D574" s="2959" t="s">
        <v>3701</v>
      </c>
      <c r="E574" s="2959" t="s">
        <v>3125</v>
      </c>
      <c r="F574" s="2960">
        <v>901</v>
      </c>
      <c r="G574" s="2959" t="s">
        <v>3737</v>
      </c>
      <c r="H574" s="2959">
        <v>157.97999999999999</v>
      </c>
      <c r="I574" s="2959">
        <v>121.49</v>
      </c>
    </row>
    <row r="575" spans="1:9" ht="18.75" customHeight="1">
      <c r="A575" s="2958">
        <v>574</v>
      </c>
      <c r="B575" s="2959" t="s">
        <v>3122</v>
      </c>
      <c r="C575" s="2959" t="s">
        <v>3463</v>
      </c>
      <c r="D575" s="2959" t="s">
        <v>3701</v>
      </c>
      <c r="E575" s="2959" t="s">
        <v>3125</v>
      </c>
      <c r="F575" s="2960">
        <v>902</v>
      </c>
      <c r="G575" s="2959" t="s">
        <v>3738</v>
      </c>
      <c r="H575" s="2959">
        <v>120.78</v>
      </c>
      <c r="I575" s="2959">
        <v>92.88</v>
      </c>
    </row>
    <row r="576" spans="1:9" ht="18.75" customHeight="1">
      <c r="A576" s="2958">
        <v>575</v>
      </c>
      <c r="B576" s="2959" t="s">
        <v>3122</v>
      </c>
      <c r="C576" s="2959" t="s">
        <v>3463</v>
      </c>
      <c r="D576" s="2959" t="s">
        <v>3701</v>
      </c>
      <c r="E576" s="2959" t="s">
        <v>3125</v>
      </c>
      <c r="F576" s="2960">
        <v>903</v>
      </c>
      <c r="G576" s="2959" t="s">
        <v>3739</v>
      </c>
      <c r="H576" s="2959">
        <v>158.16</v>
      </c>
      <c r="I576" s="2959">
        <v>121.63</v>
      </c>
    </row>
    <row r="577" spans="1:9" ht="18.75" customHeight="1">
      <c r="A577" s="2958">
        <v>576</v>
      </c>
      <c r="B577" s="2959" t="s">
        <v>3122</v>
      </c>
      <c r="C577" s="2959" t="s">
        <v>3463</v>
      </c>
      <c r="D577" s="2959" t="s">
        <v>3701</v>
      </c>
      <c r="E577" s="2959" t="s">
        <v>3125</v>
      </c>
      <c r="F577" s="2960">
        <v>904</v>
      </c>
      <c r="G577" s="2959" t="s">
        <v>3740</v>
      </c>
      <c r="H577" s="2959">
        <v>117.62</v>
      </c>
      <c r="I577" s="2959">
        <v>90.45</v>
      </c>
    </row>
    <row r="578" spans="1:9" ht="18.75" customHeight="1">
      <c r="A578" s="2958">
        <v>577</v>
      </c>
      <c r="B578" s="2959" t="s">
        <v>3122</v>
      </c>
      <c r="C578" s="2959" t="s">
        <v>3463</v>
      </c>
      <c r="D578" s="2959" t="s">
        <v>3701</v>
      </c>
      <c r="E578" s="2959" t="s">
        <v>3125</v>
      </c>
      <c r="F578" s="2960">
        <v>905</v>
      </c>
      <c r="G578" s="2959" t="s">
        <v>3741</v>
      </c>
      <c r="H578" s="2959">
        <v>117.33</v>
      </c>
      <c r="I578" s="2959">
        <v>90.23</v>
      </c>
    </row>
    <row r="579" spans="1:9" ht="18.75" customHeight="1">
      <c r="A579" s="2958">
        <v>578</v>
      </c>
      <c r="B579" s="2959" t="s">
        <v>3122</v>
      </c>
      <c r="C579" s="2959" t="s">
        <v>3463</v>
      </c>
      <c r="D579" s="2959" t="s">
        <v>3701</v>
      </c>
      <c r="E579" s="2959" t="s">
        <v>3125</v>
      </c>
      <c r="F579" s="2960">
        <v>1001</v>
      </c>
      <c r="G579" s="2959" t="s">
        <v>3742</v>
      </c>
      <c r="H579" s="2959">
        <v>157.97999999999999</v>
      </c>
      <c r="I579" s="2959">
        <v>121.49</v>
      </c>
    </row>
    <row r="580" spans="1:9" ht="18.75" customHeight="1">
      <c r="A580" s="2958">
        <v>579</v>
      </c>
      <c r="B580" s="2959" t="s">
        <v>3122</v>
      </c>
      <c r="C580" s="2959" t="s">
        <v>3463</v>
      </c>
      <c r="D580" s="2959" t="s">
        <v>3701</v>
      </c>
      <c r="E580" s="2959" t="s">
        <v>3125</v>
      </c>
      <c r="F580" s="2960">
        <v>1002</v>
      </c>
      <c r="G580" s="2959" t="s">
        <v>3743</v>
      </c>
      <c r="H580" s="2959">
        <v>120.78</v>
      </c>
      <c r="I580" s="2959">
        <v>92.88</v>
      </c>
    </row>
    <row r="581" spans="1:9" ht="18.75" customHeight="1">
      <c r="A581" s="2958">
        <v>580</v>
      </c>
      <c r="B581" s="2959" t="s">
        <v>3122</v>
      </c>
      <c r="C581" s="2959" t="s">
        <v>3463</v>
      </c>
      <c r="D581" s="2959" t="s">
        <v>3701</v>
      </c>
      <c r="E581" s="2959" t="s">
        <v>3125</v>
      </c>
      <c r="F581" s="2960">
        <v>1003</v>
      </c>
      <c r="G581" s="2959" t="s">
        <v>3744</v>
      </c>
      <c r="H581" s="2959">
        <v>158.16</v>
      </c>
      <c r="I581" s="2959">
        <v>121.63</v>
      </c>
    </row>
    <row r="582" spans="1:9" ht="18.75" customHeight="1">
      <c r="A582" s="2958">
        <v>581</v>
      </c>
      <c r="B582" s="2959" t="s">
        <v>3122</v>
      </c>
      <c r="C582" s="2959" t="s">
        <v>3463</v>
      </c>
      <c r="D582" s="2959" t="s">
        <v>3701</v>
      </c>
      <c r="E582" s="2959" t="s">
        <v>3125</v>
      </c>
      <c r="F582" s="2960">
        <v>1004</v>
      </c>
      <c r="G582" s="2959" t="s">
        <v>3745</v>
      </c>
      <c r="H582" s="2959">
        <v>117.62</v>
      </c>
      <c r="I582" s="2959">
        <v>90.45</v>
      </c>
    </row>
    <row r="583" spans="1:9" ht="18.75" customHeight="1">
      <c r="A583" s="2958">
        <v>582</v>
      </c>
      <c r="B583" s="2959" t="s">
        <v>3122</v>
      </c>
      <c r="C583" s="2959" t="s">
        <v>3463</v>
      </c>
      <c r="D583" s="2959" t="s">
        <v>3701</v>
      </c>
      <c r="E583" s="2959" t="s">
        <v>3125</v>
      </c>
      <c r="F583" s="2960">
        <v>1005</v>
      </c>
      <c r="G583" s="2959" t="s">
        <v>3746</v>
      </c>
      <c r="H583" s="2959">
        <v>117.33</v>
      </c>
      <c r="I583" s="2959">
        <v>90.23</v>
      </c>
    </row>
    <row r="584" spans="1:9" ht="18.75" customHeight="1">
      <c r="A584" s="2958">
        <v>583</v>
      </c>
      <c r="B584" s="2959" t="s">
        <v>3122</v>
      </c>
      <c r="C584" s="2959" t="s">
        <v>3463</v>
      </c>
      <c r="D584" s="2959" t="s">
        <v>3701</v>
      </c>
      <c r="E584" s="2959" t="s">
        <v>3125</v>
      </c>
      <c r="F584" s="2960">
        <v>1101</v>
      </c>
      <c r="G584" s="2959" t="s">
        <v>3747</v>
      </c>
      <c r="H584" s="2959">
        <v>157.97999999999999</v>
      </c>
      <c r="I584" s="2959">
        <v>121.49</v>
      </c>
    </row>
    <row r="585" spans="1:9" ht="18.75" customHeight="1">
      <c r="A585" s="2958">
        <v>584</v>
      </c>
      <c r="B585" s="2959" t="s">
        <v>3122</v>
      </c>
      <c r="C585" s="2959" t="s">
        <v>3463</v>
      </c>
      <c r="D585" s="2959" t="s">
        <v>3701</v>
      </c>
      <c r="E585" s="2959" t="s">
        <v>3125</v>
      </c>
      <c r="F585" s="2960">
        <v>1102</v>
      </c>
      <c r="G585" s="2959" t="s">
        <v>3748</v>
      </c>
      <c r="H585" s="2959">
        <v>120.78</v>
      </c>
      <c r="I585" s="2959">
        <v>92.88</v>
      </c>
    </row>
    <row r="586" spans="1:9" ht="18.75" customHeight="1">
      <c r="A586" s="2958">
        <v>585</v>
      </c>
      <c r="B586" s="2959" t="s">
        <v>3122</v>
      </c>
      <c r="C586" s="2959" t="s">
        <v>3463</v>
      </c>
      <c r="D586" s="2959" t="s">
        <v>3701</v>
      </c>
      <c r="E586" s="2959" t="s">
        <v>3125</v>
      </c>
      <c r="F586" s="2960">
        <v>1103</v>
      </c>
      <c r="G586" s="2959" t="s">
        <v>3749</v>
      </c>
      <c r="H586" s="2959">
        <v>158.16</v>
      </c>
      <c r="I586" s="2959">
        <v>121.63</v>
      </c>
    </row>
    <row r="587" spans="1:9" ht="18.75" customHeight="1">
      <c r="A587" s="2958">
        <v>586</v>
      </c>
      <c r="B587" s="2959" t="s">
        <v>3122</v>
      </c>
      <c r="C587" s="2959" t="s">
        <v>3463</v>
      </c>
      <c r="D587" s="2959" t="s">
        <v>3701</v>
      </c>
      <c r="E587" s="2959" t="s">
        <v>3125</v>
      </c>
      <c r="F587" s="2960">
        <v>1104</v>
      </c>
      <c r="G587" s="2959" t="s">
        <v>3750</v>
      </c>
      <c r="H587" s="2959">
        <v>117.62</v>
      </c>
      <c r="I587" s="2959">
        <v>90.45</v>
      </c>
    </row>
    <row r="588" spans="1:9" ht="18.75" customHeight="1">
      <c r="A588" s="2958">
        <v>587</v>
      </c>
      <c r="B588" s="2959" t="s">
        <v>3122</v>
      </c>
      <c r="C588" s="2959" t="s">
        <v>3463</v>
      </c>
      <c r="D588" s="2959" t="s">
        <v>3701</v>
      </c>
      <c r="E588" s="2959" t="s">
        <v>3125</v>
      </c>
      <c r="F588" s="2960">
        <v>1105</v>
      </c>
      <c r="G588" s="2959" t="s">
        <v>3751</v>
      </c>
      <c r="H588" s="2959">
        <v>117.33</v>
      </c>
      <c r="I588" s="2959">
        <v>90.23</v>
      </c>
    </row>
    <row r="589" spans="1:9" ht="18.75" customHeight="1">
      <c r="A589" s="2958">
        <v>588</v>
      </c>
      <c r="B589" s="2959" t="s">
        <v>3122</v>
      </c>
      <c r="C589" s="2959" t="s">
        <v>3463</v>
      </c>
      <c r="D589" s="2959" t="s">
        <v>3701</v>
      </c>
      <c r="E589" s="2959" t="s">
        <v>3125</v>
      </c>
      <c r="F589" s="2960">
        <v>1201</v>
      </c>
      <c r="G589" s="2959" t="s">
        <v>3752</v>
      </c>
      <c r="H589" s="2959">
        <v>157.97999999999999</v>
      </c>
      <c r="I589" s="2959">
        <v>121.49</v>
      </c>
    </row>
    <row r="590" spans="1:9" ht="18.75" customHeight="1">
      <c r="A590" s="2958">
        <v>589</v>
      </c>
      <c r="B590" s="2959" t="s">
        <v>3122</v>
      </c>
      <c r="C590" s="2959" t="s">
        <v>3463</v>
      </c>
      <c r="D590" s="2959" t="s">
        <v>3701</v>
      </c>
      <c r="E590" s="2959" t="s">
        <v>3125</v>
      </c>
      <c r="F590" s="2960">
        <v>1202</v>
      </c>
      <c r="G590" s="2959" t="s">
        <v>3753</v>
      </c>
      <c r="H590" s="2959">
        <v>120.78</v>
      </c>
      <c r="I590" s="2959">
        <v>92.88</v>
      </c>
    </row>
    <row r="591" spans="1:9" ht="18.75" customHeight="1">
      <c r="A591" s="2958">
        <v>590</v>
      </c>
      <c r="B591" s="2959" t="s">
        <v>3122</v>
      </c>
      <c r="C591" s="2959" t="s">
        <v>3463</v>
      </c>
      <c r="D591" s="2959" t="s">
        <v>3701</v>
      </c>
      <c r="E591" s="2959" t="s">
        <v>3125</v>
      </c>
      <c r="F591" s="2960">
        <v>1203</v>
      </c>
      <c r="G591" s="2959" t="s">
        <v>3754</v>
      </c>
      <c r="H591" s="2959">
        <v>158.16</v>
      </c>
      <c r="I591" s="2959">
        <v>121.63</v>
      </c>
    </row>
    <row r="592" spans="1:9" ht="18.75" customHeight="1">
      <c r="A592" s="2958">
        <v>591</v>
      </c>
      <c r="B592" s="2959" t="s">
        <v>3122</v>
      </c>
      <c r="C592" s="2959" t="s">
        <v>3463</v>
      </c>
      <c r="D592" s="2959" t="s">
        <v>3701</v>
      </c>
      <c r="E592" s="2959" t="s">
        <v>3125</v>
      </c>
      <c r="F592" s="2960">
        <v>1204</v>
      </c>
      <c r="G592" s="2959" t="s">
        <v>3755</v>
      </c>
      <c r="H592" s="2959">
        <v>117.62</v>
      </c>
      <c r="I592" s="2959">
        <v>90.45</v>
      </c>
    </row>
    <row r="593" spans="1:9" ht="18.75" customHeight="1">
      <c r="A593" s="2958">
        <v>592</v>
      </c>
      <c r="B593" s="2959" t="s">
        <v>3122</v>
      </c>
      <c r="C593" s="2959" t="s">
        <v>3463</v>
      </c>
      <c r="D593" s="2959" t="s">
        <v>3701</v>
      </c>
      <c r="E593" s="2959" t="s">
        <v>3125</v>
      </c>
      <c r="F593" s="2960">
        <v>1205</v>
      </c>
      <c r="G593" s="2959" t="s">
        <v>3756</v>
      </c>
      <c r="H593" s="2959">
        <v>117.33</v>
      </c>
      <c r="I593" s="2959">
        <v>90.23</v>
      </c>
    </row>
    <row r="594" spans="1:9" ht="18.75" customHeight="1">
      <c r="A594" s="2958">
        <v>593</v>
      </c>
      <c r="B594" s="2959" t="s">
        <v>3122</v>
      </c>
      <c r="C594" s="2959" t="s">
        <v>3463</v>
      </c>
      <c r="D594" s="2959" t="s">
        <v>3701</v>
      </c>
      <c r="E594" s="2959" t="s">
        <v>3125</v>
      </c>
      <c r="F594" s="2960">
        <v>1301</v>
      </c>
      <c r="G594" s="2959" t="s">
        <v>3757</v>
      </c>
      <c r="H594" s="2959">
        <v>157.97999999999999</v>
      </c>
      <c r="I594" s="2959">
        <v>121.49</v>
      </c>
    </row>
    <row r="595" spans="1:9" ht="18.75" customHeight="1">
      <c r="A595" s="2958">
        <v>594</v>
      </c>
      <c r="B595" s="2959" t="s">
        <v>3122</v>
      </c>
      <c r="C595" s="2959" t="s">
        <v>3463</v>
      </c>
      <c r="D595" s="2959" t="s">
        <v>3701</v>
      </c>
      <c r="E595" s="2959" t="s">
        <v>3125</v>
      </c>
      <c r="F595" s="2960">
        <v>1302</v>
      </c>
      <c r="G595" s="2959" t="s">
        <v>3758</v>
      </c>
      <c r="H595" s="2959">
        <v>120.78</v>
      </c>
      <c r="I595" s="2959">
        <v>92.88</v>
      </c>
    </row>
    <row r="596" spans="1:9" ht="18.75" customHeight="1">
      <c r="A596" s="2958">
        <v>595</v>
      </c>
      <c r="B596" s="2959" t="s">
        <v>3122</v>
      </c>
      <c r="C596" s="2959" t="s">
        <v>3463</v>
      </c>
      <c r="D596" s="2959" t="s">
        <v>3701</v>
      </c>
      <c r="E596" s="2959" t="s">
        <v>3125</v>
      </c>
      <c r="F596" s="2960">
        <v>1303</v>
      </c>
      <c r="G596" s="2959" t="s">
        <v>3759</v>
      </c>
      <c r="H596" s="2959">
        <v>158.16</v>
      </c>
      <c r="I596" s="2959">
        <v>121.63</v>
      </c>
    </row>
    <row r="597" spans="1:9" ht="18.75" customHeight="1">
      <c r="A597" s="2958">
        <v>596</v>
      </c>
      <c r="B597" s="2959" t="s">
        <v>3122</v>
      </c>
      <c r="C597" s="2959" t="s">
        <v>3463</v>
      </c>
      <c r="D597" s="2959" t="s">
        <v>3701</v>
      </c>
      <c r="E597" s="2959" t="s">
        <v>3125</v>
      </c>
      <c r="F597" s="2960">
        <v>1304</v>
      </c>
      <c r="G597" s="2959" t="s">
        <v>3760</v>
      </c>
      <c r="H597" s="2959">
        <v>117.62</v>
      </c>
      <c r="I597" s="2959">
        <v>90.45</v>
      </c>
    </row>
    <row r="598" spans="1:9" ht="18.75" customHeight="1">
      <c r="A598" s="2958">
        <v>597</v>
      </c>
      <c r="B598" s="2959" t="s">
        <v>3122</v>
      </c>
      <c r="C598" s="2959" t="s">
        <v>3463</v>
      </c>
      <c r="D598" s="2959" t="s">
        <v>3701</v>
      </c>
      <c r="E598" s="2959" t="s">
        <v>3125</v>
      </c>
      <c r="F598" s="2960">
        <v>1305</v>
      </c>
      <c r="G598" s="2959" t="s">
        <v>3761</v>
      </c>
      <c r="H598" s="2959">
        <v>117.33</v>
      </c>
      <c r="I598" s="2959">
        <v>90.23</v>
      </c>
    </row>
    <row r="599" spans="1:9" ht="18.75" customHeight="1">
      <c r="A599" s="2958">
        <v>598</v>
      </c>
      <c r="B599" s="2959" t="s">
        <v>3122</v>
      </c>
      <c r="C599" s="2959" t="s">
        <v>3463</v>
      </c>
      <c r="D599" s="2959" t="s">
        <v>3701</v>
      </c>
      <c r="E599" s="2959" t="s">
        <v>3125</v>
      </c>
      <c r="F599" s="2960">
        <v>1401</v>
      </c>
      <c r="G599" s="2959" t="s">
        <v>3762</v>
      </c>
      <c r="H599" s="2959">
        <v>157.97999999999999</v>
      </c>
      <c r="I599" s="2959">
        <v>121.49</v>
      </c>
    </row>
    <row r="600" spans="1:9" ht="18.75" customHeight="1">
      <c r="A600" s="2958">
        <v>599</v>
      </c>
      <c r="B600" s="2959" t="s">
        <v>3122</v>
      </c>
      <c r="C600" s="2959" t="s">
        <v>3463</v>
      </c>
      <c r="D600" s="2959" t="s">
        <v>3701</v>
      </c>
      <c r="E600" s="2959" t="s">
        <v>3125</v>
      </c>
      <c r="F600" s="2960">
        <v>1402</v>
      </c>
      <c r="G600" s="2959" t="s">
        <v>3763</v>
      </c>
      <c r="H600" s="2959">
        <v>120.78</v>
      </c>
      <c r="I600" s="2959">
        <v>92.88</v>
      </c>
    </row>
    <row r="601" spans="1:9" ht="18.75" customHeight="1">
      <c r="A601" s="2958">
        <v>600</v>
      </c>
      <c r="B601" s="2959" t="s">
        <v>3122</v>
      </c>
      <c r="C601" s="2959" t="s">
        <v>3463</v>
      </c>
      <c r="D601" s="2959" t="s">
        <v>3701</v>
      </c>
      <c r="E601" s="2959" t="s">
        <v>3125</v>
      </c>
      <c r="F601" s="2960">
        <v>1403</v>
      </c>
      <c r="G601" s="2959" t="s">
        <v>3764</v>
      </c>
      <c r="H601" s="2959">
        <v>158.16</v>
      </c>
      <c r="I601" s="2959">
        <v>121.63</v>
      </c>
    </row>
    <row r="602" spans="1:9" ht="18.75" customHeight="1">
      <c r="A602" s="2958">
        <v>601</v>
      </c>
      <c r="B602" s="2959" t="s">
        <v>3122</v>
      </c>
      <c r="C602" s="2959" t="s">
        <v>3463</v>
      </c>
      <c r="D602" s="2959" t="s">
        <v>3701</v>
      </c>
      <c r="E602" s="2959" t="s">
        <v>3125</v>
      </c>
      <c r="F602" s="2960">
        <v>1404</v>
      </c>
      <c r="G602" s="2959" t="s">
        <v>3765</v>
      </c>
      <c r="H602" s="2959">
        <v>117.62</v>
      </c>
      <c r="I602" s="2959">
        <v>90.45</v>
      </c>
    </row>
    <row r="603" spans="1:9" ht="18.75" customHeight="1">
      <c r="A603" s="2958">
        <v>602</v>
      </c>
      <c r="B603" s="2959" t="s">
        <v>3122</v>
      </c>
      <c r="C603" s="2959" t="s">
        <v>3463</v>
      </c>
      <c r="D603" s="2959" t="s">
        <v>3701</v>
      </c>
      <c r="E603" s="2959" t="s">
        <v>3125</v>
      </c>
      <c r="F603" s="2960">
        <v>1405</v>
      </c>
      <c r="G603" s="2959" t="s">
        <v>3766</v>
      </c>
      <c r="H603" s="2959">
        <v>117.33</v>
      </c>
      <c r="I603" s="2959">
        <v>90.23</v>
      </c>
    </row>
    <row r="604" spans="1:9" ht="18.75" customHeight="1">
      <c r="A604" s="2958">
        <v>603</v>
      </c>
      <c r="B604" s="2959" t="s">
        <v>3122</v>
      </c>
      <c r="C604" s="2959" t="s">
        <v>3463</v>
      </c>
      <c r="D604" s="2959" t="s">
        <v>3701</v>
      </c>
      <c r="E604" s="2959" t="s">
        <v>3125</v>
      </c>
      <c r="F604" s="2960">
        <v>1501</v>
      </c>
      <c r="G604" s="2959" t="s">
        <v>3767</v>
      </c>
      <c r="H604" s="2959">
        <v>157.97999999999999</v>
      </c>
      <c r="I604" s="2959">
        <v>121.49</v>
      </c>
    </row>
    <row r="605" spans="1:9" ht="18.75" customHeight="1">
      <c r="A605" s="2958">
        <v>604</v>
      </c>
      <c r="B605" s="2959" t="s">
        <v>3122</v>
      </c>
      <c r="C605" s="2959" t="s">
        <v>3463</v>
      </c>
      <c r="D605" s="2959" t="s">
        <v>3701</v>
      </c>
      <c r="E605" s="2959" t="s">
        <v>3125</v>
      </c>
      <c r="F605" s="2960">
        <v>1502</v>
      </c>
      <c r="G605" s="2959" t="s">
        <v>3768</v>
      </c>
      <c r="H605" s="2959">
        <v>120.78</v>
      </c>
      <c r="I605" s="2959">
        <v>92.88</v>
      </c>
    </row>
    <row r="606" spans="1:9" ht="18.75" customHeight="1">
      <c r="A606" s="2958">
        <v>605</v>
      </c>
      <c r="B606" s="2959" t="s">
        <v>3122</v>
      </c>
      <c r="C606" s="2959" t="s">
        <v>3463</v>
      </c>
      <c r="D606" s="2959" t="s">
        <v>3701</v>
      </c>
      <c r="E606" s="2959" t="s">
        <v>3125</v>
      </c>
      <c r="F606" s="2960">
        <v>1503</v>
      </c>
      <c r="G606" s="2959" t="s">
        <v>3769</v>
      </c>
      <c r="H606" s="2959">
        <v>158.16</v>
      </c>
      <c r="I606" s="2959">
        <v>121.63</v>
      </c>
    </row>
    <row r="607" spans="1:9" ht="18.75" customHeight="1">
      <c r="A607" s="2958">
        <v>606</v>
      </c>
      <c r="B607" s="2959" t="s">
        <v>3122</v>
      </c>
      <c r="C607" s="2959" t="s">
        <v>3463</v>
      </c>
      <c r="D607" s="2959" t="s">
        <v>3701</v>
      </c>
      <c r="E607" s="2959" t="s">
        <v>3125</v>
      </c>
      <c r="F607" s="2960">
        <v>1504</v>
      </c>
      <c r="G607" s="2959" t="s">
        <v>3770</v>
      </c>
      <c r="H607" s="2959">
        <v>117.62</v>
      </c>
      <c r="I607" s="2959">
        <v>90.45</v>
      </c>
    </row>
    <row r="608" spans="1:9" ht="18.75" customHeight="1">
      <c r="A608" s="2958">
        <v>607</v>
      </c>
      <c r="B608" s="2959" t="s">
        <v>3122</v>
      </c>
      <c r="C608" s="2959" t="s">
        <v>3463</v>
      </c>
      <c r="D608" s="2959" t="s">
        <v>3701</v>
      </c>
      <c r="E608" s="2959" t="s">
        <v>3125</v>
      </c>
      <c r="F608" s="2960">
        <v>1505</v>
      </c>
      <c r="G608" s="2959" t="s">
        <v>3771</v>
      </c>
      <c r="H608" s="2959">
        <v>117.33</v>
      </c>
      <c r="I608" s="2959">
        <v>90.23</v>
      </c>
    </row>
    <row r="609" spans="1:9" ht="18.75" customHeight="1">
      <c r="A609" s="2958">
        <v>608</v>
      </c>
      <c r="B609" s="2959" t="s">
        <v>3122</v>
      </c>
      <c r="C609" s="2959" t="s">
        <v>3463</v>
      </c>
      <c r="D609" s="2959" t="s">
        <v>3701</v>
      </c>
      <c r="E609" s="2959" t="s">
        <v>3125</v>
      </c>
      <c r="F609" s="2960">
        <v>1601</v>
      </c>
      <c r="G609" s="2959" t="s">
        <v>3772</v>
      </c>
      <c r="H609" s="2959">
        <v>157.97999999999999</v>
      </c>
      <c r="I609" s="2959">
        <v>121.49</v>
      </c>
    </row>
    <row r="610" spans="1:9" ht="18.75" customHeight="1">
      <c r="A610" s="2958">
        <v>609</v>
      </c>
      <c r="B610" s="2959" t="s">
        <v>3122</v>
      </c>
      <c r="C610" s="2959" t="s">
        <v>3463</v>
      </c>
      <c r="D610" s="2959" t="s">
        <v>3701</v>
      </c>
      <c r="E610" s="2959" t="s">
        <v>3125</v>
      </c>
      <c r="F610" s="2960">
        <v>1602</v>
      </c>
      <c r="G610" s="2959" t="s">
        <v>3773</v>
      </c>
      <c r="H610" s="2959">
        <v>120.78</v>
      </c>
      <c r="I610" s="2959">
        <v>92.88</v>
      </c>
    </row>
    <row r="611" spans="1:9" ht="18.75" customHeight="1">
      <c r="A611" s="2958">
        <v>610</v>
      </c>
      <c r="B611" s="2959" t="s">
        <v>3122</v>
      </c>
      <c r="C611" s="2959" t="s">
        <v>3463</v>
      </c>
      <c r="D611" s="2959" t="s">
        <v>3701</v>
      </c>
      <c r="E611" s="2959" t="s">
        <v>3125</v>
      </c>
      <c r="F611" s="2960">
        <v>1603</v>
      </c>
      <c r="G611" s="2959" t="s">
        <v>3774</v>
      </c>
      <c r="H611" s="2959">
        <v>158.16</v>
      </c>
      <c r="I611" s="2959">
        <v>121.63</v>
      </c>
    </row>
    <row r="612" spans="1:9" ht="18.75" customHeight="1">
      <c r="A612" s="2958">
        <v>611</v>
      </c>
      <c r="B612" s="2959" t="s">
        <v>3122</v>
      </c>
      <c r="C612" s="2959" t="s">
        <v>3463</v>
      </c>
      <c r="D612" s="2959" t="s">
        <v>3701</v>
      </c>
      <c r="E612" s="2959" t="s">
        <v>3125</v>
      </c>
      <c r="F612" s="2960">
        <v>1604</v>
      </c>
      <c r="G612" s="2959" t="s">
        <v>3775</v>
      </c>
      <c r="H612" s="2959">
        <v>117.62</v>
      </c>
      <c r="I612" s="2959">
        <v>90.45</v>
      </c>
    </row>
    <row r="613" spans="1:9" ht="18.75" customHeight="1">
      <c r="A613" s="2958">
        <v>612</v>
      </c>
      <c r="B613" s="2959" t="s">
        <v>3122</v>
      </c>
      <c r="C613" s="2959" t="s">
        <v>3463</v>
      </c>
      <c r="D613" s="2959" t="s">
        <v>3701</v>
      </c>
      <c r="E613" s="2959" t="s">
        <v>3125</v>
      </c>
      <c r="F613" s="2960">
        <v>1605</v>
      </c>
      <c r="G613" s="2959" t="s">
        <v>3776</v>
      </c>
      <c r="H613" s="2959">
        <v>117.33</v>
      </c>
      <c r="I613" s="2959">
        <v>90.23</v>
      </c>
    </row>
    <row r="614" spans="1:9" ht="18.75" customHeight="1">
      <c r="A614" s="2958">
        <v>613</v>
      </c>
      <c r="B614" s="2959" t="s">
        <v>3122</v>
      </c>
      <c r="C614" s="2959" t="s">
        <v>3463</v>
      </c>
      <c r="D614" s="2959" t="s">
        <v>3701</v>
      </c>
      <c r="E614" s="2959" t="s">
        <v>3125</v>
      </c>
      <c r="F614" s="2960">
        <v>1701</v>
      </c>
      <c r="G614" s="2959" t="s">
        <v>3777</v>
      </c>
      <c r="H614" s="2959">
        <v>157.97999999999999</v>
      </c>
      <c r="I614" s="2959">
        <v>121.49</v>
      </c>
    </row>
    <row r="615" spans="1:9" ht="18.75" customHeight="1">
      <c r="A615" s="2958">
        <v>614</v>
      </c>
      <c r="B615" s="2959" t="s">
        <v>3122</v>
      </c>
      <c r="C615" s="2959" t="s">
        <v>3463</v>
      </c>
      <c r="D615" s="2959" t="s">
        <v>3701</v>
      </c>
      <c r="E615" s="2959" t="s">
        <v>3125</v>
      </c>
      <c r="F615" s="2960">
        <v>1702</v>
      </c>
      <c r="G615" s="2959" t="s">
        <v>3778</v>
      </c>
      <c r="H615" s="2959">
        <v>120.78</v>
      </c>
      <c r="I615" s="2959">
        <v>92.88</v>
      </c>
    </row>
    <row r="616" spans="1:9" ht="18.75" customHeight="1">
      <c r="A616" s="2958">
        <v>615</v>
      </c>
      <c r="B616" s="2959" t="s">
        <v>3122</v>
      </c>
      <c r="C616" s="2959" t="s">
        <v>3463</v>
      </c>
      <c r="D616" s="2959" t="s">
        <v>3701</v>
      </c>
      <c r="E616" s="2959" t="s">
        <v>3125</v>
      </c>
      <c r="F616" s="2960">
        <v>1703</v>
      </c>
      <c r="G616" s="2959" t="s">
        <v>3779</v>
      </c>
      <c r="H616" s="2959">
        <v>158.16</v>
      </c>
      <c r="I616" s="2959">
        <v>121.63</v>
      </c>
    </row>
    <row r="617" spans="1:9" ht="18.75" customHeight="1">
      <c r="A617" s="2958">
        <v>616</v>
      </c>
      <c r="B617" s="2959" t="s">
        <v>3122</v>
      </c>
      <c r="C617" s="2959" t="s">
        <v>3463</v>
      </c>
      <c r="D617" s="2959" t="s">
        <v>3701</v>
      </c>
      <c r="E617" s="2959" t="s">
        <v>3125</v>
      </c>
      <c r="F617" s="2960">
        <v>1704</v>
      </c>
      <c r="G617" s="2959" t="s">
        <v>3780</v>
      </c>
      <c r="H617" s="2959">
        <v>117.62</v>
      </c>
      <c r="I617" s="2959">
        <v>90.45</v>
      </c>
    </row>
    <row r="618" spans="1:9" ht="18.75" customHeight="1">
      <c r="A618" s="2958">
        <v>617</v>
      </c>
      <c r="B618" s="2959" t="s">
        <v>3122</v>
      </c>
      <c r="C618" s="2959" t="s">
        <v>3463</v>
      </c>
      <c r="D618" s="2959" t="s">
        <v>3701</v>
      </c>
      <c r="E618" s="2959" t="s">
        <v>3125</v>
      </c>
      <c r="F618" s="2960">
        <v>1705</v>
      </c>
      <c r="G618" s="2959" t="s">
        <v>3781</v>
      </c>
      <c r="H618" s="2959">
        <v>117.33</v>
      </c>
      <c r="I618" s="2959">
        <v>90.23</v>
      </c>
    </row>
    <row r="619" spans="1:9" ht="18.75" customHeight="1">
      <c r="A619" s="2958">
        <v>618</v>
      </c>
      <c r="B619" s="2959" t="s">
        <v>3122</v>
      </c>
      <c r="C619" s="2959" t="s">
        <v>3463</v>
      </c>
      <c r="D619" s="2959" t="s">
        <v>3701</v>
      </c>
      <c r="E619" s="2959" t="s">
        <v>3125</v>
      </c>
      <c r="F619" s="2960">
        <v>1801</v>
      </c>
      <c r="G619" s="2959" t="s">
        <v>3782</v>
      </c>
      <c r="H619" s="2959">
        <v>157.97999999999999</v>
      </c>
      <c r="I619" s="2959">
        <v>121.49</v>
      </c>
    </row>
    <row r="620" spans="1:9" ht="18.75" customHeight="1">
      <c r="A620" s="2958">
        <v>619</v>
      </c>
      <c r="B620" s="2959" t="s">
        <v>3122</v>
      </c>
      <c r="C620" s="2959" t="s">
        <v>3463</v>
      </c>
      <c r="D620" s="2959" t="s">
        <v>3701</v>
      </c>
      <c r="E620" s="2959" t="s">
        <v>3125</v>
      </c>
      <c r="F620" s="2960">
        <v>1802</v>
      </c>
      <c r="G620" s="2959" t="s">
        <v>3783</v>
      </c>
      <c r="H620" s="2959">
        <v>120.78</v>
      </c>
      <c r="I620" s="2959">
        <v>92.88</v>
      </c>
    </row>
    <row r="621" spans="1:9" ht="18.75" customHeight="1">
      <c r="A621" s="2958">
        <v>620</v>
      </c>
      <c r="B621" s="2959" t="s">
        <v>3122</v>
      </c>
      <c r="C621" s="2959" t="s">
        <v>3463</v>
      </c>
      <c r="D621" s="2959" t="s">
        <v>3701</v>
      </c>
      <c r="E621" s="2959" t="s">
        <v>3125</v>
      </c>
      <c r="F621" s="2960">
        <v>1803</v>
      </c>
      <c r="G621" s="2959" t="s">
        <v>3784</v>
      </c>
      <c r="H621" s="2959">
        <v>158.16</v>
      </c>
      <c r="I621" s="2959">
        <v>121.63</v>
      </c>
    </row>
    <row r="622" spans="1:9" ht="18.75" customHeight="1">
      <c r="A622" s="2958">
        <v>621</v>
      </c>
      <c r="B622" s="2959" t="s">
        <v>3122</v>
      </c>
      <c r="C622" s="2959" t="s">
        <v>3463</v>
      </c>
      <c r="D622" s="2959" t="s">
        <v>3701</v>
      </c>
      <c r="E622" s="2959" t="s">
        <v>3125</v>
      </c>
      <c r="F622" s="2960">
        <v>1804</v>
      </c>
      <c r="G622" s="2959" t="s">
        <v>3785</v>
      </c>
      <c r="H622" s="2959">
        <v>117.62</v>
      </c>
      <c r="I622" s="2959">
        <v>90.45</v>
      </c>
    </row>
    <row r="623" spans="1:9" ht="18.75" customHeight="1">
      <c r="A623" s="2958">
        <v>622</v>
      </c>
      <c r="B623" s="2959" t="s">
        <v>3122</v>
      </c>
      <c r="C623" s="2959" t="s">
        <v>3463</v>
      </c>
      <c r="D623" s="2959" t="s">
        <v>3701</v>
      </c>
      <c r="E623" s="2959" t="s">
        <v>3125</v>
      </c>
      <c r="F623" s="2960">
        <v>1805</v>
      </c>
      <c r="G623" s="2959" t="s">
        <v>3786</v>
      </c>
      <c r="H623" s="2959">
        <v>117.33</v>
      </c>
      <c r="I623" s="2959">
        <v>90.23</v>
      </c>
    </row>
    <row r="624" spans="1:9" ht="18.75" customHeight="1">
      <c r="A624" s="2958">
        <v>623</v>
      </c>
      <c r="B624" s="2959" t="s">
        <v>3122</v>
      </c>
      <c r="C624" s="2959" t="s">
        <v>3463</v>
      </c>
      <c r="D624" s="2959" t="s">
        <v>3701</v>
      </c>
      <c r="E624" s="2959" t="s">
        <v>3125</v>
      </c>
      <c r="F624" s="2960">
        <v>1901</v>
      </c>
      <c r="G624" s="2959" t="s">
        <v>3787</v>
      </c>
      <c r="H624" s="2959">
        <v>157.97999999999999</v>
      </c>
      <c r="I624" s="2959">
        <v>121.49</v>
      </c>
    </row>
    <row r="625" spans="1:9" ht="18.75" customHeight="1">
      <c r="A625" s="2958">
        <v>624</v>
      </c>
      <c r="B625" s="2959" t="s">
        <v>3122</v>
      </c>
      <c r="C625" s="2959" t="s">
        <v>3463</v>
      </c>
      <c r="D625" s="2959" t="s">
        <v>3701</v>
      </c>
      <c r="E625" s="2959" t="s">
        <v>3125</v>
      </c>
      <c r="F625" s="2960">
        <v>1902</v>
      </c>
      <c r="G625" s="2959" t="s">
        <v>3788</v>
      </c>
      <c r="H625" s="2959">
        <v>120.78</v>
      </c>
      <c r="I625" s="2959">
        <v>92.88</v>
      </c>
    </row>
    <row r="626" spans="1:9" ht="18.75" customHeight="1">
      <c r="A626" s="2958">
        <v>625</v>
      </c>
      <c r="B626" s="2959" t="s">
        <v>3122</v>
      </c>
      <c r="C626" s="2959" t="s">
        <v>3463</v>
      </c>
      <c r="D626" s="2959" t="s">
        <v>3701</v>
      </c>
      <c r="E626" s="2959" t="s">
        <v>3125</v>
      </c>
      <c r="F626" s="2960">
        <v>1903</v>
      </c>
      <c r="G626" s="2959" t="s">
        <v>3789</v>
      </c>
      <c r="H626" s="2959">
        <v>158.16</v>
      </c>
      <c r="I626" s="2959">
        <v>121.63</v>
      </c>
    </row>
    <row r="627" spans="1:9" ht="18.75" customHeight="1">
      <c r="A627" s="2958">
        <v>626</v>
      </c>
      <c r="B627" s="2959" t="s">
        <v>3122</v>
      </c>
      <c r="C627" s="2959" t="s">
        <v>3463</v>
      </c>
      <c r="D627" s="2959" t="s">
        <v>3701</v>
      </c>
      <c r="E627" s="2959" t="s">
        <v>3125</v>
      </c>
      <c r="F627" s="2960">
        <v>1904</v>
      </c>
      <c r="G627" s="2959" t="s">
        <v>3790</v>
      </c>
      <c r="H627" s="2959">
        <v>117.62</v>
      </c>
      <c r="I627" s="2959">
        <v>90.45</v>
      </c>
    </row>
    <row r="628" spans="1:9" ht="18.75" customHeight="1">
      <c r="A628" s="2958">
        <v>627</v>
      </c>
      <c r="B628" s="2959" t="s">
        <v>3122</v>
      </c>
      <c r="C628" s="2959" t="s">
        <v>3463</v>
      </c>
      <c r="D628" s="2959" t="s">
        <v>3701</v>
      </c>
      <c r="E628" s="2959" t="s">
        <v>3125</v>
      </c>
      <c r="F628" s="2960">
        <v>1905</v>
      </c>
      <c r="G628" s="2959" t="s">
        <v>3791</v>
      </c>
      <c r="H628" s="2959">
        <v>117.33</v>
      </c>
      <c r="I628" s="2959">
        <v>90.23</v>
      </c>
    </row>
    <row r="629" spans="1:9" ht="18.75" customHeight="1">
      <c r="A629" s="2958">
        <v>628</v>
      </c>
      <c r="B629" s="2959" t="s">
        <v>3122</v>
      </c>
      <c r="C629" s="2959" t="s">
        <v>3463</v>
      </c>
      <c r="D629" s="2959" t="s">
        <v>3701</v>
      </c>
      <c r="E629" s="2959" t="s">
        <v>3125</v>
      </c>
      <c r="F629" s="2960">
        <v>2001</v>
      </c>
      <c r="G629" s="2959" t="s">
        <v>3792</v>
      </c>
      <c r="H629" s="2959">
        <v>159.24</v>
      </c>
      <c r="I629" s="2959">
        <v>122.46</v>
      </c>
    </row>
    <row r="630" spans="1:9" ht="18.75" customHeight="1">
      <c r="A630" s="2958">
        <v>629</v>
      </c>
      <c r="B630" s="2959" t="s">
        <v>3122</v>
      </c>
      <c r="C630" s="2959" t="s">
        <v>3463</v>
      </c>
      <c r="D630" s="2959" t="s">
        <v>3701</v>
      </c>
      <c r="E630" s="2959" t="s">
        <v>3125</v>
      </c>
      <c r="F630" s="2960">
        <v>2002</v>
      </c>
      <c r="G630" s="2959" t="s">
        <v>3793</v>
      </c>
      <c r="H630" s="2959">
        <v>121.93</v>
      </c>
      <c r="I630" s="2959">
        <v>93.77</v>
      </c>
    </row>
    <row r="631" spans="1:9" ht="18.75" customHeight="1">
      <c r="A631" s="2958">
        <v>630</v>
      </c>
      <c r="B631" s="2959" t="s">
        <v>3122</v>
      </c>
      <c r="C631" s="2959" t="s">
        <v>3463</v>
      </c>
      <c r="D631" s="2959" t="s">
        <v>3701</v>
      </c>
      <c r="E631" s="2959" t="s">
        <v>3125</v>
      </c>
      <c r="F631" s="2960">
        <v>2003</v>
      </c>
      <c r="G631" s="2959" t="s">
        <v>3794</v>
      </c>
      <c r="H631" s="2959">
        <v>159.33000000000001</v>
      </c>
      <c r="I631" s="2959">
        <v>122.53</v>
      </c>
    </row>
    <row r="632" spans="1:9" ht="18.75" customHeight="1">
      <c r="A632" s="2958">
        <v>631</v>
      </c>
      <c r="B632" s="2959" t="s">
        <v>3122</v>
      </c>
      <c r="C632" s="2959" t="s">
        <v>3463</v>
      </c>
      <c r="D632" s="2959" t="s">
        <v>3701</v>
      </c>
      <c r="E632" s="2959" t="s">
        <v>3125</v>
      </c>
      <c r="F632" s="2960">
        <v>2004</v>
      </c>
      <c r="G632" s="2959" t="s">
        <v>3795</v>
      </c>
      <c r="H632" s="2959">
        <v>118.37</v>
      </c>
      <c r="I632" s="2959">
        <v>91.03</v>
      </c>
    </row>
    <row r="633" spans="1:9" ht="18.75" customHeight="1">
      <c r="A633" s="2958">
        <v>632</v>
      </c>
      <c r="B633" s="2959" t="s">
        <v>3122</v>
      </c>
      <c r="C633" s="2959" t="s">
        <v>3463</v>
      </c>
      <c r="D633" s="2959" t="s">
        <v>3701</v>
      </c>
      <c r="E633" s="2959" t="s">
        <v>3125</v>
      </c>
      <c r="F633" s="2960">
        <v>2005</v>
      </c>
      <c r="G633" s="2959" t="s">
        <v>3796</v>
      </c>
      <c r="H633" s="2959">
        <v>117.93</v>
      </c>
      <c r="I633" s="2959">
        <v>90.69</v>
      </c>
    </row>
    <row r="634" spans="1:9" ht="18.75" customHeight="1">
      <c r="A634" s="2958">
        <v>633</v>
      </c>
      <c r="B634" s="2959" t="s">
        <v>3122</v>
      </c>
      <c r="C634" s="2959" t="s">
        <v>3463</v>
      </c>
      <c r="D634" s="2959" t="s">
        <v>3701</v>
      </c>
      <c r="E634" s="2959" t="s">
        <v>3125</v>
      </c>
      <c r="F634" s="2960">
        <v>2101</v>
      </c>
      <c r="G634" s="2959" t="s">
        <v>3797</v>
      </c>
      <c r="H634" s="2959">
        <v>159.24</v>
      </c>
      <c r="I634" s="2959">
        <v>122.46</v>
      </c>
    </row>
    <row r="635" spans="1:9" ht="18.75" customHeight="1">
      <c r="A635" s="2958">
        <v>634</v>
      </c>
      <c r="B635" s="2959" t="s">
        <v>3122</v>
      </c>
      <c r="C635" s="2959" t="s">
        <v>3463</v>
      </c>
      <c r="D635" s="2959" t="s">
        <v>3701</v>
      </c>
      <c r="E635" s="2959" t="s">
        <v>3125</v>
      </c>
      <c r="F635" s="2960">
        <v>2102</v>
      </c>
      <c r="G635" s="2959" t="s">
        <v>3798</v>
      </c>
      <c r="H635" s="2959">
        <v>121.93</v>
      </c>
      <c r="I635" s="2959">
        <v>93.77</v>
      </c>
    </row>
    <row r="636" spans="1:9" ht="18.75" customHeight="1">
      <c r="A636" s="2958">
        <v>635</v>
      </c>
      <c r="B636" s="2959" t="s">
        <v>3122</v>
      </c>
      <c r="C636" s="2959" t="s">
        <v>3463</v>
      </c>
      <c r="D636" s="2959" t="s">
        <v>3701</v>
      </c>
      <c r="E636" s="2959" t="s">
        <v>3125</v>
      </c>
      <c r="F636" s="2960">
        <v>2103</v>
      </c>
      <c r="G636" s="2959" t="s">
        <v>3799</v>
      </c>
      <c r="H636" s="2959">
        <v>159.33000000000001</v>
      </c>
      <c r="I636" s="2959">
        <v>122.53</v>
      </c>
    </row>
    <row r="637" spans="1:9" ht="18.75" customHeight="1">
      <c r="A637" s="2958">
        <v>636</v>
      </c>
      <c r="B637" s="2959" t="s">
        <v>3122</v>
      </c>
      <c r="C637" s="2959" t="s">
        <v>3463</v>
      </c>
      <c r="D637" s="2959" t="s">
        <v>3701</v>
      </c>
      <c r="E637" s="2959" t="s">
        <v>3125</v>
      </c>
      <c r="F637" s="2960">
        <v>2104</v>
      </c>
      <c r="G637" s="2959" t="s">
        <v>3800</v>
      </c>
      <c r="H637" s="2959">
        <v>118.37</v>
      </c>
      <c r="I637" s="2959">
        <v>91.03</v>
      </c>
    </row>
    <row r="638" spans="1:9" ht="18.75" customHeight="1">
      <c r="A638" s="2958">
        <v>637</v>
      </c>
      <c r="B638" s="2959" t="s">
        <v>3122</v>
      </c>
      <c r="C638" s="2959" t="s">
        <v>3463</v>
      </c>
      <c r="D638" s="2959" t="s">
        <v>3701</v>
      </c>
      <c r="E638" s="2959" t="s">
        <v>3125</v>
      </c>
      <c r="F638" s="2960">
        <v>2105</v>
      </c>
      <c r="G638" s="2959" t="s">
        <v>3801</v>
      </c>
      <c r="H638" s="2959">
        <v>117.93</v>
      </c>
      <c r="I638" s="2959">
        <v>90.69</v>
      </c>
    </row>
    <row r="639" spans="1:9" ht="18.75" customHeight="1">
      <c r="A639" s="2958">
        <v>638</v>
      </c>
      <c r="B639" s="2959" t="s">
        <v>3122</v>
      </c>
      <c r="C639" s="2959" t="s">
        <v>3463</v>
      </c>
      <c r="D639" s="2959" t="s">
        <v>3701</v>
      </c>
      <c r="E639" s="2959" t="s">
        <v>3125</v>
      </c>
      <c r="F639" s="2960">
        <v>2201</v>
      </c>
      <c r="G639" s="2959" t="s">
        <v>3802</v>
      </c>
      <c r="H639" s="2959">
        <v>159.24</v>
      </c>
      <c r="I639" s="2959">
        <v>122.46</v>
      </c>
    </row>
    <row r="640" spans="1:9" ht="18.75" customHeight="1">
      <c r="A640" s="2958">
        <v>639</v>
      </c>
      <c r="B640" s="2959" t="s">
        <v>3122</v>
      </c>
      <c r="C640" s="2959" t="s">
        <v>3463</v>
      </c>
      <c r="D640" s="2959" t="s">
        <v>3701</v>
      </c>
      <c r="E640" s="2959" t="s">
        <v>3125</v>
      </c>
      <c r="F640" s="2960">
        <v>2202</v>
      </c>
      <c r="G640" s="2959" t="s">
        <v>3803</v>
      </c>
      <c r="H640" s="2959">
        <v>121.93</v>
      </c>
      <c r="I640" s="2959">
        <v>93.77</v>
      </c>
    </row>
    <row r="641" spans="1:9" ht="18.75" customHeight="1">
      <c r="A641" s="2958">
        <v>640</v>
      </c>
      <c r="B641" s="2959" t="s">
        <v>3122</v>
      </c>
      <c r="C641" s="2959" t="s">
        <v>3463</v>
      </c>
      <c r="D641" s="2959" t="s">
        <v>3701</v>
      </c>
      <c r="E641" s="2959" t="s">
        <v>3125</v>
      </c>
      <c r="F641" s="2960">
        <v>2203</v>
      </c>
      <c r="G641" s="2959" t="s">
        <v>3804</v>
      </c>
      <c r="H641" s="2959">
        <v>159.33000000000001</v>
      </c>
      <c r="I641" s="2959">
        <v>122.53</v>
      </c>
    </row>
    <row r="642" spans="1:9" ht="18.75" customHeight="1">
      <c r="A642" s="2958">
        <v>641</v>
      </c>
      <c r="B642" s="2959" t="s">
        <v>3122</v>
      </c>
      <c r="C642" s="2959" t="s">
        <v>3463</v>
      </c>
      <c r="D642" s="2959" t="s">
        <v>3701</v>
      </c>
      <c r="E642" s="2959" t="s">
        <v>3125</v>
      </c>
      <c r="F642" s="2960">
        <v>2204</v>
      </c>
      <c r="G642" s="2959" t="s">
        <v>3805</v>
      </c>
      <c r="H642" s="2959">
        <v>118.37</v>
      </c>
      <c r="I642" s="2959">
        <v>91.03</v>
      </c>
    </row>
    <row r="643" spans="1:9" ht="18.75" customHeight="1">
      <c r="A643" s="2958">
        <v>642</v>
      </c>
      <c r="B643" s="2959" t="s">
        <v>3122</v>
      </c>
      <c r="C643" s="2959" t="s">
        <v>3463</v>
      </c>
      <c r="D643" s="2959" t="s">
        <v>3701</v>
      </c>
      <c r="E643" s="2959" t="s">
        <v>3125</v>
      </c>
      <c r="F643" s="2960">
        <v>2205</v>
      </c>
      <c r="G643" s="2959" t="s">
        <v>3806</v>
      </c>
      <c r="H643" s="2959">
        <v>117.93</v>
      </c>
      <c r="I643" s="2959">
        <v>90.69</v>
      </c>
    </row>
    <row r="644" spans="1:9" ht="18.75" customHeight="1">
      <c r="A644" s="2958">
        <v>643</v>
      </c>
      <c r="B644" s="2959" t="s">
        <v>3122</v>
      </c>
      <c r="C644" s="2959" t="s">
        <v>3463</v>
      </c>
      <c r="D644" s="2959" t="s">
        <v>3701</v>
      </c>
      <c r="E644" s="2959" t="s">
        <v>3125</v>
      </c>
      <c r="F644" s="2960">
        <v>2301</v>
      </c>
      <c r="G644" s="2959" t="s">
        <v>3807</v>
      </c>
      <c r="H644" s="2959">
        <v>159.24</v>
      </c>
      <c r="I644" s="2959">
        <v>122.46</v>
      </c>
    </row>
    <row r="645" spans="1:9" ht="18.75" customHeight="1">
      <c r="A645" s="2958">
        <v>644</v>
      </c>
      <c r="B645" s="2959" t="s">
        <v>3122</v>
      </c>
      <c r="C645" s="2959" t="s">
        <v>3463</v>
      </c>
      <c r="D645" s="2959" t="s">
        <v>3701</v>
      </c>
      <c r="E645" s="2959" t="s">
        <v>3125</v>
      </c>
      <c r="F645" s="2960">
        <v>2302</v>
      </c>
      <c r="G645" s="2959" t="s">
        <v>3808</v>
      </c>
      <c r="H645" s="2959">
        <v>121.93</v>
      </c>
      <c r="I645" s="2959">
        <v>93.77</v>
      </c>
    </row>
    <row r="646" spans="1:9" ht="18.75" customHeight="1">
      <c r="A646" s="2958">
        <v>645</v>
      </c>
      <c r="B646" s="2959" t="s">
        <v>3122</v>
      </c>
      <c r="C646" s="2959" t="s">
        <v>3463</v>
      </c>
      <c r="D646" s="2959" t="s">
        <v>3701</v>
      </c>
      <c r="E646" s="2959" t="s">
        <v>3125</v>
      </c>
      <c r="F646" s="2960">
        <v>2303</v>
      </c>
      <c r="G646" s="2959" t="s">
        <v>3809</v>
      </c>
      <c r="H646" s="2959">
        <v>159.33000000000001</v>
      </c>
      <c r="I646" s="2959">
        <v>122.53</v>
      </c>
    </row>
    <row r="647" spans="1:9" ht="18.75" customHeight="1">
      <c r="A647" s="2958">
        <v>646</v>
      </c>
      <c r="B647" s="2959" t="s">
        <v>3122</v>
      </c>
      <c r="C647" s="2959" t="s">
        <v>3463</v>
      </c>
      <c r="D647" s="2959" t="s">
        <v>3701</v>
      </c>
      <c r="E647" s="2959" t="s">
        <v>3125</v>
      </c>
      <c r="F647" s="2960">
        <v>2304</v>
      </c>
      <c r="G647" s="2959" t="s">
        <v>3810</v>
      </c>
      <c r="H647" s="2959">
        <v>118.37</v>
      </c>
      <c r="I647" s="2959">
        <v>91.03</v>
      </c>
    </row>
    <row r="648" spans="1:9" ht="18.75" customHeight="1">
      <c r="A648" s="2958">
        <v>647</v>
      </c>
      <c r="B648" s="2959" t="s">
        <v>3122</v>
      </c>
      <c r="C648" s="2959" t="s">
        <v>3463</v>
      </c>
      <c r="D648" s="2959" t="s">
        <v>3701</v>
      </c>
      <c r="E648" s="2959" t="s">
        <v>3125</v>
      </c>
      <c r="F648" s="2960">
        <v>2305</v>
      </c>
      <c r="G648" s="2959" t="s">
        <v>3811</v>
      </c>
      <c r="H648" s="2959">
        <v>117.93</v>
      </c>
      <c r="I648" s="2959">
        <v>90.69</v>
      </c>
    </row>
    <row r="649" spans="1:9" ht="18.75" customHeight="1">
      <c r="A649" s="2958">
        <v>648</v>
      </c>
      <c r="B649" s="2959" t="s">
        <v>3122</v>
      </c>
      <c r="C649" s="2959" t="s">
        <v>3463</v>
      </c>
      <c r="D649" s="2959" t="s">
        <v>3701</v>
      </c>
      <c r="E649" s="2959" t="s">
        <v>3125</v>
      </c>
      <c r="F649" s="2960">
        <v>2401</v>
      </c>
      <c r="G649" s="2959" t="s">
        <v>3812</v>
      </c>
      <c r="H649" s="2959">
        <v>159.24</v>
      </c>
      <c r="I649" s="2959">
        <v>122.46</v>
      </c>
    </row>
    <row r="650" spans="1:9" ht="18.75" customHeight="1">
      <c r="A650" s="2958">
        <v>649</v>
      </c>
      <c r="B650" s="2959" t="s">
        <v>3122</v>
      </c>
      <c r="C650" s="2959" t="s">
        <v>3463</v>
      </c>
      <c r="D650" s="2959" t="s">
        <v>3701</v>
      </c>
      <c r="E650" s="2959" t="s">
        <v>3125</v>
      </c>
      <c r="F650" s="2960">
        <v>2402</v>
      </c>
      <c r="G650" s="2959" t="s">
        <v>3813</v>
      </c>
      <c r="H650" s="2959">
        <v>121.93</v>
      </c>
      <c r="I650" s="2959">
        <v>93.77</v>
      </c>
    </row>
    <row r="651" spans="1:9" ht="18.75" customHeight="1">
      <c r="A651" s="2958">
        <v>650</v>
      </c>
      <c r="B651" s="2959" t="s">
        <v>3122</v>
      </c>
      <c r="C651" s="2959" t="s">
        <v>3463</v>
      </c>
      <c r="D651" s="2959" t="s">
        <v>3701</v>
      </c>
      <c r="E651" s="2959" t="s">
        <v>3125</v>
      </c>
      <c r="F651" s="2960">
        <v>2403</v>
      </c>
      <c r="G651" s="2959" t="s">
        <v>3814</v>
      </c>
      <c r="H651" s="2959">
        <v>159.33000000000001</v>
      </c>
      <c r="I651" s="2959">
        <v>122.53</v>
      </c>
    </row>
    <row r="652" spans="1:9" ht="18.75" customHeight="1">
      <c r="A652" s="2958">
        <v>651</v>
      </c>
      <c r="B652" s="2959" t="s">
        <v>3122</v>
      </c>
      <c r="C652" s="2959" t="s">
        <v>3463</v>
      </c>
      <c r="D652" s="2959" t="s">
        <v>3701</v>
      </c>
      <c r="E652" s="2959" t="s">
        <v>3125</v>
      </c>
      <c r="F652" s="2960">
        <v>2404</v>
      </c>
      <c r="G652" s="2959" t="s">
        <v>3815</v>
      </c>
      <c r="H652" s="2959">
        <v>118.37</v>
      </c>
      <c r="I652" s="2959">
        <v>91.03</v>
      </c>
    </row>
    <row r="653" spans="1:9" ht="18.75" customHeight="1">
      <c r="A653" s="2958">
        <v>652</v>
      </c>
      <c r="B653" s="2959" t="s">
        <v>3122</v>
      </c>
      <c r="C653" s="2959" t="s">
        <v>3463</v>
      </c>
      <c r="D653" s="2959" t="s">
        <v>3701</v>
      </c>
      <c r="E653" s="2959" t="s">
        <v>3125</v>
      </c>
      <c r="F653" s="2960">
        <v>2405</v>
      </c>
      <c r="G653" s="2959" t="s">
        <v>3816</v>
      </c>
      <c r="H653" s="2959">
        <v>117.93</v>
      </c>
      <c r="I653" s="2959">
        <v>90.69</v>
      </c>
    </row>
    <row r="654" spans="1:9" ht="18.75" customHeight="1">
      <c r="A654" s="2958">
        <v>653</v>
      </c>
      <c r="B654" s="2959" t="s">
        <v>3122</v>
      </c>
      <c r="C654" s="2959" t="s">
        <v>3463</v>
      </c>
      <c r="D654" s="2959" t="s">
        <v>3701</v>
      </c>
      <c r="E654" s="2959" t="s">
        <v>3125</v>
      </c>
      <c r="F654" s="2960">
        <v>2501</v>
      </c>
      <c r="G654" s="2959" t="s">
        <v>3817</v>
      </c>
      <c r="H654" s="2959">
        <v>159.24</v>
      </c>
      <c r="I654" s="2959">
        <v>122.46</v>
      </c>
    </row>
    <row r="655" spans="1:9" ht="18.75" customHeight="1">
      <c r="A655" s="2958">
        <v>654</v>
      </c>
      <c r="B655" s="2959" t="s">
        <v>3122</v>
      </c>
      <c r="C655" s="2959" t="s">
        <v>3463</v>
      </c>
      <c r="D655" s="2959" t="s">
        <v>3701</v>
      </c>
      <c r="E655" s="2959" t="s">
        <v>3125</v>
      </c>
      <c r="F655" s="2960">
        <v>2502</v>
      </c>
      <c r="G655" s="2959" t="s">
        <v>3818</v>
      </c>
      <c r="H655" s="2959">
        <v>121.93</v>
      </c>
      <c r="I655" s="2959">
        <v>93.77</v>
      </c>
    </row>
    <row r="656" spans="1:9" ht="18.75" customHeight="1">
      <c r="A656" s="2958">
        <v>655</v>
      </c>
      <c r="B656" s="2959" t="s">
        <v>3122</v>
      </c>
      <c r="C656" s="2959" t="s">
        <v>3463</v>
      </c>
      <c r="D656" s="2959" t="s">
        <v>3701</v>
      </c>
      <c r="E656" s="2959" t="s">
        <v>3125</v>
      </c>
      <c r="F656" s="2960">
        <v>2503</v>
      </c>
      <c r="G656" s="2959" t="s">
        <v>3819</v>
      </c>
      <c r="H656" s="2959">
        <v>159.33000000000001</v>
      </c>
      <c r="I656" s="2959">
        <v>122.53</v>
      </c>
    </row>
    <row r="657" spans="1:9" ht="18.75" customHeight="1">
      <c r="A657" s="2958">
        <v>656</v>
      </c>
      <c r="B657" s="2959" t="s">
        <v>3122</v>
      </c>
      <c r="C657" s="2959" t="s">
        <v>3463</v>
      </c>
      <c r="D657" s="2959" t="s">
        <v>3701</v>
      </c>
      <c r="E657" s="2959" t="s">
        <v>3125</v>
      </c>
      <c r="F657" s="2960">
        <v>2504</v>
      </c>
      <c r="G657" s="2959" t="s">
        <v>3820</v>
      </c>
      <c r="H657" s="2959">
        <v>118.37</v>
      </c>
      <c r="I657" s="2959">
        <v>91.03</v>
      </c>
    </row>
    <row r="658" spans="1:9" ht="18.75" customHeight="1">
      <c r="A658" s="2958">
        <v>657</v>
      </c>
      <c r="B658" s="2959" t="s">
        <v>3122</v>
      </c>
      <c r="C658" s="2959" t="s">
        <v>3463</v>
      </c>
      <c r="D658" s="2959" t="s">
        <v>3701</v>
      </c>
      <c r="E658" s="2959" t="s">
        <v>3125</v>
      </c>
      <c r="F658" s="2960">
        <v>2505</v>
      </c>
      <c r="G658" s="2959" t="s">
        <v>3821</v>
      </c>
      <c r="H658" s="2959">
        <v>117.93</v>
      </c>
      <c r="I658" s="2959">
        <v>90.69</v>
      </c>
    </row>
    <row r="659" spans="1:9" ht="18.75" customHeight="1">
      <c r="A659" s="2958">
        <v>658</v>
      </c>
      <c r="B659" s="2959" t="s">
        <v>3122</v>
      </c>
      <c r="C659" s="2959" t="s">
        <v>3463</v>
      </c>
      <c r="D659" s="2959" t="s">
        <v>3701</v>
      </c>
      <c r="E659" s="2959" t="s">
        <v>3125</v>
      </c>
      <c r="F659" s="2960">
        <v>2601</v>
      </c>
      <c r="G659" s="2959" t="s">
        <v>3822</v>
      </c>
      <c r="H659" s="2959">
        <v>159.24</v>
      </c>
      <c r="I659" s="2959">
        <v>122.46</v>
      </c>
    </row>
    <row r="660" spans="1:9" ht="18.75" customHeight="1">
      <c r="A660" s="2958">
        <v>659</v>
      </c>
      <c r="B660" s="2959" t="s">
        <v>3122</v>
      </c>
      <c r="C660" s="2959" t="s">
        <v>3463</v>
      </c>
      <c r="D660" s="2959" t="s">
        <v>3701</v>
      </c>
      <c r="E660" s="2959" t="s">
        <v>3125</v>
      </c>
      <c r="F660" s="2960">
        <v>2602</v>
      </c>
      <c r="G660" s="2959" t="s">
        <v>3823</v>
      </c>
      <c r="H660" s="2959">
        <v>121.93</v>
      </c>
      <c r="I660" s="2959">
        <v>93.77</v>
      </c>
    </row>
    <row r="661" spans="1:9" ht="18.75" customHeight="1">
      <c r="A661" s="2958">
        <v>660</v>
      </c>
      <c r="B661" s="2959" t="s">
        <v>3122</v>
      </c>
      <c r="C661" s="2959" t="s">
        <v>3463</v>
      </c>
      <c r="D661" s="2959" t="s">
        <v>3701</v>
      </c>
      <c r="E661" s="2959" t="s">
        <v>3125</v>
      </c>
      <c r="F661" s="2960">
        <v>2603</v>
      </c>
      <c r="G661" s="2959" t="s">
        <v>3824</v>
      </c>
      <c r="H661" s="2959">
        <v>159.33000000000001</v>
      </c>
      <c r="I661" s="2959">
        <v>122.53</v>
      </c>
    </row>
    <row r="662" spans="1:9" ht="18.75" customHeight="1">
      <c r="A662" s="2958">
        <v>661</v>
      </c>
      <c r="B662" s="2959" t="s">
        <v>3122</v>
      </c>
      <c r="C662" s="2959" t="s">
        <v>3463</v>
      </c>
      <c r="D662" s="2959" t="s">
        <v>3701</v>
      </c>
      <c r="E662" s="2959" t="s">
        <v>3125</v>
      </c>
      <c r="F662" s="2960">
        <v>2604</v>
      </c>
      <c r="G662" s="2959" t="s">
        <v>3825</v>
      </c>
      <c r="H662" s="2959">
        <v>118.37</v>
      </c>
      <c r="I662" s="2959">
        <v>91.03</v>
      </c>
    </row>
    <row r="663" spans="1:9" ht="18.75" customHeight="1">
      <c r="A663" s="2958">
        <v>662</v>
      </c>
      <c r="B663" s="2959" t="s">
        <v>3122</v>
      </c>
      <c r="C663" s="2959" t="s">
        <v>3463</v>
      </c>
      <c r="D663" s="2959" t="s">
        <v>3701</v>
      </c>
      <c r="E663" s="2959" t="s">
        <v>3125</v>
      </c>
      <c r="F663" s="2960">
        <v>2605</v>
      </c>
      <c r="G663" s="2959" t="s">
        <v>3826</v>
      </c>
      <c r="H663" s="2959">
        <v>117.93</v>
      </c>
      <c r="I663" s="2959">
        <v>90.69</v>
      </c>
    </row>
    <row r="664" spans="1:9" ht="18.75" customHeight="1">
      <c r="A664" s="2958">
        <v>663</v>
      </c>
      <c r="B664" s="2959" t="s">
        <v>3122</v>
      </c>
      <c r="C664" s="2959" t="s">
        <v>3463</v>
      </c>
      <c r="D664" s="2959" t="s">
        <v>3701</v>
      </c>
      <c r="E664" s="2959" t="s">
        <v>3125</v>
      </c>
      <c r="F664" s="2960">
        <v>2701</v>
      </c>
      <c r="G664" s="2959" t="s">
        <v>3827</v>
      </c>
      <c r="H664" s="2959">
        <v>159.24</v>
      </c>
      <c r="I664" s="2959">
        <v>122.46</v>
      </c>
    </row>
    <row r="665" spans="1:9" ht="18.75" customHeight="1">
      <c r="A665" s="2958">
        <v>664</v>
      </c>
      <c r="B665" s="2959" t="s">
        <v>3122</v>
      </c>
      <c r="C665" s="2959" t="s">
        <v>3463</v>
      </c>
      <c r="D665" s="2959" t="s">
        <v>3701</v>
      </c>
      <c r="E665" s="2959" t="s">
        <v>3125</v>
      </c>
      <c r="F665" s="2960">
        <v>2702</v>
      </c>
      <c r="G665" s="2959" t="s">
        <v>3828</v>
      </c>
      <c r="H665" s="2959">
        <v>121.93</v>
      </c>
      <c r="I665" s="2959">
        <v>93.77</v>
      </c>
    </row>
    <row r="666" spans="1:9" ht="18.75" customHeight="1">
      <c r="A666" s="2958">
        <v>665</v>
      </c>
      <c r="B666" s="2959" t="s">
        <v>3122</v>
      </c>
      <c r="C666" s="2959" t="s">
        <v>3463</v>
      </c>
      <c r="D666" s="2959" t="s">
        <v>3701</v>
      </c>
      <c r="E666" s="2959" t="s">
        <v>3125</v>
      </c>
      <c r="F666" s="2960">
        <v>2703</v>
      </c>
      <c r="G666" s="2959" t="s">
        <v>3829</v>
      </c>
      <c r="H666" s="2959">
        <v>159.33000000000001</v>
      </c>
      <c r="I666" s="2959">
        <v>122.53</v>
      </c>
    </row>
    <row r="667" spans="1:9" ht="18.75" customHeight="1">
      <c r="A667" s="2958">
        <v>666</v>
      </c>
      <c r="B667" s="2959" t="s">
        <v>3122</v>
      </c>
      <c r="C667" s="2959" t="s">
        <v>3463</v>
      </c>
      <c r="D667" s="2959" t="s">
        <v>3701</v>
      </c>
      <c r="E667" s="2959" t="s">
        <v>3125</v>
      </c>
      <c r="F667" s="2960">
        <v>2704</v>
      </c>
      <c r="G667" s="2959" t="s">
        <v>3830</v>
      </c>
      <c r="H667" s="2959">
        <v>118.37</v>
      </c>
      <c r="I667" s="2959">
        <v>91.03</v>
      </c>
    </row>
    <row r="668" spans="1:9" ht="18.75" customHeight="1">
      <c r="A668" s="2958">
        <v>667</v>
      </c>
      <c r="B668" s="2959" t="s">
        <v>3122</v>
      </c>
      <c r="C668" s="2959" t="s">
        <v>3463</v>
      </c>
      <c r="D668" s="2959" t="s">
        <v>3701</v>
      </c>
      <c r="E668" s="2959" t="s">
        <v>3125</v>
      </c>
      <c r="F668" s="2960">
        <v>2705</v>
      </c>
      <c r="G668" s="2959" t="s">
        <v>3831</v>
      </c>
      <c r="H668" s="2959">
        <v>117.93</v>
      </c>
      <c r="I668" s="2959">
        <v>90.69</v>
      </c>
    </row>
    <row r="669" spans="1:9" ht="18.75" customHeight="1">
      <c r="A669" s="2958">
        <v>668</v>
      </c>
      <c r="B669" s="2959" t="s">
        <v>3122</v>
      </c>
      <c r="C669" s="2959" t="s">
        <v>3463</v>
      </c>
      <c r="D669" s="2959" t="s">
        <v>3701</v>
      </c>
      <c r="E669" s="2959" t="s">
        <v>3125</v>
      </c>
      <c r="F669" s="2960">
        <v>2801</v>
      </c>
      <c r="G669" s="2959" t="s">
        <v>3832</v>
      </c>
      <c r="H669" s="2959">
        <v>159.24</v>
      </c>
      <c r="I669" s="2959">
        <v>122.46</v>
      </c>
    </row>
    <row r="670" spans="1:9" ht="18.75" customHeight="1">
      <c r="A670" s="2958">
        <v>669</v>
      </c>
      <c r="B670" s="2959" t="s">
        <v>3122</v>
      </c>
      <c r="C670" s="2959" t="s">
        <v>3463</v>
      </c>
      <c r="D670" s="2959" t="s">
        <v>3701</v>
      </c>
      <c r="E670" s="2959" t="s">
        <v>3125</v>
      </c>
      <c r="F670" s="2960">
        <v>2802</v>
      </c>
      <c r="G670" s="2959" t="s">
        <v>3833</v>
      </c>
      <c r="H670" s="2959">
        <v>121.93</v>
      </c>
      <c r="I670" s="2959">
        <v>93.77</v>
      </c>
    </row>
    <row r="671" spans="1:9" ht="18.75" customHeight="1">
      <c r="A671" s="2958">
        <v>670</v>
      </c>
      <c r="B671" s="2959" t="s">
        <v>3122</v>
      </c>
      <c r="C671" s="2959" t="s">
        <v>3463</v>
      </c>
      <c r="D671" s="2959" t="s">
        <v>3701</v>
      </c>
      <c r="E671" s="2959" t="s">
        <v>3125</v>
      </c>
      <c r="F671" s="2960">
        <v>2803</v>
      </c>
      <c r="G671" s="2959" t="s">
        <v>3834</v>
      </c>
      <c r="H671" s="2959">
        <v>159.33000000000001</v>
      </c>
      <c r="I671" s="2959">
        <v>122.53</v>
      </c>
    </row>
    <row r="672" spans="1:9" ht="18.75" customHeight="1">
      <c r="A672" s="2958">
        <v>671</v>
      </c>
      <c r="B672" s="2959" t="s">
        <v>3122</v>
      </c>
      <c r="C672" s="2959" t="s">
        <v>3463</v>
      </c>
      <c r="D672" s="2959" t="s">
        <v>3701</v>
      </c>
      <c r="E672" s="2959" t="s">
        <v>3125</v>
      </c>
      <c r="F672" s="2960">
        <v>2804</v>
      </c>
      <c r="G672" s="2959" t="s">
        <v>3835</v>
      </c>
      <c r="H672" s="2959">
        <v>118.37</v>
      </c>
      <c r="I672" s="2959">
        <v>91.03</v>
      </c>
    </row>
    <row r="673" spans="1:9" ht="18.75" customHeight="1">
      <c r="A673" s="2958">
        <v>672</v>
      </c>
      <c r="B673" s="2959" t="s">
        <v>3122</v>
      </c>
      <c r="C673" s="2959" t="s">
        <v>3463</v>
      </c>
      <c r="D673" s="2959" t="s">
        <v>3701</v>
      </c>
      <c r="E673" s="2959" t="s">
        <v>3125</v>
      </c>
      <c r="F673" s="2960">
        <v>2805</v>
      </c>
      <c r="G673" s="2959" t="s">
        <v>3836</v>
      </c>
      <c r="H673" s="2959">
        <v>117.93</v>
      </c>
      <c r="I673" s="2959">
        <v>90.69</v>
      </c>
    </row>
    <row r="674" spans="1:9" ht="18.75" customHeight="1">
      <c r="A674" s="2958">
        <v>673</v>
      </c>
      <c r="B674" s="2959" t="s">
        <v>3122</v>
      </c>
      <c r="C674" s="2959" t="s">
        <v>3463</v>
      </c>
      <c r="D674" s="2959" t="s">
        <v>3701</v>
      </c>
      <c r="E674" s="2959" t="s">
        <v>3125</v>
      </c>
      <c r="F674" s="2960">
        <v>2901</v>
      </c>
      <c r="G674" s="2959" t="s">
        <v>3837</v>
      </c>
      <c r="H674" s="2959">
        <v>159.24</v>
      </c>
      <c r="I674" s="2959">
        <v>122.46</v>
      </c>
    </row>
    <row r="675" spans="1:9" ht="18.75" customHeight="1">
      <c r="A675" s="2958">
        <v>674</v>
      </c>
      <c r="B675" s="2959" t="s">
        <v>3122</v>
      </c>
      <c r="C675" s="2959" t="s">
        <v>3463</v>
      </c>
      <c r="D675" s="2959" t="s">
        <v>3701</v>
      </c>
      <c r="E675" s="2959" t="s">
        <v>3125</v>
      </c>
      <c r="F675" s="2960">
        <v>2902</v>
      </c>
      <c r="G675" s="2959" t="s">
        <v>3838</v>
      </c>
      <c r="H675" s="2959">
        <v>121.93</v>
      </c>
      <c r="I675" s="2959">
        <v>93.77</v>
      </c>
    </row>
    <row r="676" spans="1:9" ht="18.75" customHeight="1">
      <c r="A676" s="2958">
        <v>675</v>
      </c>
      <c r="B676" s="2959" t="s">
        <v>3122</v>
      </c>
      <c r="C676" s="2959" t="s">
        <v>3463</v>
      </c>
      <c r="D676" s="2959" t="s">
        <v>3701</v>
      </c>
      <c r="E676" s="2959" t="s">
        <v>3125</v>
      </c>
      <c r="F676" s="2960">
        <v>2903</v>
      </c>
      <c r="G676" s="2959" t="s">
        <v>3839</v>
      </c>
      <c r="H676" s="2959">
        <v>159.33000000000001</v>
      </c>
      <c r="I676" s="2959">
        <v>122.53</v>
      </c>
    </row>
    <row r="677" spans="1:9" ht="18.75" customHeight="1">
      <c r="A677" s="2958">
        <v>676</v>
      </c>
      <c r="B677" s="2959" t="s">
        <v>3122</v>
      </c>
      <c r="C677" s="2959" t="s">
        <v>3463</v>
      </c>
      <c r="D677" s="2959" t="s">
        <v>3701</v>
      </c>
      <c r="E677" s="2959" t="s">
        <v>3125</v>
      </c>
      <c r="F677" s="2960">
        <v>2904</v>
      </c>
      <c r="G677" s="2959" t="s">
        <v>3840</v>
      </c>
      <c r="H677" s="2959">
        <v>118.37</v>
      </c>
      <c r="I677" s="2959">
        <v>91.03</v>
      </c>
    </row>
    <row r="678" spans="1:9" ht="18.75" customHeight="1">
      <c r="A678" s="2958">
        <v>677</v>
      </c>
      <c r="B678" s="2959" t="s">
        <v>3122</v>
      </c>
      <c r="C678" s="2959" t="s">
        <v>3463</v>
      </c>
      <c r="D678" s="2959" t="s">
        <v>3701</v>
      </c>
      <c r="E678" s="2959" t="s">
        <v>3125</v>
      </c>
      <c r="F678" s="2960">
        <v>2905</v>
      </c>
      <c r="G678" s="2959" t="s">
        <v>3841</v>
      </c>
      <c r="H678" s="2959">
        <v>117.93</v>
      </c>
      <c r="I678" s="2959">
        <v>90.69</v>
      </c>
    </row>
    <row r="679" spans="1:9" ht="18.75" customHeight="1">
      <c r="A679" s="2958">
        <v>678</v>
      </c>
      <c r="B679" s="2959" t="s">
        <v>3122</v>
      </c>
      <c r="C679" s="2959" t="s">
        <v>3463</v>
      </c>
      <c r="D679" s="2959" t="s">
        <v>3701</v>
      </c>
      <c r="E679" s="2959" t="s">
        <v>3125</v>
      </c>
      <c r="F679" s="2960">
        <v>3001</v>
      </c>
      <c r="G679" s="2959" t="s">
        <v>3842</v>
      </c>
      <c r="H679" s="2959">
        <v>159.24</v>
      </c>
      <c r="I679" s="2959">
        <v>122.46</v>
      </c>
    </row>
    <row r="680" spans="1:9" ht="18.75" customHeight="1">
      <c r="A680" s="2958">
        <v>679</v>
      </c>
      <c r="B680" s="2959" t="s">
        <v>3122</v>
      </c>
      <c r="C680" s="2959" t="s">
        <v>3463</v>
      </c>
      <c r="D680" s="2959" t="s">
        <v>3701</v>
      </c>
      <c r="E680" s="2959" t="s">
        <v>3125</v>
      </c>
      <c r="F680" s="2960">
        <v>3002</v>
      </c>
      <c r="G680" s="2959" t="s">
        <v>3843</v>
      </c>
      <c r="H680" s="2959">
        <v>121.93</v>
      </c>
      <c r="I680" s="2959">
        <v>93.77</v>
      </c>
    </row>
    <row r="681" spans="1:9" ht="18.75" customHeight="1">
      <c r="A681" s="2958">
        <v>680</v>
      </c>
      <c r="B681" s="2959" t="s">
        <v>3122</v>
      </c>
      <c r="C681" s="2959" t="s">
        <v>3463</v>
      </c>
      <c r="D681" s="2959" t="s">
        <v>3701</v>
      </c>
      <c r="E681" s="2959" t="s">
        <v>3125</v>
      </c>
      <c r="F681" s="2960">
        <v>3003</v>
      </c>
      <c r="G681" s="2959" t="s">
        <v>3844</v>
      </c>
      <c r="H681" s="2959">
        <v>159.33000000000001</v>
      </c>
      <c r="I681" s="2959">
        <v>122.53</v>
      </c>
    </row>
    <row r="682" spans="1:9" ht="18.75" customHeight="1">
      <c r="A682" s="2958">
        <v>681</v>
      </c>
      <c r="B682" s="2959" t="s">
        <v>3122</v>
      </c>
      <c r="C682" s="2959" t="s">
        <v>3463</v>
      </c>
      <c r="D682" s="2959" t="s">
        <v>3701</v>
      </c>
      <c r="E682" s="2959" t="s">
        <v>3125</v>
      </c>
      <c r="F682" s="2960">
        <v>3004</v>
      </c>
      <c r="G682" s="2959" t="s">
        <v>3845</v>
      </c>
      <c r="H682" s="2959">
        <v>118.37</v>
      </c>
      <c r="I682" s="2959">
        <v>91.03</v>
      </c>
    </row>
    <row r="683" spans="1:9" ht="18.75" customHeight="1">
      <c r="A683" s="2958">
        <v>682</v>
      </c>
      <c r="B683" s="2959" t="s">
        <v>3122</v>
      </c>
      <c r="C683" s="2959" t="s">
        <v>3463</v>
      </c>
      <c r="D683" s="2959" t="s">
        <v>3701</v>
      </c>
      <c r="E683" s="2959" t="s">
        <v>3125</v>
      </c>
      <c r="F683" s="2960">
        <v>3005</v>
      </c>
      <c r="G683" s="2959" t="s">
        <v>3846</v>
      </c>
      <c r="H683" s="2959">
        <v>117.93</v>
      </c>
      <c r="I683" s="2959">
        <v>90.69</v>
      </c>
    </row>
    <row r="684" spans="1:9" ht="18.75" customHeight="1">
      <c r="A684" s="2958">
        <v>683</v>
      </c>
      <c r="B684" s="2959" t="s">
        <v>3122</v>
      </c>
      <c r="C684" s="2959" t="s">
        <v>3463</v>
      </c>
      <c r="D684" s="2959" t="s">
        <v>3701</v>
      </c>
      <c r="E684" s="2959" t="s">
        <v>3125</v>
      </c>
      <c r="F684" s="2960">
        <v>3101</v>
      </c>
      <c r="G684" s="2959" t="s">
        <v>3847</v>
      </c>
      <c r="H684" s="2959">
        <v>159.24</v>
      </c>
      <c r="I684" s="2959">
        <v>122.46</v>
      </c>
    </row>
    <row r="685" spans="1:9" ht="18.75" customHeight="1">
      <c r="A685" s="2958">
        <v>684</v>
      </c>
      <c r="B685" s="2959" t="s">
        <v>3122</v>
      </c>
      <c r="C685" s="2959" t="s">
        <v>3463</v>
      </c>
      <c r="D685" s="2959" t="s">
        <v>3701</v>
      </c>
      <c r="E685" s="2959" t="s">
        <v>3125</v>
      </c>
      <c r="F685" s="2960">
        <v>3102</v>
      </c>
      <c r="G685" s="2959" t="s">
        <v>3848</v>
      </c>
      <c r="H685" s="2959">
        <v>121.93</v>
      </c>
      <c r="I685" s="2959">
        <v>93.77</v>
      </c>
    </row>
    <row r="686" spans="1:9" ht="18.75" customHeight="1">
      <c r="A686" s="2958">
        <v>685</v>
      </c>
      <c r="B686" s="2959" t="s">
        <v>3122</v>
      </c>
      <c r="C686" s="2959" t="s">
        <v>3463</v>
      </c>
      <c r="D686" s="2959" t="s">
        <v>3701</v>
      </c>
      <c r="E686" s="2959" t="s">
        <v>3125</v>
      </c>
      <c r="F686" s="2960">
        <v>3103</v>
      </c>
      <c r="G686" s="2959" t="s">
        <v>3849</v>
      </c>
      <c r="H686" s="2959">
        <v>159.33000000000001</v>
      </c>
      <c r="I686" s="2959">
        <v>122.53</v>
      </c>
    </row>
    <row r="687" spans="1:9" ht="18.75" customHeight="1">
      <c r="A687" s="2958">
        <v>686</v>
      </c>
      <c r="B687" s="2959" t="s">
        <v>3122</v>
      </c>
      <c r="C687" s="2959" t="s">
        <v>3463</v>
      </c>
      <c r="D687" s="2959" t="s">
        <v>3701</v>
      </c>
      <c r="E687" s="2959" t="s">
        <v>3125</v>
      </c>
      <c r="F687" s="2960">
        <v>3104</v>
      </c>
      <c r="G687" s="2959" t="s">
        <v>3850</v>
      </c>
      <c r="H687" s="2959">
        <v>118.37</v>
      </c>
      <c r="I687" s="2959">
        <v>91.03</v>
      </c>
    </row>
    <row r="688" spans="1:9" ht="18.75" customHeight="1">
      <c r="A688" s="2958">
        <v>687</v>
      </c>
      <c r="B688" s="2959" t="s">
        <v>3122</v>
      </c>
      <c r="C688" s="2959" t="s">
        <v>3463</v>
      </c>
      <c r="D688" s="2959" t="s">
        <v>3701</v>
      </c>
      <c r="E688" s="2959" t="s">
        <v>3125</v>
      </c>
      <c r="F688" s="2960">
        <v>3105</v>
      </c>
      <c r="G688" s="2959" t="s">
        <v>3851</v>
      </c>
      <c r="H688" s="2959">
        <v>117.93</v>
      </c>
      <c r="I688" s="2959">
        <v>90.69</v>
      </c>
    </row>
    <row r="689" spans="1:13" ht="18.75" customHeight="1">
      <c r="A689" s="2958">
        <v>688</v>
      </c>
      <c r="B689" s="2959" t="s">
        <v>3122</v>
      </c>
      <c r="C689" s="2959" t="s">
        <v>3852</v>
      </c>
      <c r="D689" s="2959" t="s">
        <v>3853</v>
      </c>
      <c r="E689" s="2959" t="s">
        <v>3854</v>
      </c>
      <c r="F689" s="2960" t="s">
        <v>3855</v>
      </c>
      <c r="G689" s="2959" t="s">
        <v>3856</v>
      </c>
      <c r="H689" s="2959">
        <v>223.48</v>
      </c>
      <c r="I689" s="2959">
        <v>209.63</v>
      </c>
    </row>
    <row r="690" spans="1:13" ht="18.75" customHeight="1">
      <c r="A690" s="2958">
        <v>689</v>
      </c>
      <c r="B690" s="2959" t="s">
        <v>3122</v>
      </c>
      <c r="C690" s="2959" t="s">
        <v>3852</v>
      </c>
      <c r="D690" s="2959" t="s">
        <v>3853</v>
      </c>
      <c r="E690" s="2959" t="s">
        <v>3857</v>
      </c>
      <c r="F690" s="2960" t="s">
        <v>3858</v>
      </c>
      <c r="G690" s="2959" t="s">
        <v>3859</v>
      </c>
      <c r="H690" s="2959">
        <v>218.43</v>
      </c>
      <c r="I690" s="2959">
        <v>206.22</v>
      </c>
    </row>
    <row r="691" spans="1:13" ht="18.75" customHeight="1">
      <c r="A691" s="2958">
        <v>690</v>
      </c>
      <c r="B691" s="2959" t="s">
        <v>3122</v>
      </c>
      <c r="C691" s="2959" t="s">
        <v>3852</v>
      </c>
      <c r="D691" s="2959" t="s">
        <v>3853</v>
      </c>
      <c r="E691" s="2959" t="s">
        <v>3857</v>
      </c>
      <c r="F691" s="2960" t="s">
        <v>3855</v>
      </c>
      <c r="G691" s="2959" t="s">
        <v>3860</v>
      </c>
      <c r="H691" s="2959">
        <v>218.43</v>
      </c>
      <c r="I691" s="2959">
        <v>206.22</v>
      </c>
    </row>
    <row r="692" spans="1:13" ht="18.75" customHeight="1">
      <c r="A692" s="2958">
        <v>691</v>
      </c>
      <c r="B692" s="2959" t="s">
        <v>3122</v>
      </c>
      <c r="C692" s="2959" t="s">
        <v>3852</v>
      </c>
      <c r="D692" s="2959" t="s">
        <v>3853</v>
      </c>
      <c r="E692" s="2959" t="s">
        <v>3861</v>
      </c>
      <c r="F692" s="2960" t="s">
        <v>3858</v>
      </c>
      <c r="G692" s="2959" t="s">
        <v>3862</v>
      </c>
      <c r="H692" s="2959">
        <v>218.43</v>
      </c>
      <c r="I692" s="2959">
        <v>206.22</v>
      </c>
    </row>
    <row r="693" spans="1:13" s="2963" customFormat="1" ht="37.5" customHeight="1">
      <c r="A693" s="3094" t="s">
        <v>37</v>
      </c>
      <c r="B693" s="3094"/>
      <c r="C693" s="3094"/>
      <c r="D693" s="3094"/>
      <c r="E693" s="3094"/>
      <c r="F693" s="3094"/>
      <c r="G693" s="2961"/>
      <c r="H693" s="2962">
        <f>SUBTOTAL(9,H2:H692)</f>
        <v>69246.850000000224</v>
      </c>
      <c r="I693" s="2962">
        <f>SUBTOTAL(9,I2:I692)</f>
        <v>53668.53999999987</v>
      </c>
    </row>
    <row r="694" spans="1:13">
      <c r="H694" s="2974">
        <f>H693-I693</f>
        <v>15578.310000000354</v>
      </c>
    </row>
    <row r="696" spans="1:13">
      <c r="G696" s="2966" t="s">
        <v>3873</v>
      </c>
      <c r="H696" s="2948">
        <v>34336.839999999997</v>
      </c>
    </row>
    <row r="697" spans="1:13">
      <c r="J697" s="2967">
        <v>69246.850000000006</v>
      </c>
      <c r="L697" s="2957">
        <f>J697-H698</f>
        <v>3545.6299999996991</v>
      </c>
      <c r="M697" s="2957">
        <f>L697*1.6</f>
        <v>5673.0079999995187</v>
      </c>
    </row>
    <row r="698" spans="1:13">
      <c r="G698" s="2966" t="s">
        <v>3872</v>
      </c>
      <c r="H698" s="2948">
        <v>65701.220000000307</v>
      </c>
    </row>
    <row r="700" spans="1:13">
      <c r="G700" s="2966" t="s">
        <v>3871</v>
      </c>
      <c r="H700" s="2948">
        <f>H698-H696</f>
        <v>31364.38000000031</v>
      </c>
    </row>
    <row r="704" spans="1:13">
      <c r="E704" s="2948">
        <v>26522.15</v>
      </c>
      <c r="H704" s="2948">
        <v>104448</v>
      </c>
      <c r="I704" s="2948">
        <f>E704+[2]清单!$E$704</f>
        <v>50873.100000000006</v>
      </c>
    </row>
    <row r="705" spans="3:11" ht="27">
      <c r="C705" s="2964" t="s">
        <v>4016</v>
      </c>
      <c r="D705" s="2948" t="s">
        <v>4017</v>
      </c>
      <c r="E705" s="2948">
        <v>52391</v>
      </c>
      <c r="F705" s="2948">
        <v>49073</v>
      </c>
      <c r="H705" s="2948">
        <f>ROUND(H704/I704*10000,0)</f>
        <v>20531</v>
      </c>
    </row>
    <row r="706" spans="3:11">
      <c r="D706" s="2948" t="s">
        <v>4018</v>
      </c>
      <c r="E706" s="2948">
        <f>ROUND(E705/清单!E704*10000,0)</f>
        <v>19754</v>
      </c>
      <c r="F706" s="2948">
        <f>ROUND(F705/清单!E704*10000,0)</f>
        <v>18503</v>
      </c>
    </row>
    <row r="707" spans="3:11" ht="27">
      <c r="C707" s="2964" t="s">
        <v>4019</v>
      </c>
      <c r="D707" s="2948" t="s">
        <v>4017</v>
      </c>
      <c r="E707" s="2948">
        <v>50732</v>
      </c>
    </row>
    <row r="708" spans="3:11">
      <c r="D708" s="2948" t="s">
        <v>4018</v>
      </c>
      <c r="E708" s="2948">
        <f>ROUND(E707/清单!E704*10000,0)</f>
        <v>19128</v>
      </c>
    </row>
    <row r="711" spans="3:11" ht="54">
      <c r="D711" s="2948" t="s">
        <v>4020</v>
      </c>
      <c r="E711" s="2948" t="s">
        <v>4021</v>
      </c>
      <c r="F711" s="2948" t="s">
        <v>4022</v>
      </c>
      <c r="H711" s="2948" t="s">
        <v>4023</v>
      </c>
      <c r="J711" s="2957" t="s">
        <v>4024</v>
      </c>
    </row>
    <row r="712" spans="3:11">
      <c r="F712" s="2948" t="s">
        <v>4025</v>
      </c>
      <c r="G712" s="2948" t="s">
        <v>4026</v>
      </c>
      <c r="H712" s="2948" t="s">
        <v>4025</v>
      </c>
      <c r="I712" s="2948" t="s">
        <v>4026</v>
      </c>
      <c r="J712" s="2957" t="s">
        <v>4025</v>
      </c>
      <c r="K712" s="2957" t="s">
        <v>4026</v>
      </c>
    </row>
    <row r="713" spans="3:11">
      <c r="D713" s="2948">
        <v>34338.32</v>
      </c>
      <c r="E713" s="2948">
        <v>16074.03</v>
      </c>
      <c r="F713" s="2948">
        <f ca="1">结果表!D118</f>
        <v>25855</v>
      </c>
      <c r="G713" s="2948">
        <f ca="1">ROUND(F713/E704*10000,0)</f>
        <v>9748</v>
      </c>
      <c r="H713" s="2948">
        <f ca="1">结果表!F118</f>
        <v>24741</v>
      </c>
      <c r="I713" s="2948">
        <f ca="1">ROUND(H713/E704*10000,0)</f>
        <v>9328</v>
      </c>
      <c r="J713" s="2957">
        <f ca="1">结果表!H118</f>
        <v>50596</v>
      </c>
      <c r="K713" s="2957">
        <f ca="1">ROUND(J713/E704*10000,0)</f>
        <v>19077</v>
      </c>
    </row>
    <row r="717" spans="3:11">
      <c r="E717" s="2948">
        <f>E713+[2]清单!$E$713</f>
        <v>30832.18</v>
      </c>
    </row>
  </sheetData>
  <mergeCells count="1">
    <mergeCell ref="A693:F693"/>
  </mergeCells>
  <phoneticPr fontId="14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5" t="s">
        <v>0</v>
      </c>
      <c r="B1" s="3095" t="s">
        <v>4</v>
      </c>
      <c r="C1" s="3095" t="s">
        <v>5</v>
      </c>
      <c r="D1" s="3096" t="s">
        <v>53</v>
      </c>
      <c r="E1" s="3096" t="s">
        <v>54</v>
      </c>
      <c r="F1" s="3096"/>
      <c r="G1" s="3096"/>
      <c r="H1" s="3096"/>
      <c r="I1" s="3096"/>
      <c r="J1" s="3096"/>
      <c r="K1" s="3096"/>
      <c r="L1" s="3096"/>
      <c r="M1" s="3096"/>
    </row>
    <row r="2" spans="1:13" ht="27" customHeight="1">
      <c r="A2" s="3095"/>
      <c r="B2" s="3095"/>
      <c r="C2" s="3095"/>
      <c r="D2" s="3096"/>
      <c r="E2" s="3096" t="s">
        <v>37</v>
      </c>
      <c r="F2" s="3096" t="s">
        <v>38</v>
      </c>
      <c r="G2" s="3096"/>
      <c r="H2" s="3096"/>
      <c r="I2" s="3096"/>
      <c r="J2" s="3096" t="s">
        <v>39</v>
      </c>
      <c r="K2" s="3096"/>
      <c r="L2" s="3096"/>
      <c r="M2" s="3096"/>
    </row>
    <row r="3" spans="1:13" ht="28.5">
      <c r="A3" s="3095"/>
      <c r="B3" s="3095"/>
      <c r="C3" s="3095"/>
      <c r="D3" s="3096"/>
      <c r="E3" s="309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6" t="s">
        <v>55</v>
      </c>
      <c r="B9" s="3096"/>
      <c r="C9" s="309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7" sqref="E37"/>
    </sheetView>
  </sheetViews>
  <sheetFormatPr defaultColWidth="9.25" defaultRowHeight="14.25"/>
  <cols>
    <col min="1" max="1" width="12.125" style="2229" customWidth="1"/>
    <col min="2" max="2" width="10.25" style="2229" customWidth="1"/>
    <col min="3" max="3" width="18.5" style="2229" customWidth="1"/>
    <col min="4" max="4" width="11.625" style="2229" customWidth="1"/>
    <col min="5" max="5" width="13.375" style="2229" customWidth="1"/>
    <col min="6" max="8" width="11.5" style="2229" customWidth="1"/>
    <col min="9" max="9" width="11.125" style="2229" customWidth="1"/>
    <col min="10" max="10" width="3.125" style="2229" customWidth="1"/>
    <col min="11" max="16" width="10" style="2229" customWidth="1"/>
    <col min="17" max="17" width="2.625" style="2229" customWidth="1"/>
    <col min="18" max="18" width="9.375" style="2229" bestFit="1" customWidth="1"/>
    <col min="19" max="19" width="10.5" style="2229" bestFit="1" customWidth="1"/>
    <col min="20" max="16384" width="9.25" style="2229"/>
  </cols>
  <sheetData>
    <row r="1" spans="1:16" ht="18.75">
      <c r="A1" s="2228" t="s">
        <v>1935</v>
      </c>
      <c r="B1" s="1395"/>
      <c r="C1" s="1395"/>
      <c r="D1" s="1395"/>
      <c r="E1" s="1395"/>
      <c r="F1" s="1395"/>
      <c r="G1" s="1395"/>
      <c r="H1" s="1395"/>
      <c r="I1" s="1395"/>
      <c r="J1" s="1395"/>
      <c r="K1" s="1395"/>
      <c r="L1" s="1395"/>
      <c r="M1" s="1395"/>
      <c r="N1" s="1395"/>
      <c r="O1" s="1395"/>
      <c r="P1" s="1395"/>
    </row>
    <row r="2" spans="1:16" ht="15">
      <c r="A2" s="3106" t="s">
        <v>1936</v>
      </c>
      <c r="B2" s="3106"/>
      <c r="C2" s="3106"/>
      <c r="D2" s="970" t="s">
        <v>1912</v>
      </c>
      <c r="E2" s="2230" t="s">
        <v>1913</v>
      </c>
      <c r="F2" s="1395"/>
      <c r="G2" s="2231"/>
      <c r="H2" s="2232"/>
      <c r="I2" s="2233" t="s">
        <v>1937</v>
      </c>
      <c r="J2" s="1395"/>
      <c r="K2" s="1395"/>
      <c r="L2" s="1395"/>
      <c r="M2" s="1395"/>
      <c r="N2" s="1430"/>
      <c r="O2" s="1395"/>
      <c r="P2" s="1395"/>
    </row>
    <row r="3" spans="1:16" ht="15.75" thickBot="1">
      <c r="A3" s="3107" t="s">
        <v>1910</v>
      </c>
      <c r="B3" s="3107"/>
      <c r="C3" s="3107"/>
      <c r="D3" s="46">
        <f>'数据-基础表'!AY6</f>
        <v>16074.03</v>
      </c>
      <c r="E3" s="46">
        <f>'数据-基础表'!AZ5</f>
        <v>34338.32</v>
      </c>
      <c r="F3" s="1395"/>
      <c r="G3" s="1402"/>
      <c r="H3" s="1250" t="s">
        <v>1911</v>
      </c>
      <c r="I3" s="55">
        <f>ROUND('数据-基础表'!B3/'数据-基础表'!A3,2)</f>
        <v>2.14</v>
      </c>
      <c r="J3" s="1395"/>
      <c r="K3" s="1395"/>
      <c r="L3" s="1395"/>
      <c r="M3" s="1395"/>
      <c r="N3" s="1430"/>
      <c r="O3" s="1395"/>
      <c r="P3" s="1395"/>
    </row>
    <row r="4" spans="1:16" ht="15">
      <c r="A4" s="3108"/>
      <c r="B4" s="3109"/>
      <c r="C4" s="3110"/>
      <c r="D4" s="2234" t="s">
        <v>1912</v>
      </c>
      <c r="E4" s="2235" t="s">
        <v>1913</v>
      </c>
      <c r="F4" s="1395"/>
      <c r="G4" s="2236" t="s">
        <v>1938</v>
      </c>
      <c r="H4" s="1250" t="s">
        <v>1918</v>
      </c>
      <c r="I4" s="55">
        <f>ROUND(SUMIF('数据-基础表'!I9:AS9,"地上",'数据-基础表'!I5:AS5)/'数据-基础表'!A3,2)</f>
        <v>2.14</v>
      </c>
      <c r="J4" s="1395"/>
      <c r="K4" s="1395"/>
      <c r="L4" s="1395"/>
      <c r="M4" s="1395"/>
      <c r="N4" s="1430"/>
      <c r="O4" s="1395"/>
      <c r="P4" s="1395"/>
    </row>
    <row r="5" spans="1:16">
      <c r="A5" s="47" t="s">
        <v>1914</v>
      </c>
      <c r="B5" s="3111" t="s">
        <v>1915</v>
      </c>
      <c r="C5" s="3111"/>
      <c r="D5" s="48">
        <f>ROUND($D$3*E5/$E$3,2)</f>
        <v>16074.03</v>
      </c>
      <c r="E5" s="49">
        <f>SUMIF('数据-基础表'!$11:$11,"住宅",'数据-基础表'!$5:$5)</f>
        <v>34338.32</v>
      </c>
      <c r="F5" s="1395"/>
      <c r="G5" s="1402"/>
      <c r="H5" s="1250" t="s">
        <v>1911</v>
      </c>
      <c r="I5" s="55">
        <f>ROUND(E31/D31,2)</f>
        <v>2.14</v>
      </c>
      <c r="J5" s="1395"/>
      <c r="K5" s="1395"/>
      <c r="L5" s="1395"/>
      <c r="M5" s="1395"/>
      <c r="N5" s="1395"/>
      <c r="O5" s="1395"/>
      <c r="P5" s="1395"/>
    </row>
    <row r="6" spans="1:16" ht="15" thickBot="1">
      <c r="A6" s="2237"/>
      <c r="B6" s="3111" t="s">
        <v>1916</v>
      </c>
      <c r="C6" s="3111"/>
      <c r="D6" s="48">
        <f>ROUND($D$3*E6/$E$3,2)</f>
        <v>0</v>
      </c>
      <c r="E6" s="49">
        <f>E3-E5</f>
        <v>0</v>
      </c>
      <c r="F6" s="1395"/>
      <c r="G6" s="2238" t="s">
        <v>1917</v>
      </c>
      <c r="H6" s="1402" t="s">
        <v>1918</v>
      </c>
      <c r="I6" s="942">
        <f>ROUND(F31/D31,2)</f>
        <v>2.14</v>
      </c>
      <c r="J6" s="1395"/>
      <c r="K6" s="1395"/>
      <c r="L6" s="1395"/>
      <c r="M6" s="1395"/>
      <c r="N6" s="1395"/>
      <c r="O6" s="1395"/>
      <c r="P6" s="1395"/>
    </row>
    <row r="7" spans="1:16" ht="15">
      <c r="A7" s="3103"/>
      <c r="B7" s="3104"/>
      <c r="C7" s="3105"/>
      <c r="D7" s="2234" t="s">
        <v>1912</v>
      </c>
      <c r="E7" s="2239" t="s">
        <v>1919</v>
      </c>
      <c r="F7" s="1395"/>
      <c r="G7" s="2231" t="s">
        <v>1920</v>
      </c>
      <c r="H7" s="64"/>
      <c r="I7" s="420"/>
      <c r="J7" s="1395"/>
      <c r="K7" s="1395"/>
      <c r="L7" s="1395"/>
      <c r="M7" s="1395"/>
      <c r="N7" s="1395"/>
      <c r="O7" s="1395"/>
      <c r="P7" s="1395"/>
    </row>
    <row r="8" spans="1:16">
      <c r="A8" s="47" t="s">
        <v>1921</v>
      </c>
      <c r="B8" s="50" t="s">
        <v>1922</v>
      </c>
      <c r="C8" s="48" t="s">
        <v>1923</v>
      </c>
      <c r="D8" s="48">
        <f t="shared" ref="D8:D15" si="0">ROUND($D$3*E8/$E$3,2)</f>
        <v>16074.03</v>
      </c>
      <c r="E8" s="51">
        <f>SUMIF('数据-基础表'!BB10:BK10,"地上",'数据-基础表'!BB5:BK5)</f>
        <v>34338.32</v>
      </c>
      <c r="F8" s="1395"/>
      <c r="G8" s="2240"/>
      <c r="H8" s="2240"/>
      <c r="I8" s="1395"/>
      <c r="J8" s="1395"/>
      <c r="K8" s="1395"/>
      <c r="L8" s="1395"/>
      <c r="M8" s="1395"/>
      <c r="N8" s="1395"/>
      <c r="O8" s="1395"/>
      <c r="P8" s="1395"/>
    </row>
    <row r="9" spans="1:16">
      <c r="A9" s="2241"/>
      <c r="B9" s="2242"/>
      <c r="C9" s="48" t="s">
        <v>1924</v>
      </c>
      <c r="D9" s="48">
        <f t="shared" si="0"/>
        <v>0</v>
      </c>
      <c r="E9" s="52">
        <v>0</v>
      </c>
      <c r="F9" s="1395"/>
      <c r="G9" s="2240"/>
      <c r="H9" s="2240"/>
      <c r="I9" s="1395"/>
      <c r="J9" s="1395"/>
      <c r="K9" s="1395"/>
      <c r="L9" s="1395"/>
      <c r="M9" s="1395"/>
      <c r="N9" s="1395"/>
      <c r="O9" s="1395"/>
      <c r="P9" s="1395"/>
    </row>
    <row r="10" spans="1:16">
      <c r="A10" s="2241"/>
      <c r="B10" s="2242"/>
      <c r="C10" s="48" t="s">
        <v>1933</v>
      </c>
      <c r="D10" s="48">
        <f t="shared" si="0"/>
        <v>0</v>
      </c>
      <c r="E10" s="51">
        <f>SUMPRODUCT(('数据-基础表'!BB10:BK10="地下")*('数据-基础表'!BB11:BK11="商业")*('数据-基础表'!BB5:BK5))</f>
        <v>0</v>
      </c>
      <c r="F10" s="1395"/>
      <c r="G10" s="2240"/>
      <c r="H10" s="2240"/>
      <c r="I10" s="1395"/>
      <c r="J10" s="1395"/>
      <c r="K10" s="1395"/>
      <c r="L10" s="1395"/>
      <c r="M10" s="1395"/>
      <c r="N10" s="1395"/>
      <c r="O10" s="1395"/>
      <c r="P10" s="1395"/>
    </row>
    <row r="11" spans="1:16">
      <c r="A11" s="2241"/>
      <c r="B11" s="2242"/>
      <c r="C11" s="48" t="s">
        <v>1925</v>
      </c>
      <c r="D11" s="48">
        <f t="shared" si="0"/>
        <v>0</v>
      </c>
      <c r="E11" s="51">
        <f>SUMPRODUCT(('数据-基础表'!BB10:BK10="地下")*('数据-基础表'!BB11:BK11="办公")*('数据-基础表'!BB5:BK5))+'数据-基础表'!BP5</f>
        <v>0</v>
      </c>
      <c r="F11" s="1395"/>
      <c r="G11" s="2240"/>
      <c r="H11" s="2240"/>
      <c r="I11" s="1395"/>
      <c r="J11" s="1395"/>
      <c r="K11" s="1395"/>
      <c r="L11" s="1395"/>
      <c r="M11" s="1395"/>
      <c r="N11" s="1395"/>
      <c r="O11" s="1395"/>
      <c r="P11" s="1395"/>
    </row>
    <row r="12" spans="1:16">
      <c r="A12" s="2241"/>
      <c r="B12" s="2242"/>
      <c r="C12" s="48" t="s">
        <v>1926</v>
      </c>
      <c r="D12" s="48">
        <f t="shared" si="0"/>
        <v>0</v>
      </c>
      <c r="E12" s="51">
        <f>SUMPRODUCT(('数据-基础表'!BB10:BK10="地下")*('数据-基础表'!BB11:BK11="仓储")*('数据-基础表'!BB5:BK5))</f>
        <v>0</v>
      </c>
      <c r="F12" s="1395"/>
      <c r="G12" s="2240"/>
      <c r="H12" s="2240"/>
      <c r="I12" s="1395"/>
      <c r="J12" s="1395"/>
      <c r="K12" s="1395"/>
      <c r="L12" s="1395"/>
      <c r="M12" s="1395"/>
      <c r="N12" s="1395"/>
      <c r="O12" s="1395"/>
      <c r="P12" s="1395"/>
    </row>
    <row r="13" spans="1:16">
      <c r="A13" s="2241"/>
      <c r="B13" s="2242"/>
      <c r="C13" s="48" t="s">
        <v>1927</v>
      </c>
      <c r="D13" s="48">
        <f t="shared" si="0"/>
        <v>0</v>
      </c>
      <c r="E13" s="51">
        <f>SUMPRODUCT(('数据-基础表'!BB10:BK10="地下")*('数据-基础表'!BB11:BK11="车库")*('数据-基础表'!BB5:BK5))</f>
        <v>0</v>
      </c>
      <c r="F13" s="1395"/>
      <c r="G13" s="2240"/>
      <c r="H13" s="2240"/>
      <c r="I13" s="1395"/>
      <c r="J13" s="1395"/>
      <c r="K13" s="1395"/>
      <c r="L13" s="1395"/>
      <c r="M13" s="1395"/>
      <c r="N13" s="1395"/>
      <c r="O13" s="1395"/>
      <c r="P13" s="1395"/>
    </row>
    <row r="14" spans="1:16">
      <c r="A14" s="2241"/>
      <c r="B14" s="2242"/>
      <c r="C14" s="48" t="s">
        <v>1939</v>
      </c>
      <c r="D14" s="48">
        <f t="shared" si="0"/>
        <v>0</v>
      </c>
      <c r="E14" s="51">
        <f>SUMPRODUCT(('数据-基础表'!BB10:BK10="地下")*('数据-基础表'!BB11:BK11="车库—商业")*('数据-基础表'!BB5:BK5))</f>
        <v>0</v>
      </c>
      <c r="F14" s="1395"/>
      <c r="G14" s="2240"/>
      <c r="H14" s="2240"/>
      <c r="I14" s="1395"/>
      <c r="J14" s="1395"/>
      <c r="K14" s="1395"/>
      <c r="L14" s="1395"/>
      <c r="M14" s="1395"/>
      <c r="N14" s="1395"/>
      <c r="O14" s="1395"/>
      <c r="P14" s="1395"/>
    </row>
    <row r="15" spans="1:16" ht="15" thickBot="1">
      <c r="A15" s="2241"/>
      <c r="B15" s="2242"/>
      <c r="C15" s="48" t="s">
        <v>1934</v>
      </c>
      <c r="D15" s="48">
        <f t="shared" si="0"/>
        <v>0</v>
      </c>
      <c r="E15" s="51">
        <f>SUMPRODUCT(('数据-基础表'!BB10:BK10="地下")*('数据-基础表'!BB11:BK11="车库—办公")*('数据-基础表'!BB5:BK5))</f>
        <v>0</v>
      </c>
      <c r="F15" s="1395"/>
      <c r="G15" s="2240"/>
      <c r="H15" s="2240"/>
      <c r="I15" s="1395"/>
      <c r="J15" s="1395"/>
      <c r="K15" s="1395"/>
      <c r="L15" s="1395"/>
      <c r="M15" s="1395"/>
      <c r="N15" s="1395"/>
      <c r="O15" s="1395"/>
      <c r="P15" s="1395"/>
    </row>
    <row r="16" spans="1:16" ht="15.75" thickBot="1">
      <c r="A16" s="2237"/>
      <c r="B16" s="2242"/>
      <c r="C16" s="50" t="s">
        <v>1928</v>
      </c>
      <c r="D16" s="50">
        <f>SUM(D8:D15)</f>
        <v>16074.03</v>
      </c>
      <c r="E16" s="53">
        <f>SUM(E8:E15)</f>
        <v>34338.32</v>
      </c>
      <c r="F16" s="1395"/>
      <c r="G16" s="2240"/>
      <c r="H16" s="2243" t="s">
        <v>1940</v>
      </c>
      <c r="I16" s="2244"/>
      <c r="J16" s="1395"/>
      <c r="K16" s="3100" t="s">
        <v>1940</v>
      </c>
      <c r="L16" s="3101"/>
      <c r="M16" s="3101"/>
      <c r="N16" s="3101"/>
      <c r="O16" s="3101"/>
      <c r="P16" s="3102"/>
    </row>
    <row r="17" spans="1:19" ht="15">
      <c r="A17" s="2245" t="s">
        <v>1941</v>
      </c>
      <c r="B17" s="2246" t="s">
        <v>1942</v>
      </c>
      <c r="C17" s="2247" t="s">
        <v>1943</v>
      </c>
      <c r="D17" s="2248" t="s">
        <v>1931</v>
      </c>
      <c r="E17" s="2249" t="s">
        <v>1932</v>
      </c>
      <c r="F17" s="2250"/>
      <c r="G17" s="2251"/>
      <c r="H17" s="2252" t="s">
        <v>1944</v>
      </c>
      <c r="I17" s="2253" t="s">
        <v>1929</v>
      </c>
      <c r="J17" s="1395"/>
      <c r="K17" s="3097" t="s">
        <v>1945</v>
      </c>
      <c r="L17" s="3098"/>
      <c r="M17" s="3099"/>
      <c r="N17" s="3097" t="s">
        <v>1946</v>
      </c>
      <c r="O17" s="3098"/>
      <c r="P17" s="3099"/>
      <c r="R17" s="2231" t="s">
        <v>1947</v>
      </c>
      <c r="S17" s="64"/>
    </row>
    <row r="18" spans="1:19" ht="15">
      <c r="A18" s="2241"/>
      <c r="B18" s="2254"/>
      <c r="C18" s="2255"/>
      <c r="D18" s="2256"/>
      <c r="E18" s="2257" t="s">
        <v>1948</v>
      </c>
      <c r="F18" s="2258" t="s">
        <v>1949</v>
      </c>
      <c r="G18" s="2259" t="s">
        <v>1950</v>
      </c>
      <c r="H18" s="1265" t="s">
        <v>1951</v>
      </c>
      <c r="I18" s="2260" t="s">
        <v>1952</v>
      </c>
      <c r="J18" s="1395"/>
      <c r="K18" s="1265" t="s">
        <v>1953</v>
      </c>
      <c r="L18" s="2261" t="s">
        <v>1954</v>
      </c>
      <c r="M18" s="1049" t="s">
        <v>1955</v>
      </c>
      <c r="N18" s="1265" t="s">
        <v>1953</v>
      </c>
      <c r="O18" s="2261" t="s">
        <v>1954</v>
      </c>
      <c r="P18" s="1049" t="s">
        <v>1955</v>
      </c>
      <c r="R18" s="1250" t="s">
        <v>1956</v>
      </c>
      <c r="S18" s="1250" t="s">
        <v>1957</v>
      </c>
    </row>
    <row r="19" spans="1:19">
      <c r="A19" s="2262"/>
      <c r="B19" s="50" t="s">
        <v>1930</v>
      </c>
      <c r="C19" s="2965" t="s">
        <v>3869</v>
      </c>
      <c r="D19" s="48">
        <f>ROUND($D$3*E19/$E$3,2)</f>
        <v>16074.03</v>
      </c>
      <c r="E19" s="56">
        <f t="shared" ref="E19:E26" si="1">SUM(F19:G19)</f>
        <v>34338.32</v>
      </c>
      <c r="F19" s="57">
        <f>'数据-基础表'!I13</f>
        <v>34338.32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4"/>
      <c r="O19" s="2265"/>
      <c r="P19" s="1406">
        <f>N19+O19</f>
        <v>0</v>
      </c>
      <c r="R19" s="1250">
        <f t="shared" ref="R19:S26" si="5">D19+H19</f>
        <v>16074.03</v>
      </c>
      <c r="S19" s="1251">
        <f t="shared" si="5"/>
        <v>34338.32</v>
      </c>
    </row>
    <row r="20" spans="1:19">
      <c r="A20" s="2266"/>
      <c r="B20" s="50" t="s">
        <v>1958</v>
      </c>
      <c r="C20" s="2263"/>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4"/>
      <c r="O20" s="2265"/>
      <c r="P20" s="1406">
        <f t="shared" ref="P20:P26" si="9">N20+O20</f>
        <v>0</v>
      </c>
      <c r="R20" s="1250">
        <f t="shared" si="5"/>
        <v>0</v>
      </c>
      <c r="S20" s="1251">
        <f t="shared" si="5"/>
        <v>0</v>
      </c>
    </row>
    <row r="21" spans="1:19">
      <c r="A21" s="2266"/>
      <c r="B21" s="50" t="s">
        <v>1958</v>
      </c>
      <c r="C21" s="2263"/>
      <c r="D21" s="48">
        <f t="shared" si="6"/>
        <v>0</v>
      </c>
      <c r="E21" s="56">
        <f t="shared" si="1"/>
        <v>0</v>
      </c>
      <c r="F21" s="57"/>
      <c r="G21" s="58"/>
      <c r="H21" s="723">
        <f t="shared" si="7"/>
        <v>0</v>
      </c>
      <c r="I21" s="51">
        <f t="shared" si="2"/>
        <v>0</v>
      </c>
      <c r="J21" s="1395"/>
      <c r="K21" s="1394">
        <f t="shared" si="3"/>
        <v>0</v>
      </c>
      <c r="L21" s="1250">
        <f t="shared" si="4"/>
        <v>0</v>
      </c>
      <c r="M21" s="1406">
        <f t="shared" si="8"/>
        <v>0</v>
      </c>
      <c r="N21" s="2264"/>
      <c r="O21" s="2265"/>
      <c r="P21" s="1406">
        <f t="shared" si="9"/>
        <v>0</v>
      </c>
      <c r="R21" s="1250">
        <f t="shared" si="5"/>
        <v>0</v>
      </c>
      <c r="S21" s="1251">
        <f t="shared" si="5"/>
        <v>0</v>
      </c>
    </row>
    <row r="22" spans="1:19">
      <c r="A22" s="2266"/>
      <c r="B22" s="50" t="s">
        <v>1958</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4"/>
      <c r="O22" s="2265"/>
      <c r="P22" s="1406">
        <f t="shared" si="9"/>
        <v>0</v>
      </c>
      <c r="R22" s="1250">
        <f t="shared" si="5"/>
        <v>0</v>
      </c>
      <c r="S22" s="1251">
        <f t="shared" si="5"/>
        <v>0</v>
      </c>
    </row>
    <row r="23" spans="1:19">
      <c r="A23" s="2266"/>
      <c r="B23" s="50" t="s">
        <v>1958</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4"/>
      <c r="O23" s="2265"/>
      <c r="P23" s="1406">
        <f t="shared" si="9"/>
        <v>0</v>
      </c>
      <c r="R23" s="1250">
        <f t="shared" si="5"/>
        <v>0</v>
      </c>
      <c r="S23" s="1251">
        <f t="shared" si="5"/>
        <v>0</v>
      </c>
    </row>
    <row r="24" spans="1:19">
      <c r="A24" s="2266"/>
      <c r="B24" s="50" t="s">
        <v>1958</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4"/>
      <c r="O24" s="2265"/>
      <c r="P24" s="1406">
        <f t="shared" si="9"/>
        <v>0</v>
      </c>
      <c r="R24" s="1250">
        <f t="shared" si="5"/>
        <v>0</v>
      </c>
      <c r="S24" s="1251">
        <f t="shared" si="5"/>
        <v>0</v>
      </c>
    </row>
    <row r="25" spans="1:19">
      <c r="A25" s="2266"/>
      <c r="B25" s="50" t="s">
        <v>1958</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4"/>
      <c r="O25" s="2265"/>
      <c r="P25" s="1406">
        <f t="shared" si="9"/>
        <v>0</v>
      </c>
      <c r="R25" s="1250">
        <f t="shared" si="5"/>
        <v>0</v>
      </c>
      <c r="S25" s="1251">
        <f t="shared" si="5"/>
        <v>0</v>
      </c>
    </row>
    <row r="26" spans="1:19">
      <c r="A26" s="2266"/>
      <c r="B26" s="50" t="s">
        <v>1958</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7"/>
      <c r="O26" s="2268"/>
      <c r="P26" s="67">
        <f t="shared" si="9"/>
        <v>0</v>
      </c>
      <c r="R26" s="1250">
        <f t="shared" si="5"/>
        <v>0</v>
      </c>
      <c r="S26" s="1251">
        <f t="shared" si="5"/>
        <v>0</v>
      </c>
    </row>
    <row r="27" spans="1:19" ht="15.75" thickBot="1">
      <c r="A27" s="2266"/>
      <c r="B27" s="48"/>
      <c r="C27" s="2269" t="s">
        <v>1959</v>
      </c>
      <c r="D27" s="1396">
        <f>SUM(D19:D26)</f>
        <v>16074.03</v>
      </c>
      <c r="E27" s="1397">
        <f>IF(SUM(E19:E26)='数据-基础表'!BA5,SUM(E19:E26),IF(F27="地上面积有误","面积有误","地下面积有误"))</f>
        <v>34338.32</v>
      </c>
      <c r="F27" s="1396">
        <f>IF(SUM(F19:F26)=E8,SUM(F19:F26),"地上面积有误")</f>
        <v>34338.32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16074.03</v>
      </c>
      <c r="S27" s="1250">
        <f>IF(SUM(S19:S26)=$E$3,SUM(S19:S26),SUM(S19:S26)&amp;"误差"&amp;ROUND(SUM(S19:S26)-E3,2))</f>
        <v>34338.32</v>
      </c>
    </row>
    <row r="28" spans="1:19">
      <c r="A28" s="2266"/>
      <c r="B28" s="50" t="s">
        <v>1960</v>
      </c>
      <c r="C28" s="1262" t="s">
        <v>1961</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6"/>
      <c r="B29" s="50" t="s">
        <v>1960</v>
      </c>
      <c r="C29" s="2270" t="s">
        <v>1962</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6"/>
      <c r="B30" s="50"/>
      <c r="C30" s="2271" t="s">
        <v>1959</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2"/>
      <c r="B31" s="2273"/>
      <c r="C31" s="1010" t="s">
        <v>1963</v>
      </c>
      <c r="D31" s="729">
        <f>D27+D30</f>
        <v>16074.03</v>
      </c>
      <c r="E31" s="729">
        <f>E27+E30</f>
        <v>34338.32</v>
      </c>
      <c r="F31" s="730">
        <f>F27+F30</f>
        <v>34338.32</v>
      </c>
      <c r="G31" s="731">
        <f>G27+G30</f>
        <v>0</v>
      </c>
      <c r="H31" s="1395"/>
      <c r="I31" s="1395"/>
      <c r="J31" s="1395"/>
      <c r="K31" s="1395"/>
      <c r="L31" s="1395"/>
      <c r="M31" s="1395"/>
      <c r="N31" s="1395"/>
      <c r="O31" s="1395"/>
      <c r="P31" s="1395"/>
    </row>
    <row r="32" spans="1:19">
      <c r="A32" s="2236"/>
      <c r="B32" s="2236" t="s">
        <v>1964</v>
      </c>
      <c r="C32" s="2236"/>
      <c r="D32" s="2236"/>
      <c r="E32" s="1277">
        <f>SUMIF(C19:C26,"*住宅*",E19:E26)</f>
        <v>34338.32</v>
      </c>
      <c r="F32" s="2236"/>
      <c r="G32" s="2236"/>
      <c r="H32" s="1395"/>
      <c r="I32" s="1395"/>
      <c r="J32" s="1395"/>
      <c r="K32" s="1395"/>
      <c r="L32" s="1395"/>
      <c r="M32" s="1395"/>
      <c r="N32" s="1395"/>
      <c r="O32" s="1395"/>
      <c r="P32" s="1395"/>
    </row>
    <row r="33" spans="4:4">
      <c r="D33" s="227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E21" sqref="E21:F21"/>
    </sheetView>
  </sheetViews>
  <sheetFormatPr defaultColWidth="13.75" defaultRowHeight="12.75"/>
  <cols>
    <col min="1" max="1" width="20.875" style="2348" customWidth="1"/>
    <col min="2" max="2" width="12" style="2278" customWidth="1"/>
    <col min="3" max="3" width="10.75" style="2278" customWidth="1"/>
    <col min="4" max="4" width="9.125" style="2349" customWidth="1"/>
    <col min="5" max="5" width="15" style="2278" bestFit="1" customWidth="1"/>
    <col min="6" max="10" width="8.875" style="2278" customWidth="1"/>
    <col min="11" max="12" width="12.375" style="2192" customWidth="1"/>
    <col min="13" max="13" width="8.625" style="2278" customWidth="1"/>
    <col min="14" max="14" width="11.875" style="2278" customWidth="1"/>
    <col min="15" max="15" width="8.5" style="2278" customWidth="1"/>
    <col min="16" max="17" width="10.875" style="2278" customWidth="1"/>
    <col min="18" max="19" width="12.5" style="2278" customWidth="1"/>
    <col min="20" max="20" width="12.125" style="2278" customWidth="1"/>
    <col min="21" max="21" width="7.5" style="2278" customWidth="1"/>
    <col min="22" max="22" width="6.375" style="2278" customWidth="1"/>
    <col min="23" max="30" width="6.75" style="2278" customWidth="1"/>
    <col min="31" max="31" width="8" style="2278" customWidth="1"/>
    <col min="32" max="34" width="7.25" style="2278" customWidth="1"/>
    <col min="35" max="39" width="8" style="2278" customWidth="1"/>
    <col min="40" max="40" width="13.75" style="2277"/>
    <col min="41" max="41" width="11.625" style="2277" customWidth="1"/>
    <col min="42" max="42" width="9.75" style="2277" customWidth="1"/>
    <col min="43" max="67" width="13.75" style="2277"/>
    <col min="68" max="16384" width="13.75" style="2278"/>
  </cols>
  <sheetData>
    <row r="1" spans="1:67" ht="19.5" thickBot="1">
      <c r="A1" s="2275" t="s">
        <v>1965</v>
      </c>
      <c r="B1" s="732"/>
      <c r="C1" s="1583"/>
      <c r="D1" s="2276"/>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9" t="s">
        <v>1966</v>
      </c>
      <c r="B2" s="1269">
        <f>项目基本情况!D3</f>
        <v>43689</v>
      </c>
      <c r="C2" s="2280"/>
      <c r="D2" s="2281"/>
      <c r="E2" s="2280"/>
      <c r="F2" s="2280"/>
      <c r="G2" s="2280"/>
      <c r="H2" s="2280"/>
      <c r="I2" s="2280"/>
      <c r="J2" s="2280"/>
      <c r="K2" s="1430"/>
      <c r="L2" s="1430"/>
      <c r="M2" s="2280"/>
      <c r="N2" s="2280"/>
      <c r="O2" s="2280"/>
      <c r="P2" s="2280"/>
      <c r="Q2" s="2280"/>
      <c r="R2" s="2280"/>
      <c r="S2" s="2280"/>
      <c r="T2" s="2280"/>
      <c r="U2" s="2280"/>
      <c r="V2" s="2280"/>
      <c r="W2" s="2280"/>
      <c r="X2" s="2280"/>
      <c r="Y2" s="2280"/>
      <c r="Z2" s="2280"/>
      <c r="AA2" s="2280"/>
      <c r="AB2" s="2280"/>
      <c r="AC2" s="2280"/>
      <c r="AD2" s="2280"/>
      <c r="AE2" s="2280"/>
      <c r="AF2" s="2280"/>
      <c r="AG2" s="2280"/>
      <c r="AH2" s="2280"/>
      <c r="AI2" s="2280"/>
      <c r="AJ2" s="2280"/>
      <c r="AK2" s="2280"/>
      <c r="AL2" s="2280"/>
      <c r="AM2" s="2280"/>
      <c r="AN2" s="2282"/>
      <c r="AO2" s="2282"/>
      <c r="AP2" s="2282"/>
      <c r="AQ2" s="2282"/>
      <c r="AR2" s="2282"/>
      <c r="AS2" s="2282"/>
      <c r="AT2" s="2282"/>
      <c r="AU2" s="2282"/>
      <c r="AV2" s="2282"/>
      <c r="AW2" s="2282"/>
      <c r="AX2" s="2282"/>
      <c r="AY2" s="2282"/>
      <c r="AZ2" s="2282"/>
      <c r="BA2" s="2282"/>
      <c r="BB2" s="2282"/>
      <c r="BC2" s="2282"/>
      <c r="BD2" s="2282"/>
      <c r="BE2" s="2282"/>
      <c r="BF2" s="2282"/>
      <c r="BG2" s="2282"/>
      <c r="BH2" s="2282"/>
      <c r="BI2" s="2282"/>
      <c r="BJ2" s="2282"/>
      <c r="BK2" s="2282"/>
      <c r="BL2" s="2282"/>
      <c r="BM2" s="2282"/>
      <c r="BN2" s="2282"/>
      <c r="BO2" s="2282"/>
    </row>
    <row r="3" spans="1:67" s="2033" customFormat="1" ht="15" thickBot="1">
      <c r="A3" s="2031"/>
      <c r="B3" s="2283"/>
      <c r="C3" s="2280"/>
      <c r="D3" s="2281"/>
      <c r="E3" s="2280"/>
      <c r="F3" s="2280"/>
      <c r="G3" s="2280"/>
      <c r="H3" s="2280"/>
      <c r="I3" s="2280"/>
      <c r="J3" s="2280"/>
      <c r="K3" s="1430"/>
      <c r="L3" s="1430"/>
      <c r="M3" s="2280"/>
      <c r="N3" s="2280"/>
      <c r="O3" s="2280"/>
      <c r="P3" s="2280"/>
      <c r="Q3" s="2280"/>
      <c r="R3" s="2280"/>
      <c r="S3" s="2280"/>
      <c r="T3" s="2280"/>
      <c r="U3" s="2280"/>
      <c r="V3" s="2280"/>
      <c r="W3" s="2280"/>
      <c r="X3" s="2280"/>
      <c r="Y3" s="2280"/>
      <c r="Z3" s="2280"/>
      <c r="AA3" s="2280"/>
      <c r="AB3" s="2280"/>
      <c r="AC3" s="2280"/>
      <c r="AD3" s="2280"/>
      <c r="AE3" s="2280"/>
      <c r="AF3" s="2280"/>
      <c r="AG3" s="2280"/>
      <c r="AH3" s="2280"/>
      <c r="AI3" s="2280"/>
      <c r="AJ3" s="2280"/>
      <c r="AK3" s="2280"/>
      <c r="AL3" s="2280"/>
      <c r="AM3" s="2280"/>
      <c r="AN3" s="2282"/>
      <c r="AO3" s="2282"/>
      <c r="AP3" s="2282"/>
      <c r="AQ3" s="2282"/>
      <c r="AR3" s="2282"/>
      <c r="AS3" s="2282"/>
      <c r="AT3" s="2282"/>
      <c r="AU3" s="2282"/>
      <c r="AV3" s="2282"/>
      <c r="AW3" s="2282"/>
      <c r="AX3" s="2282"/>
      <c r="AY3" s="2282"/>
      <c r="AZ3" s="2282"/>
      <c r="BA3" s="2282"/>
      <c r="BB3" s="2282"/>
      <c r="BC3" s="2282"/>
      <c r="BD3" s="2282"/>
      <c r="BE3" s="2282"/>
      <c r="BF3" s="2282"/>
      <c r="BG3" s="2282"/>
      <c r="BH3" s="2282"/>
      <c r="BI3" s="2282"/>
      <c r="BJ3" s="2282"/>
      <c r="BK3" s="2282"/>
      <c r="BL3" s="2282"/>
      <c r="BM3" s="2282"/>
      <c r="BN3" s="2282"/>
      <c r="BO3" s="2282"/>
    </row>
    <row r="4" spans="1:67" s="2033" customFormat="1" ht="15" thickBot="1">
      <c r="A4" s="68" t="s">
        <v>1967</v>
      </c>
      <c r="B4" s="2284"/>
      <c r="C4" s="2285"/>
      <c r="D4" s="2286"/>
      <c r="E4" s="2285" t="s">
        <v>1968</v>
      </c>
      <c r="F4" s="2285"/>
      <c r="G4" s="2285"/>
      <c r="H4" s="2285"/>
      <c r="I4" s="2285"/>
      <c r="J4" s="2287"/>
      <c r="K4" s="2288"/>
      <c r="L4" s="2289"/>
      <c r="M4" s="2285"/>
      <c r="N4" s="2285" t="s">
        <v>1969</v>
      </c>
      <c r="O4" s="2285"/>
      <c r="P4" s="2285"/>
      <c r="Q4" s="2285"/>
      <c r="R4" s="2285"/>
      <c r="S4" s="2287"/>
      <c r="T4" s="2290" t="str">
        <f>'数据-汇总表'!I17</f>
        <v>按面积比例</v>
      </c>
      <c r="U4" s="2284" t="s">
        <v>1970</v>
      </c>
      <c r="V4" s="2285"/>
      <c r="W4" s="2285"/>
      <c r="X4" s="2285"/>
      <c r="Y4" s="2287"/>
      <c r="Z4" s="2247" t="s">
        <v>1971</v>
      </c>
      <c r="AA4" s="2247"/>
      <c r="AB4" s="2247"/>
      <c r="AC4" s="2247"/>
      <c r="AD4" s="2247"/>
      <c r="AE4" s="2245" t="s">
        <v>1972</v>
      </c>
      <c r="AF4" s="2247"/>
      <c r="AG4" s="2291"/>
      <c r="AH4" s="2284"/>
      <c r="AI4" s="2285"/>
      <c r="AJ4" s="2285"/>
      <c r="AK4" s="2285"/>
      <c r="AL4" s="2285"/>
      <c r="AM4" s="2287"/>
      <c r="AN4" s="2282"/>
      <c r="AO4" s="2282"/>
      <c r="AP4" s="2282"/>
      <c r="AQ4" s="2282"/>
      <c r="AR4" s="2282"/>
      <c r="AS4" s="2282"/>
      <c r="AT4" s="2282"/>
      <c r="AU4" s="2282"/>
      <c r="AV4" s="2282"/>
      <c r="AW4" s="2282"/>
      <c r="AX4" s="2282"/>
      <c r="AY4" s="2282"/>
      <c r="AZ4" s="2282"/>
      <c r="BA4" s="2282"/>
      <c r="BB4" s="2282"/>
      <c r="BC4" s="2282"/>
      <c r="BD4" s="2282"/>
      <c r="BE4" s="2282"/>
      <c r="BF4" s="2282"/>
      <c r="BG4" s="2282"/>
      <c r="BH4" s="2282"/>
      <c r="BI4" s="2282"/>
      <c r="BJ4" s="2282"/>
      <c r="BK4" s="2282"/>
      <c r="BL4" s="2282"/>
      <c r="BM4" s="2282"/>
      <c r="BN4" s="2282"/>
      <c r="BO4" s="2282"/>
    </row>
    <row r="5" spans="1:67" s="2034" customFormat="1" ht="42">
      <c r="A5" s="2292" t="s">
        <v>1973</v>
      </c>
      <c r="B5" s="2293" t="s">
        <v>1974</v>
      </c>
      <c r="C5" s="2294" t="s">
        <v>1975</v>
      </c>
      <c r="D5" s="2295" t="s">
        <v>1976</v>
      </c>
      <c r="E5" s="1271" t="s">
        <v>1977</v>
      </c>
      <c r="F5" s="2296" t="s">
        <v>1978</v>
      </c>
      <c r="G5" s="1271" t="s">
        <v>1979</v>
      </c>
      <c r="H5" s="1271" t="s">
        <v>1980</v>
      </c>
      <c r="I5" s="1271" t="s">
        <v>1981</v>
      </c>
      <c r="J5" s="2297" t="s">
        <v>1982</v>
      </c>
      <c r="K5" s="2298" t="s">
        <v>1983</v>
      </c>
      <c r="L5" s="2299" t="s">
        <v>1984</v>
      </c>
      <c r="M5" s="2300" t="s">
        <v>1985</v>
      </c>
      <c r="N5" s="2301" t="s">
        <v>1986</v>
      </c>
      <c r="O5" s="2299" t="s">
        <v>1987</v>
      </c>
      <c r="P5" s="2302" t="s">
        <v>1988</v>
      </c>
      <c r="Q5" s="69" t="s">
        <v>1989</v>
      </c>
      <c r="R5" s="2303" t="s">
        <v>1990</v>
      </c>
      <c r="S5" s="2304" t="s">
        <v>1991</v>
      </c>
      <c r="T5" s="2305" t="s">
        <v>1992</v>
      </c>
      <c r="U5" s="1270" t="s">
        <v>1993</v>
      </c>
      <c r="V5" s="1271" t="s">
        <v>1994</v>
      </c>
      <c r="W5" s="1271" t="s">
        <v>1995</v>
      </c>
      <c r="X5" s="71"/>
      <c r="Y5" s="70" t="s">
        <v>1996</v>
      </c>
      <c r="Z5" s="2306" t="s">
        <v>1993</v>
      </c>
      <c r="AA5" s="1271" t="s">
        <v>1994</v>
      </c>
      <c r="AB5" s="1271" t="s">
        <v>1995</v>
      </c>
      <c r="AC5" s="71"/>
      <c r="AD5" s="71" t="s">
        <v>1996</v>
      </c>
      <c r="AE5" s="1270" t="s">
        <v>1997</v>
      </c>
      <c r="AF5" s="1271" t="s">
        <v>1998</v>
      </c>
      <c r="AG5" s="70" t="s">
        <v>1999</v>
      </c>
      <c r="AH5" s="1270" t="s">
        <v>2000</v>
      </c>
      <c r="AI5" s="2306" t="s">
        <v>2001</v>
      </c>
      <c r="AJ5" s="2306" t="s">
        <v>2002</v>
      </c>
      <c r="AK5" s="1271" t="s">
        <v>2003</v>
      </c>
      <c r="AL5" s="1271" t="s">
        <v>2004</v>
      </c>
      <c r="AM5" s="70" t="s">
        <v>2005</v>
      </c>
      <c r="AN5" s="2307" t="s">
        <v>2006</v>
      </c>
      <c r="AO5" s="2077" t="s">
        <v>2007</v>
      </c>
      <c r="AP5" s="1252" t="s">
        <v>2008</v>
      </c>
      <c r="AQ5" s="2308" t="s">
        <v>2009</v>
      </c>
      <c r="AR5" s="2308" t="s">
        <v>2010</v>
      </c>
      <c r="AS5" s="2160"/>
      <c r="AT5" s="2160"/>
      <c r="AU5" s="2160"/>
      <c r="AV5" s="2160"/>
      <c r="AW5" s="2160"/>
      <c r="AX5" s="2160"/>
      <c r="AY5" s="2160"/>
      <c r="AZ5" s="2160"/>
      <c r="BA5" s="2160"/>
      <c r="BB5" s="2160"/>
      <c r="BC5" s="2160"/>
      <c r="BD5" s="2160"/>
      <c r="BE5" s="2160"/>
      <c r="BF5" s="2160"/>
      <c r="BG5" s="2160"/>
      <c r="BH5" s="2160"/>
      <c r="BI5" s="2160"/>
      <c r="BJ5" s="2160"/>
      <c r="BK5" s="2160"/>
      <c r="BL5" s="2160"/>
      <c r="BM5" s="2160"/>
      <c r="BN5" s="2160"/>
      <c r="BO5" s="2160"/>
    </row>
    <row r="6" spans="1:67" s="2033" customFormat="1" ht="14.25">
      <c r="A6" s="2309" t="str">
        <f>'数据-汇总表'!C19</f>
        <v>住宅</v>
      </c>
      <c r="B6" s="2310" t="str">
        <f>IF(A6=0,"","经营性")</f>
        <v>经营性</v>
      </c>
      <c r="C6" s="2311" t="s">
        <v>3868</v>
      </c>
      <c r="D6" s="1054">
        <f>SUMIF(项目基本情况!D$12:I$12,C6,项目基本情况!D$14:I$14)</f>
        <v>70</v>
      </c>
      <c r="E6" s="1051">
        <f>IF(B6="","",SUMIF(项目基本情况!D$12:I$12,C6,项目基本情况!D$13:I$13))</f>
        <v>59849</v>
      </c>
      <c r="F6" s="72">
        <f>SUMIF(项目基本情况!D$12:I$12,C6,项目基本情况!D$15:I$15)</f>
        <v>44.27</v>
      </c>
      <c r="G6" s="73">
        <f>IF(ISERROR(ROUND(POWER(1+H6,D6-F6)*(POWER(1+H6,F6)-1)/(POWER(1+H6,D6)-1),3)),0,ROUND(POWER(1+H6,D6-F6)*(POWER(1+H6,F6)-1)/(POWER(1+H6,D6)-1),3))</f>
        <v>0.89900000000000002</v>
      </c>
      <c r="H6" s="802">
        <v>4.4999999999999998E-2</v>
      </c>
      <c r="I6" s="802">
        <v>0.05</v>
      </c>
      <c r="J6" s="74">
        <v>8.5000000000000006E-2</v>
      </c>
      <c r="K6" s="1254">
        <f>SUMIF('数据-汇总表'!C$19:C$33,A6,'数据-汇总表'!E$19:E$33)</f>
        <v>34338.32</v>
      </c>
      <c r="L6" s="803">
        <v>4500</v>
      </c>
      <c r="M6" s="75">
        <f t="shared" ref="M6:M14" si="0">ROUND(K6*L6/10000,0)</f>
        <v>15452</v>
      </c>
      <c r="N6" s="801">
        <v>0.85</v>
      </c>
      <c r="O6" s="75">
        <f>IF($N$5="成新度","——",ROUND(M6*N6,0))</f>
        <v>13134</v>
      </c>
      <c r="P6" s="76">
        <f>IF($N$5="成新度","——",M6-O6)</f>
        <v>2318</v>
      </c>
      <c r="Q6" s="804">
        <v>0.35</v>
      </c>
      <c r="R6" s="77">
        <f ca="1">SUMIF('数据-汇总表'!C$19:C$33,A6,'数据-汇总表'!R$19:R$27)</f>
        <v>16074.03</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c r="AL6" s="88"/>
      <c r="AM6" s="89"/>
      <c r="AN6" s="2312"/>
      <c r="AO6" s="55" t="e">
        <f ca="1">SUMIF(INDIRECT("'"&amp;AN6&amp;"'"&amp;"!A:A"),"总价",INDIRECT("'"&amp;AN6&amp;"'"&amp;"!B:B"))</f>
        <v>#REF!</v>
      </c>
      <c r="AP6" s="2313">
        <f>IF(C6="住宅",K6*L6,0)</f>
        <v>154522440</v>
      </c>
      <c r="AQ6" s="55">
        <f>ROUND($L$14*$N$14*S6/10000,0)</f>
        <v>0</v>
      </c>
      <c r="AR6" s="55">
        <f>ROUND($L$14*(1-$N$14)*S6/10000,0)</f>
        <v>0</v>
      </c>
      <c r="AS6" s="2282"/>
      <c r="AT6" s="2282"/>
      <c r="AU6" s="2282"/>
      <c r="AV6" s="2282"/>
      <c r="AW6" s="2282"/>
      <c r="AX6" s="2282"/>
      <c r="AY6" s="2282"/>
      <c r="AZ6" s="2282"/>
      <c r="BA6" s="2282"/>
      <c r="BB6" s="2282"/>
      <c r="BC6" s="2282"/>
      <c r="BD6" s="2282"/>
      <c r="BE6" s="2282"/>
      <c r="BF6" s="2282"/>
      <c r="BG6" s="2282"/>
      <c r="BH6" s="2282"/>
      <c r="BI6" s="2282"/>
      <c r="BJ6" s="2282"/>
      <c r="BK6" s="2282"/>
      <c r="BL6" s="2282"/>
      <c r="BM6" s="2282"/>
      <c r="BN6" s="2282"/>
      <c r="BO6" s="2282"/>
    </row>
    <row r="7" spans="1:67" s="2033" customFormat="1" ht="14.25">
      <c r="A7" s="2309">
        <f>'数据-汇总表'!C20</f>
        <v>0</v>
      </c>
      <c r="B7" s="2310" t="str">
        <f t="shared" ref="B7:B13" si="1">IF(A7=0,"","经营性")</f>
        <v/>
      </c>
      <c r="C7" s="2311"/>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f t="shared" ref="O7:O14" si="3">IF($N$5="成新度","——",ROUND(M7*N7,0))</f>
        <v>0</v>
      </c>
      <c r="P7" s="76">
        <f t="shared" ref="P7:P14" si="4">IF($N$5="成新度","——",M7-O7)</f>
        <v>0</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12"/>
      <c r="AO7" s="55" t="e">
        <f t="shared" ref="AO7:AO13" ca="1" si="8">SUMIF(INDIRECT("'"&amp;AN7&amp;"'"&amp;"!A:A"),"总价",INDIRECT("'"&amp;AN7&amp;"'"&amp;"!B:B"))</f>
        <v>#REF!</v>
      </c>
      <c r="AP7" s="2313">
        <f t="shared" ref="AP7:AP13" si="9">IF(C7="住宅",K7*L7,0)</f>
        <v>0</v>
      </c>
      <c r="AQ7" s="55">
        <f t="shared" ref="AQ7:AQ13" si="10">ROUND($L$14*$N$14*S7/10000,0)</f>
        <v>0</v>
      </c>
      <c r="AR7" s="55">
        <f t="shared" ref="AR7:AR13" si="11">ROUND($L$14*(1-$N$14)*S7/10000,0)</f>
        <v>0</v>
      </c>
      <c r="AS7" s="2282"/>
      <c r="AT7" s="2282"/>
      <c r="AU7" s="2282"/>
      <c r="AV7" s="2282"/>
      <c r="AW7" s="2282"/>
      <c r="AX7" s="2282"/>
      <c r="AY7" s="2282"/>
      <c r="AZ7" s="2282"/>
      <c r="BA7" s="2282"/>
      <c r="BB7" s="2282"/>
      <c r="BC7" s="2282"/>
      <c r="BD7" s="2282"/>
      <c r="BE7" s="2282"/>
      <c r="BF7" s="2282"/>
      <c r="BG7" s="2282"/>
      <c r="BH7" s="2282"/>
      <c r="BI7" s="2282"/>
      <c r="BJ7" s="2282"/>
      <c r="BK7" s="2282"/>
      <c r="BL7" s="2282"/>
      <c r="BM7" s="2282"/>
      <c r="BN7" s="2282"/>
      <c r="BO7" s="2282"/>
    </row>
    <row r="8" spans="1:67" s="2033" customFormat="1" ht="14.25">
      <c r="A8" s="2309">
        <f>'数据-汇总表'!C21</f>
        <v>0</v>
      </c>
      <c r="B8" s="2310" t="str">
        <f t="shared" si="1"/>
        <v/>
      </c>
      <c r="C8" s="2311"/>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2"/>
      <c r="AO8" s="55" t="e">
        <f t="shared" ca="1" si="8"/>
        <v>#REF!</v>
      </c>
      <c r="AP8" s="2313">
        <f t="shared" si="9"/>
        <v>0</v>
      </c>
      <c r="AQ8" s="55">
        <f t="shared" si="10"/>
        <v>0</v>
      </c>
      <c r="AR8" s="55">
        <f t="shared" si="11"/>
        <v>0</v>
      </c>
      <c r="AS8" s="2282"/>
      <c r="AT8" s="2282"/>
      <c r="AU8" s="2282"/>
      <c r="AV8" s="2282"/>
      <c r="AW8" s="2282"/>
      <c r="AX8" s="2282"/>
      <c r="AY8" s="2282"/>
      <c r="AZ8" s="2282"/>
      <c r="BA8" s="2282"/>
      <c r="BB8" s="2282"/>
      <c r="BC8" s="2282"/>
      <c r="BD8" s="2282"/>
      <c r="BE8" s="2282"/>
      <c r="BF8" s="2282"/>
      <c r="BG8" s="2282"/>
      <c r="BH8" s="2282"/>
      <c r="BI8" s="2282"/>
      <c r="BJ8" s="2282"/>
      <c r="BK8" s="2282"/>
      <c r="BL8" s="2282"/>
      <c r="BM8" s="2282"/>
      <c r="BN8" s="2282"/>
      <c r="BO8" s="2282"/>
    </row>
    <row r="9" spans="1:67" s="2033" customFormat="1" ht="14.25">
      <c r="A9" s="2309">
        <f>'数据-汇总表'!C22</f>
        <v>0</v>
      </c>
      <c r="B9" s="2310" t="str">
        <f t="shared" si="1"/>
        <v/>
      </c>
      <c r="C9" s="2311"/>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2"/>
      <c r="AO9" s="55" t="e">
        <f t="shared" ca="1" si="8"/>
        <v>#REF!</v>
      </c>
      <c r="AP9" s="2313">
        <f t="shared" si="9"/>
        <v>0</v>
      </c>
      <c r="AQ9" s="55">
        <f t="shared" si="10"/>
        <v>0</v>
      </c>
      <c r="AR9" s="55">
        <f t="shared" si="11"/>
        <v>0</v>
      </c>
      <c r="AS9" s="2282"/>
      <c r="AT9" s="2282"/>
      <c r="AU9" s="2282"/>
      <c r="AV9" s="2282"/>
      <c r="AW9" s="2282"/>
      <c r="AX9" s="2282"/>
      <c r="AY9" s="2282"/>
      <c r="AZ9" s="2282"/>
      <c r="BA9" s="2282"/>
      <c r="BB9" s="2282"/>
      <c r="BC9" s="2282"/>
      <c r="BD9" s="2282"/>
      <c r="BE9" s="2282"/>
      <c r="BF9" s="2282"/>
      <c r="BG9" s="2282"/>
      <c r="BH9" s="2282"/>
      <c r="BI9" s="2282"/>
      <c r="BJ9" s="2282"/>
      <c r="BK9" s="2282"/>
      <c r="BL9" s="2282"/>
      <c r="BM9" s="2282"/>
      <c r="BN9" s="2282"/>
      <c r="BO9" s="2282"/>
    </row>
    <row r="10" spans="1:67" s="2033" customFormat="1" ht="14.25">
      <c r="A10" s="2309">
        <f>'数据-汇总表'!C23</f>
        <v>0</v>
      </c>
      <c r="B10" s="2310" t="str">
        <f t="shared" si="1"/>
        <v/>
      </c>
      <c r="C10" s="2311"/>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2"/>
      <c r="AO10" s="55" t="e">
        <f t="shared" ca="1" si="8"/>
        <v>#REF!</v>
      </c>
      <c r="AP10" s="2313">
        <f t="shared" si="9"/>
        <v>0</v>
      </c>
      <c r="AQ10" s="55">
        <f t="shared" si="10"/>
        <v>0</v>
      </c>
      <c r="AR10" s="55">
        <f t="shared" si="11"/>
        <v>0</v>
      </c>
      <c r="AS10" s="2282"/>
      <c r="AT10" s="2282"/>
      <c r="AU10" s="2282"/>
      <c r="AV10" s="2282"/>
      <c r="AW10" s="2282"/>
      <c r="AX10" s="2282"/>
      <c r="AY10" s="2282"/>
      <c r="AZ10" s="2282"/>
      <c r="BA10" s="2282"/>
      <c r="BB10" s="2282"/>
      <c r="BC10" s="2282"/>
      <c r="BD10" s="2282"/>
      <c r="BE10" s="2282"/>
      <c r="BF10" s="2282"/>
      <c r="BG10" s="2282"/>
      <c r="BH10" s="2282"/>
      <c r="BI10" s="2282"/>
      <c r="BJ10" s="2282"/>
      <c r="BK10" s="2282"/>
      <c r="BL10" s="2282"/>
      <c r="BM10" s="2282"/>
      <c r="BN10" s="2282"/>
      <c r="BO10" s="2282"/>
    </row>
    <row r="11" spans="1:67" s="2033" customFormat="1" ht="14.25">
      <c r="A11" s="2309">
        <f>'数据-汇总表'!C24</f>
        <v>0</v>
      </c>
      <c r="B11" s="2310" t="str">
        <f t="shared" si="1"/>
        <v/>
      </c>
      <c r="C11" s="2311"/>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2"/>
      <c r="AO11" s="55" t="e">
        <f t="shared" ca="1" si="8"/>
        <v>#REF!</v>
      </c>
      <c r="AP11" s="2313">
        <f t="shared" si="9"/>
        <v>0</v>
      </c>
      <c r="AQ11" s="55">
        <f t="shared" si="10"/>
        <v>0</v>
      </c>
      <c r="AR11" s="55">
        <f t="shared" si="11"/>
        <v>0</v>
      </c>
      <c r="AS11" s="2282"/>
      <c r="AT11" s="2282"/>
      <c r="AU11" s="2282"/>
      <c r="AV11" s="2282"/>
      <c r="AW11" s="2282"/>
      <c r="AX11" s="2282"/>
      <c r="AY11" s="2282"/>
      <c r="AZ11" s="2282"/>
      <c r="BA11" s="2282"/>
      <c r="BB11" s="2282"/>
      <c r="BC11" s="2282"/>
      <c r="BD11" s="2282"/>
      <c r="BE11" s="2282"/>
      <c r="BF11" s="2282"/>
      <c r="BG11" s="2282"/>
      <c r="BH11" s="2282"/>
      <c r="BI11" s="2282"/>
      <c r="BJ11" s="2282"/>
      <c r="BK11" s="2282"/>
      <c r="BL11" s="2282"/>
      <c r="BM11" s="2282"/>
      <c r="BN11" s="2282"/>
      <c r="BO11" s="2282"/>
    </row>
    <row r="12" spans="1:67" s="2033" customFormat="1" ht="14.25">
      <c r="A12" s="2309">
        <f>'数据-汇总表'!C25</f>
        <v>0</v>
      </c>
      <c r="B12" s="2310" t="str">
        <f t="shared" si="1"/>
        <v/>
      </c>
      <c r="C12" s="2311"/>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2"/>
      <c r="AO12" s="55" t="e">
        <f t="shared" ca="1" si="8"/>
        <v>#REF!</v>
      </c>
      <c r="AP12" s="2313">
        <f t="shared" si="9"/>
        <v>0</v>
      </c>
      <c r="AQ12" s="55">
        <f t="shared" si="10"/>
        <v>0</v>
      </c>
      <c r="AR12" s="55">
        <f t="shared" si="11"/>
        <v>0</v>
      </c>
      <c r="AS12" s="2282"/>
      <c r="AT12" s="2282"/>
      <c r="AU12" s="2282"/>
      <c r="AV12" s="2282"/>
      <c r="AW12" s="2282"/>
      <c r="AX12" s="2282"/>
      <c r="AY12" s="2282"/>
      <c r="AZ12" s="2282"/>
      <c r="BA12" s="2282"/>
      <c r="BB12" s="2282"/>
      <c r="BC12" s="2282"/>
      <c r="BD12" s="2282"/>
      <c r="BE12" s="2282"/>
      <c r="BF12" s="2282"/>
      <c r="BG12" s="2282"/>
      <c r="BH12" s="2282"/>
      <c r="BI12" s="2282"/>
      <c r="BJ12" s="2282"/>
      <c r="BK12" s="2282"/>
      <c r="BL12" s="2282"/>
      <c r="BM12" s="2282"/>
      <c r="BN12" s="2282"/>
      <c r="BO12" s="2282"/>
    </row>
    <row r="13" spans="1:67" s="2033" customFormat="1" ht="14.25">
      <c r="A13" s="2309">
        <f>'数据-汇总表'!C26</f>
        <v>0</v>
      </c>
      <c r="B13" s="2310" t="str">
        <f t="shared" si="1"/>
        <v/>
      </c>
      <c r="C13" s="2311"/>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2"/>
      <c r="AO13" s="55" t="e">
        <f t="shared" ca="1" si="8"/>
        <v>#REF!</v>
      </c>
      <c r="AP13" s="2313">
        <f t="shared" si="9"/>
        <v>0</v>
      </c>
      <c r="AQ13" s="55">
        <f t="shared" si="10"/>
        <v>0</v>
      </c>
      <c r="AR13" s="55">
        <f t="shared" si="11"/>
        <v>0</v>
      </c>
      <c r="AS13" s="2282"/>
      <c r="AT13" s="2282"/>
      <c r="AU13" s="2282"/>
      <c r="AV13" s="2282"/>
      <c r="AW13" s="2282"/>
      <c r="AX13" s="2282"/>
      <c r="AY13" s="2282"/>
      <c r="AZ13" s="2282"/>
      <c r="BA13" s="2282"/>
      <c r="BB13" s="2282"/>
      <c r="BC13" s="2282"/>
      <c r="BD13" s="2282"/>
      <c r="BE13" s="2282"/>
      <c r="BF13" s="2282"/>
      <c r="BG13" s="2282"/>
      <c r="BH13" s="2282"/>
      <c r="BI13" s="2282"/>
      <c r="BJ13" s="2282"/>
      <c r="BK13" s="2282"/>
      <c r="BL13" s="2282"/>
      <c r="BM13" s="2282"/>
      <c r="BN13" s="2282"/>
      <c r="BO13" s="2282"/>
    </row>
    <row r="14" spans="1:67" s="2033" customFormat="1" ht="14.25">
      <c r="A14" s="2314" t="s">
        <v>2011</v>
      </c>
      <c r="B14" s="2310" t="s">
        <v>2012</v>
      </c>
      <c r="C14" s="2315" t="s">
        <v>2011</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7"/>
      <c r="AO14" s="2282"/>
      <c r="AP14" s="2282"/>
      <c r="AQ14" s="2282"/>
      <c r="AR14" s="2282"/>
      <c r="AS14" s="2282"/>
      <c r="AT14" s="2282"/>
      <c r="AU14" s="2282"/>
      <c r="AV14" s="2282"/>
      <c r="AW14" s="2282"/>
      <c r="AX14" s="2282"/>
      <c r="AY14" s="2282"/>
      <c r="AZ14" s="2282"/>
      <c r="BA14" s="2282"/>
      <c r="BB14" s="2282"/>
      <c r="BC14" s="2282"/>
      <c r="BD14" s="2282"/>
      <c r="BE14" s="2282"/>
      <c r="BF14" s="2282"/>
      <c r="BG14" s="2282"/>
      <c r="BH14" s="2282"/>
      <c r="BI14" s="2282"/>
      <c r="BJ14" s="2282"/>
      <c r="BK14" s="2282"/>
      <c r="BL14" s="2282"/>
      <c r="BM14" s="2282"/>
      <c r="BN14" s="2282"/>
      <c r="BO14" s="2282"/>
    </row>
    <row r="15" spans="1:67" s="2033" customFormat="1" ht="27">
      <c r="A15" s="2314" t="s">
        <v>2013</v>
      </c>
      <c r="B15" s="2310" t="s">
        <v>2012</v>
      </c>
      <c r="C15" s="2315" t="s">
        <v>2014</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7"/>
      <c r="AO15" s="2282"/>
      <c r="AP15" s="2282"/>
      <c r="AQ15" s="2282"/>
      <c r="AR15" s="2282"/>
      <c r="AS15" s="2282"/>
      <c r="AT15" s="2282"/>
      <c r="AU15" s="2282"/>
      <c r="AV15" s="2282"/>
      <c r="AW15" s="2282"/>
      <c r="AX15" s="2282"/>
      <c r="AY15" s="2282"/>
      <c r="AZ15" s="2282"/>
      <c r="BA15" s="2282"/>
      <c r="BB15" s="2282"/>
      <c r="BC15" s="2282"/>
      <c r="BD15" s="2282"/>
      <c r="BE15" s="2282"/>
      <c r="BF15" s="2282"/>
      <c r="BG15" s="2282"/>
      <c r="BH15" s="2282"/>
      <c r="BI15" s="2282"/>
      <c r="BJ15" s="2282"/>
      <c r="BK15" s="2282"/>
      <c r="BL15" s="2282"/>
      <c r="BM15" s="2282"/>
      <c r="BN15" s="2282"/>
      <c r="BO15" s="2282"/>
    </row>
    <row r="16" spans="1:67" s="2033" customFormat="1" ht="15.75" thickBot="1">
      <c r="A16" s="2316" t="s">
        <v>2015</v>
      </c>
      <c r="B16" s="97"/>
      <c r="C16" s="1008"/>
      <c r="D16" s="2317"/>
      <c r="E16" s="97"/>
      <c r="F16" s="97"/>
      <c r="G16" s="98">
        <f>ROUND(SUMPRODUCT(G6:G13,K6:K13)/SUMPRODUCT((G6:G13&gt;0)*(K6:K13)),3)</f>
        <v>0.89900000000000002</v>
      </c>
      <c r="H16" s="99">
        <f>ROUND(SUMPRODUCT(H6:H13,K6:K13)/SUMPRODUCT((H6:H13&gt;0)*(K6:K13)),3)</f>
        <v>4.4999999999999998E-2</v>
      </c>
      <c r="I16" s="100"/>
      <c r="J16" s="100"/>
      <c r="K16" s="101">
        <f>SUM(K6:K15)</f>
        <v>34338.32</v>
      </c>
      <c r="L16" s="102">
        <f>ROUND(M16*10000/SUM(K6:K14),0)</f>
        <v>4500</v>
      </c>
      <c r="M16" s="102">
        <f>SUM(M6:M14)</f>
        <v>15452</v>
      </c>
      <c r="N16" s="103">
        <f>ROUND(SUMPRODUCT(M6:M14,N6:N14)/M16,3)</f>
        <v>0.85</v>
      </c>
      <c r="O16" s="102">
        <f>SUM(O6:O14)</f>
        <v>13134</v>
      </c>
      <c r="P16" s="102">
        <f>SUM(P6:P14)</f>
        <v>2318</v>
      </c>
      <c r="Q16" s="104">
        <f>ROUND(SUMPRODUCT(Q6:Q13,K6:K13)/SUMPRODUCT((Q6:Q13&gt;0)*(K6:K13)),2)</f>
        <v>0.35</v>
      </c>
      <c r="R16" s="1258">
        <f ca="1">SUM(R6:R13)</f>
        <v>16074.03</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7"/>
      <c r="AO16" s="2282"/>
      <c r="AP16" s="2282"/>
      <c r="AQ16" s="2282"/>
      <c r="AR16" s="2282"/>
      <c r="AS16" s="2282"/>
      <c r="AT16" s="2282"/>
      <c r="AU16" s="2282"/>
      <c r="AV16" s="2282"/>
      <c r="AW16" s="2282"/>
      <c r="AX16" s="2282"/>
      <c r="AY16" s="2282"/>
      <c r="AZ16" s="2282"/>
      <c r="BA16" s="2282"/>
      <c r="BB16" s="2282"/>
      <c r="BC16" s="2282"/>
      <c r="BD16" s="2282"/>
      <c r="BE16" s="2282"/>
      <c r="BF16" s="2282"/>
      <c r="BG16" s="2282"/>
      <c r="BH16" s="2282"/>
      <c r="BI16" s="2282"/>
      <c r="BJ16" s="2282"/>
      <c r="BK16" s="2282"/>
      <c r="BL16" s="2282"/>
      <c r="BM16" s="2282"/>
      <c r="BN16" s="2282"/>
      <c r="BO16" s="2282"/>
    </row>
    <row r="17" spans="1:67" ht="13.5" thickBot="1">
      <c r="A17" s="2318"/>
      <c r="B17" s="732"/>
      <c r="C17" s="1583"/>
      <c r="D17" s="2276"/>
      <c r="E17" s="2276"/>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2016</v>
      </c>
      <c r="B18" s="2283"/>
      <c r="C18" s="2280"/>
      <c r="D18" s="2281"/>
      <c r="E18" s="2280"/>
      <c r="F18" s="2280"/>
      <c r="G18" s="2280"/>
      <c r="H18" s="2280"/>
      <c r="I18" s="2280"/>
      <c r="J18" s="2280"/>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9" t="s">
        <v>2017</v>
      </c>
      <c r="B19" s="112">
        <v>0</v>
      </c>
      <c r="C19" s="2280" t="s">
        <v>2018</v>
      </c>
      <c r="D19" s="2281"/>
      <c r="E19" s="2280"/>
      <c r="F19" s="2280"/>
      <c r="G19" s="2280"/>
      <c r="H19" s="2280"/>
      <c r="I19" s="2280"/>
      <c r="J19" s="2280"/>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20" t="s">
        <v>2019</v>
      </c>
      <c r="B20" s="113">
        <v>3</v>
      </c>
      <c r="C20" s="2280" t="s">
        <v>2020</v>
      </c>
      <c r="D20" s="2281"/>
      <c r="E20" s="2280"/>
      <c r="F20" s="2280"/>
      <c r="G20" s="2280"/>
      <c r="H20" s="2280"/>
      <c r="I20" s="2280"/>
      <c r="J20" s="2280"/>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21" t="s">
        <v>2021</v>
      </c>
      <c r="B21" s="113">
        <v>2.8</v>
      </c>
      <c r="C21" s="2280"/>
      <c r="D21" s="2281"/>
      <c r="E21" s="2280"/>
      <c r="F21" s="2280"/>
      <c r="G21" s="2280"/>
      <c r="H21" s="2280"/>
      <c r="I21" s="2280"/>
      <c r="J21" s="2280"/>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20" t="s">
        <v>2022</v>
      </c>
      <c r="B22" s="114">
        <f>B19+B20</f>
        <v>3</v>
      </c>
      <c r="C22" s="2280"/>
      <c r="D22" s="2281"/>
      <c r="E22" s="2280"/>
      <c r="F22" s="2280"/>
      <c r="G22" s="2280"/>
      <c r="H22" s="2280"/>
      <c r="I22" s="2280"/>
      <c r="J22" s="2280"/>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21" t="s">
        <v>2023</v>
      </c>
      <c r="B23" s="114">
        <f>B19+B21</f>
        <v>2.8</v>
      </c>
      <c r="C23" s="2280"/>
      <c r="D23" s="2281"/>
      <c r="E23" s="2280"/>
      <c r="F23" s="2280"/>
      <c r="G23" s="2280"/>
      <c r="H23" s="2280"/>
      <c r="I23" s="2280"/>
      <c r="J23" s="2280"/>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2" t="s">
        <v>2024</v>
      </c>
      <c r="B24" s="115">
        <f>B20-B21</f>
        <v>0.20000000000000018</v>
      </c>
      <c r="C24" s="2280"/>
      <c r="D24" s="2281"/>
      <c r="E24" s="2280"/>
      <c r="F24" s="2280"/>
      <c r="G24" s="2280"/>
      <c r="H24" s="2280"/>
      <c r="I24" s="2280"/>
      <c r="J24" s="2280"/>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3"/>
      <c r="C25" s="2280"/>
      <c r="D25" s="2281"/>
      <c r="E25" s="2280"/>
      <c r="F25" s="2280"/>
      <c r="G25" s="2280"/>
      <c r="H25" s="2280"/>
      <c r="I25" s="2280"/>
      <c r="J25" s="2280"/>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9" t="s">
        <v>2025</v>
      </c>
      <c r="B26" s="2323" t="s">
        <v>2026</v>
      </c>
      <c r="C26" s="2324" t="s">
        <v>2027</v>
      </c>
      <c r="D26" s="2281"/>
      <c r="E26" s="2280"/>
      <c r="F26" s="2280"/>
      <c r="G26" s="2280"/>
      <c r="H26" s="2280"/>
      <c r="I26" s="2280"/>
      <c r="J26" s="2280"/>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7" customFormat="1" ht="27.75">
      <c r="A27" s="2325" t="s">
        <v>2028</v>
      </c>
      <c r="B27" s="116">
        <v>220</v>
      </c>
      <c r="C27" s="1766" t="s">
        <v>2029</v>
      </c>
      <c r="D27" s="2326"/>
      <c r="E27" s="1430"/>
      <c r="F27" s="1430"/>
      <c r="G27" s="2280"/>
      <c r="H27" s="2280"/>
      <c r="I27" s="2280"/>
      <c r="J27" s="2280"/>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7" customFormat="1" ht="27.75">
      <c r="A28" s="2328" t="s">
        <v>2030</v>
      </c>
      <c r="B28" s="119">
        <v>220</v>
      </c>
      <c r="C28" s="2329"/>
      <c r="D28" s="2326"/>
      <c r="E28" s="1430"/>
      <c r="F28" s="1430"/>
      <c r="G28" s="2280"/>
      <c r="H28" s="2280"/>
      <c r="I28" s="2280"/>
      <c r="J28" s="2280"/>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7" customFormat="1" ht="28.5" thickBot="1">
      <c r="A29" s="2330" t="s">
        <v>2031</v>
      </c>
      <c r="B29" s="121">
        <f ca="1">成本法!C9</f>
        <v>755</v>
      </c>
      <c r="C29" s="1766" t="s">
        <v>2032</v>
      </c>
      <c r="D29" s="2326"/>
      <c r="E29" s="1430"/>
      <c r="F29" s="1430"/>
      <c r="G29" s="2280"/>
      <c r="H29" s="2280"/>
      <c r="I29" s="2280"/>
      <c r="J29" s="2280"/>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7" customFormat="1" ht="27">
      <c r="A30" s="2331" t="s">
        <v>2033</v>
      </c>
      <c r="B30" s="724">
        <v>200</v>
      </c>
      <c r="C30" s="2329"/>
      <c r="D30" s="2326"/>
      <c r="E30" s="1430"/>
      <c r="F30" s="1430"/>
      <c r="G30" s="2280"/>
      <c r="H30" s="2280"/>
      <c r="I30" s="2280"/>
      <c r="J30" s="2280"/>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7" customFormat="1" ht="27">
      <c r="A31" s="2328" t="s">
        <v>2034</v>
      </c>
      <c r="B31" s="120">
        <f>B30-B32</f>
        <v>200</v>
      </c>
      <c r="C31" s="1766"/>
      <c r="D31" s="2326"/>
      <c r="E31" s="1430"/>
      <c r="F31" s="1430"/>
      <c r="G31" s="2280"/>
      <c r="H31" s="2280"/>
      <c r="I31" s="2280"/>
      <c r="J31" s="2280"/>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7" customFormat="1" ht="27.75" thickBot="1">
      <c r="A32" s="2332" t="s">
        <v>2035</v>
      </c>
      <c r="B32" s="725">
        <v>0</v>
      </c>
      <c r="C32" s="2329"/>
      <c r="D32" s="2281"/>
      <c r="E32" s="2280"/>
      <c r="F32" s="2280"/>
      <c r="G32" s="2280"/>
      <c r="H32" s="2280"/>
      <c r="I32" s="2280"/>
      <c r="J32" s="2280"/>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7" customFormat="1" ht="14.25">
      <c r="A33" s="2325" t="s">
        <v>2036</v>
      </c>
      <c r="B33" s="726">
        <v>0.03</v>
      </c>
      <c r="C33" s="1765" t="s">
        <v>2037</v>
      </c>
      <c r="D33" s="2281"/>
      <c r="E33" s="2280"/>
      <c r="F33" s="2280"/>
      <c r="G33" s="2280"/>
      <c r="H33" s="2280"/>
      <c r="I33" s="2280"/>
      <c r="J33" s="2280"/>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7" customFormat="1" ht="14.25">
      <c r="A34" s="2328" t="s">
        <v>2038</v>
      </c>
      <c r="B34" s="122">
        <v>0.05</v>
      </c>
      <c r="C34" s="1765" t="s">
        <v>2039</v>
      </c>
      <c r="D34" s="2281" t="s">
        <v>2040</v>
      </c>
      <c r="E34" s="732"/>
      <c r="F34" s="2280"/>
      <c r="G34" s="2280"/>
      <c r="H34" s="2280"/>
      <c r="I34" s="2280"/>
      <c r="J34" s="2280"/>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7" customFormat="1" ht="14.25">
      <c r="A35" s="2328" t="s">
        <v>2041</v>
      </c>
      <c r="B35" s="119">
        <v>200</v>
      </c>
      <c r="C35" s="1765" t="s">
        <v>2042</v>
      </c>
      <c r="D35" s="2326"/>
      <c r="E35" s="1430"/>
      <c r="F35" s="1430"/>
      <c r="G35" s="2280"/>
      <c r="H35" s="2280"/>
      <c r="I35" s="2280"/>
      <c r="J35" s="2280"/>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30" t="s">
        <v>2043</v>
      </c>
      <c r="B36" s="123">
        <v>1.4999999999999999E-2</v>
      </c>
      <c r="C36" s="1765" t="s">
        <v>2044</v>
      </c>
      <c r="D36" s="2281"/>
      <c r="E36" s="2280"/>
      <c r="F36" s="2280"/>
      <c r="G36" s="2280"/>
      <c r="H36" s="2280"/>
      <c r="I36" s="2280"/>
      <c r="J36" s="2280"/>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31" t="s">
        <v>2045</v>
      </c>
      <c r="B37" s="124">
        <v>0.03</v>
      </c>
      <c r="C37" s="1765" t="s">
        <v>2046</v>
      </c>
      <c r="D37" s="2281"/>
      <c r="E37" s="2280"/>
      <c r="F37" s="2280"/>
      <c r="G37" s="2280"/>
      <c r="H37" s="2280"/>
      <c r="I37" s="2280"/>
      <c r="J37" s="2280"/>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8" t="s">
        <v>2047</v>
      </c>
      <c r="B38" s="122">
        <v>0.03</v>
      </c>
      <c r="C38" s="1765" t="s">
        <v>2046</v>
      </c>
      <c r="D38" s="2281"/>
      <c r="E38" s="2280"/>
      <c r="F38" s="2280"/>
      <c r="G38" s="2280"/>
      <c r="H38" s="2280"/>
      <c r="I38" s="2280"/>
      <c r="J38" s="2280"/>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2" t="s">
        <v>2048</v>
      </c>
      <c r="B39" s="362">
        <f ca="1">存贷款利率!I1</f>
        <v>1.4999999999999999E-2</v>
      </c>
      <c r="C39" s="1765"/>
      <c r="D39" s="2281"/>
      <c r="E39" s="2280"/>
      <c r="F39" s="2280"/>
      <c r="G39" s="2280"/>
      <c r="H39" s="2280"/>
      <c r="I39" s="2280"/>
      <c r="J39" s="2280"/>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2" t="s">
        <v>2049</v>
      </c>
      <c r="B40" s="1303">
        <f ca="1">存贷款利率!G1</f>
        <v>4.7500000000000001E-2</v>
      </c>
      <c r="C40" s="1765" t="s">
        <v>2050</v>
      </c>
      <c r="D40" s="1583"/>
      <c r="E40" s="2281"/>
      <c r="F40" s="2280"/>
      <c r="G40" s="2280"/>
      <c r="H40" s="2280"/>
      <c r="I40" s="2280"/>
      <c r="J40" s="2280"/>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5" t="s">
        <v>2051</v>
      </c>
      <c r="B41" s="125">
        <f>B42+B43</f>
        <v>5.6000000000000001E-2</v>
      </c>
      <c r="C41" s="1766"/>
      <c r="D41" s="1583"/>
      <c r="E41" s="2281"/>
      <c r="F41" s="2280"/>
      <c r="G41" s="2280"/>
      <c r="H41" s="2280"/>
      <c r="I41" s="2280"/>
      <c r="J41" s="2280"/>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3" t="s">
        <v>2052</v>
      </c>
      <c r="B42" s="126">
        <v>0.05</v>
      </c>
      <c r="C42" s="2334">
        <f>IF(B2&lt;DATE(2016,5,1),0,B42)</f>
        <v>0.05</v>
      </c>
      <c r="D42" s="2281"/>
      <c r="E42" s="2280"/>
      <c r="F42" s="2280"/>
      <c r="G42" s="2280"/>
      <c r="H42" s="2280"/>
      <c r="I42" s="2280"/>
      <c r="J42" s="2280"/>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3" t="s">
        <v>2053</v>
      </c>
      <c r="B43" s="127">
        <f>B42*(B44+B45+B46)+B47</f>
        <v>6.000000000000001E-3</v>
      </c>
      <c r="C43" s="1766"/>
      <c r="D43" s="2281"/>
      <c r="E43" s="2280"/>
      <c r="F43" s="2280"/>
      <c r="G43" s="2280"/>
      <c r="H43" s="2280"/>
      <c r="I43" s="2280"/>
      <c r="J43" s="2280"/>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5" t="s">
        <v>2054</v>
      </c>
      <c r="B44" s="128">
        <v>7.0000000000000007E-2</v>
      </c>
      <c r="C44" s="1765" t="s">
        <v>2055</v>
      </c>
      <c r="D44" s="2281"/>
      <c r="E44" s="2280"/>
      <c r="F44" s="2280"/>
      <c r="G44" s="2280"/>
      <c r="H44" s="2280"/>
      <c r="I44" s="2280"/>
      <c r="J44" s="2280"/>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5" t="s">
        <v>2056</v>
      </c>
      <c r="B45" s="126">
        <v>0.03</v>
      </c>
      <c r="C45" s="1766" t="s">
        <v>2057</v>
      </c>
      <c r="D45" s="2281"/>
      <c r="E45" s="2280"/>
      <c r="F45" s="2280"/>
      <c r="G45" s="2280"/>
      <c r="H45" s="2280"/>
      <c r="I45" s="2280"/>
      <c r="J45" s="2280"/>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5" t="s">
        <v>2058</v>
      </c>
      <c r="B46" s="126">
        <v>0.02</v>
      </c>
      <c r="C46" s="1766" t="s">
        <v>2059</v>
      </c>
      <c r="D46" s="2281"/>
      <c r="E46" s="2280"/>
      <c r="F46" s="2280"/>
      <c r="G46" s="2280"/>
      <c r="H46" s="2280"/>
      <c r="I46" s="2280"/>
      <c r="J46" s="2280"/>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6" t="s">
        <v>2060</v>
      </c>
      <c r="B47" s="129"/>
      <c r="C47" s="1766" t="s">
        <v>2061</v>
      </c>
      <c r="D47" s="2281"/>
      <c r="E47" s="2280"/>
      <c r="F47" s="2280"/>
      <c r="G47" s="2280"/>
      <c r="H47" s="2280"/>
      <c r="I47" s="2280"/>
      <c r="J47" s="2280"/>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7" t="s">
        <v>2062</v>
      </c>
      <c r="B48" s="130">
        <v>0.04</v>
      </c>
      <c r="C48" s="1773" t="s">
        <v>2063</v>
      </c>
      <c r="D48" s="2281"/>
      <c r="E48" s="2280"/>
      <c r="F48" s="2280"/>
      <c r="G48" s="2280"/>
      <c r="H48" s="2280"/>
      <c r="I48" s="2280"/>
      <c r="J48" s="2280"/>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2" t="s">
        <v>2064</v>
      </c>
      <c r="B49" s="126">
        <v>5.0000000000000001E-4</v>
      </c>
      <c r="C49" s="1773" t="s">
        <v>2065</v>
      </c>
      <c r="D49" s="2281"/>
      <c r="E49" s="2280"/>
      <c r="F49" s="2280"/>
      <c r="G49" s="2280"/>
      <c r="H49" s="2280"/>
      <c r="I49" s="2280"/>
      <c r="J49" s="2280"/>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8" t="s">
        <v>2066</v>
      </c>
      <c r="B50" s="131">
        <v>1.2E-2</v>
      </c>
      <c r="C50" s="1430"/>
      <c r="D50" s="2281"/>
      <c r="E50" s="2280"/>
      <c r="F50" s="2280"/>
      <c r="G50" s="2280"/>
      <c r="H50" s="2280"/>
      <c r="I50" s="2280"/>
      <c r="J50" s="2280"/>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30" t="s">
        <v>2067</v>
      </c>
      <c r="B51" s="132">
        <v>0.12</v>
      </c>
      <c r="C51" s="1430"/>
      <c r="D51" s="2281"/>
      <c r="E51" s="2280"/>
      <c r="F51" s="2280"/>
      <c r="G51" s="2280"/>
      <c r="H51" s="2280"/>
      <c r="I51" s="2280"/>
      <c r="J51" s="2280"/>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8" t="s">
        <v>2068</v>
      </c>
      <c r="B52" s="133">
        <f>SUMIF(A54:A63,B53,B54:B63)</f>
        <v>0</v>
      </c>
      <c r="C52" s="1430"/>
      <c r="D52" s="2281"/>
      <c r="E52" s="2280"/>
      <c r="F52" s="2280"/>
      <c r="G52" s="2280"/>
      <c r="H52" s="2280"/>
      <c r="I52" s="2280"/>
      <c r="J52" s="2280"/>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8" t="s">
        <v>2069</v>
      </c>
      <c r="B53" s="2339"/>
      <c r="C53" s="1430" t="s">
        <v>2070</v>
      </c>
      <c r="D53" s="2340" t="s">
        <v>2071</v>
      </c>
      <c r="E53" s="2280"/>
      <c r="F53" s="2280"/>
      <c r="G53" s="2280"/>
      <c r="H53" s="2280"/>
      <c r="I53" s="2280"/>
      <c r="J53" s="2280"/>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41" t="s">
        <v>2072</v>
      </c>
      <c r="B54" s="84"/>
      <c r="C54" s="1430">
        <v>30</v>
      </c>
      <c r="D54" s="2281"/>
      <c r="E54" s="2280"/>
      <c r="F54" s="2280"/>
      <c r="G54" s="2280"/>
      <c r="H54" s="2280"/>
      <c r="I54" s="2280"/>
      <c r="J54" s="2280"/>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41" t="s">
        <v>2073</v>
      </c>
      <c r="B55" s="84"/>
      <c r="C55" s="1430">
        <v>24</v>
      </c>
      <c r="D55" s="2281"/>
      <c r="E55" s="2280"/>
      <c r="F55" s="2280"/>
      <c r="G55" s="2280"/>
      <c r="H55" s="2280"/>
      <c r="I55" s="2342"/>
      <c r="J55" s="2280"/>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41" t="s">
        <v>2074</v>
      </c>
      <c r="B56" s="84"/>
      <c r="C56" s="1430">
        <v>18</v>
      </c>
      <c r="D56" s="2281"/>
      <c r="E56" s="2280"/>
      <c r="F56" s="2280"/>
      <c r="G56" s="2280"/>
      <c r="H56" s="2280"/>
      <c r="I56" s="2280"/>
      <c r="J56" s="2280"/>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41" t="s">
        <v>2075</v>
      </c>
      <c r="B57" s="84"/>
      <c r="C57" s="1430">
        <v>12</v>
      </c>
      <c r="D57" s="2281"/>
      <c r="E57" s="2280"/>
      <c r="F57" s="2280"/>
      <c r="G57" s="2280"/>
      <c r="H57" s="2280"/>
      <c r="I57" s="2280"/>
      <c r="J57" s="2280"/>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41" t="s">
        <v>2076</v>
      </c>
      <c r="B58" s="84"/>
      <c r="C58" s="1430">
        <v>3</v>
      </c>
      <c r="D58" s="2281"/>
      <c r="E58" s="2280"/>
      <c r="F58" s="2280"/>
      <c r="G58" s="2280"/>
      <c r="H58" s="2280"/>
      <c r="I58" s="2280"/>
      <c r="J58" s="2280"/>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41" t="s">
        <v>2077</v>
      </c>
      <c r="B59" s="84"/>
      <c r="C59" s="1430">
        <v>1.5</v>
      </c>
      <c r="D59" s="2281"/>
      <c r="E59" s="2280"/>
      <c r="F59" s="2280"/>
      <c r="G59" s="2280"/>
      <c r="H59" s="2280"/>
      <c r="I59" s="2280"/>
      <c r="J59" s="2280"/>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41" t="s">
        <v>2078</v>
      </c>
      <c r="B60" s="84"/>
      <c r="C60" s="2280"/>
      <c r="D60" s="2281"/>
      <c r="E60" s="2280"/>
      <c r="F60" s="2280"/>
      <c r="G60" s="2280"/>
      <c r="H60" s="2280"/>
      <c r="I60" s="2280"/>
      <c r="J60" s="2280"/>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41" t="s">
        <v>2079</v>
      </c>
      <c r="B61" s="84"/>
      <c r="C61" s="2280"/>
      <c r="D61" s="2281"/>
      <c r="E61" s="2280"/>
      <c r="F61" s="2280"/>
      <c r="G61" s="2280"/>
      <c r="H61" s="2280"/>
      <c r="I61" s="2280"/>
      <c r="J61" s="2280"/>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41" t="s">
        <v>2080</v>
      </c>
      <c r="B62" s="84"/>
      <c r="C62" s="2280"/>
      <c r="D62" s="2281"/>
      <c r="E62" s="2280"/>
      <c r="F62" s="2280"/>
      <c r="G62" s="2280"/>
      <c r="H62" s="2280"/>
      <c r="I62" s="2280"/>
      <c r="J62" s="2280"/>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3" t="s">
        <v>2081</v>
      </c>
      <c r="B63" s="134"/>
      <c r="C63" s="2280"/>
      <c r="D63" s="2281"/>
      <c r="E63" s="2280"/>
      <c r="F63" s="2280"/>
      <c r="G63" s="2280"/>
      <c r="H63" s="2280"/>
      <c r="I63" s="2280"/>
      <c r="J63" s="2280"/>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4"/>
      <c r="D64" s="2345"/>
      <c r="K64" s="798"/>
      <c r="L64" s="798"/>
    </row>
    <row r="65" spans="1:12" s="967" customFormat="1">
      <c r="A65" s="2344"/>
      <c r="D65" s="2345"/>
      <c r="K65" s="798"/>
      <c r="L65" s="798"/>
    </row>
    <row r="66" spans="1:12" s="967" customFormat="1">
      <c r="A66" s="2344"/>
      <c r="D66" s="2345"/>
      <c r="K66" s="798"/>
      <c r="L66" s="798"/>
    </row>
    <row r="67" spans="1:12" s="967" customFormat="1">
      <c r="A67" s="2344"/>
      <c r="D67" s="2345"/>
      <c r="K67" s="798"/>
      <c r="L67" s="798"/>
    </row>
    <row r="68" spans="1:12" s="967" customFormat="1">
      <c r="A68" s="2344"/>
      <c r="D68" s="2345"/>
      <c r="K68" s="798"/>
      <c r="L68" s="798"/>
    </row>
    <row r="69" spans="1:12" s="967" customFormat="1">
      <c r="A69" s="2344"/>
      <c r="D69" s="2345"/>
      <c r="K69" s="798"/>
      <c r="L69" s="798"/>
    </row>
    <row r="70" spans="1:12" s="967" customFormat="1">
      <c r="A70" s="2344"/>
      <c r="D70" s="2345"/>
      <c r="K70" s="798"/>
      <c r="L70" s="798"/>
    </row>
    <row r="71" spans="1:12" s="967" customFormat="1">
      <c r="A71" s="2344"/>
      <c r="D71" s="2345"/>
      <c r="K71" s="798"/>
      <c r="L71" s="798"/>
    </row>
    <row r="72" spans="1:12" s="967" customFormat="1">
      <c r="A72" s="2344"/>
      <c r="D72" s="2345"/>
      <c r="K72" s="798"/>
      <c r="L72" s="798"/>
    </row>
    <row r="73" spans="1:12" s="967" customFormat="1">
      <c r="A73" s="2344"/>
      <c r="D73" s="2345"/>
      <c r="K73" s="798"/>
      <c r="L73" s="798"/>
    </row>
    <row r="74" spans="1:12" s="967" customFormat="1">
      <c r="A74" s="2344"/>
      <c r="D74" s="2345"/>
      <c r="K74" s="798"/>
      <c r="L74" s="798"/>
    </row>
    <row r="75" spans="1:12" s="967" customFormat="1">
      <c r="A75" s="2344"/>
      <c r="D75" s="2345"/>
      <c r="K75" s="798"/>
      <c r="L75" s="798"/>
    </row>
    <row r="76" spans="1:12" s="967" customFormat="1">
      <c r="A76" s="2344"/>
      <c r="D76" s="2345"/>
      <c r="K76" s="798"/>
      <c r="L76" s="798"/>
    </row>
    <row r="77" spans="1:12" s="967" customFormat="1">
      <c r="A77" s="2344"/>
      <c r="D77" s="2345"/>
      <c r="K77" s="798"/>
      <c r="L77" s="798"/>
    </row>
    <row r="78" spans="1:12" s="967" customFormat="1">
      <c r="A78" s="2344"/>
      <c r="D78" s="2345"/>
      <c r="K78" s="798"/>
      <c r="L78" s="798"/>
    </row>
    <row r="79" spans="1:12" s="967" customFormat="1">
      <c r="A79" s="2344"/>
      <c r="D79" s="2345"/>
      <c r="K79" s="798"/>
      <c r="L79" s="798"/>
    </row>
    <row r="80" spans="1:12" s="967" customFormat="1">
      <c r="A80" s="2344"/>
      <c r="D80" s="2345"/>
      <c r="K80" s="798"/>
      <c r="L80" s="798"/>
    </row>
    <row r="81" spans="1:12" s="967" customFormat="1">
      <c r="A81" s="2344"/>
      <c r="D81" s="2345"/>
      <c r="K81" s="798"/>
      <c r="L81" s="798"/>
    </row>
    <row r="82" spans="1:12" s="967" customFormat="1">
      <c r="A82" s="2344"/>
      <c r="D82" s="2345"/>
      <c r="K82" s="798"/>
      <c r="L82" s="798"/>
    </row>
    <row r="83" spans="1:12" s="967" customFormat="1">
      <c r="A83" s="2344"/>
      <c r="D83" s="2345"/>
      <c r="K83" s="798"/>
      <c r="L83" s="798"/>
    </row>
    <row r="84" spans="1:12" s="967" customFormat="1">
      <c r="A84" s="2344"/>
      <c r="D84" s="2345"/>
      <c r="K84" s="798"/>
      <c r="L84" s="798"/>
    </row>
    <row r="85" spans="1:12" s="967" customFormat="1">
      <c r="A85" s="2344"/>
      <c r="D85" s="2345"/>
      <c r="K85" s="798"/>
      <c r="L85" s="798"/>
    </row>
    <row r="86" spans="1:12" s="967" customFormat="1">
      <c r="A86" s="2344"/>
      <c r="D86" s="2345"/>
      <c r="K86" s="798"/>
      <c r="L86" s="798"/>
    </row>
    <row r="87" spans="1:12" s="967" customFormat="1">
      <c r="A87" s="2344"/>
      <c r="D87" s="2345"/>
      <c r="K87" s="798"/>
      <c r="L87" s="798"/>
    </row>
    <row r="88" spans="1:12" s="967" customFormat="1">
      <c r="A88" s="2344"/>
      <c r="D88" s="2345"/>
      <c r="K88" s="798"/>
      <c r="L88" s="798"/>
    </row>
    <row r="89" spans="1:12" s="967" customFormat="1">
      <c r="A89" s="2344"/>
      <c r="D89" s="2345"/>
      <c r="K89" s="798"/>
      <c r="L89" s="798"/>
    </row>
    <row r="90" spans="1:12" s="967" customFormat="1">
      <c r="A90" s="2344"/>
      <c r="D90" s="2345"/>
      <c r="K90" s="798"/>
      <c r="L90" s="798"/>
    </row>
    <row r="91" spans="1:12" s="967" customFormat="1">
      <c r="A91" s="2344"/>
      <c r="D91" s="2345"/>
      <c r="K91" s="798"/>
      <c r="L91" s="798"/>
    </row>
    <row r="92" spans="1:12" s="967" customFormat="1">
      <c r="A92" s="2344"/>
      <c r="D92" s="2345"/>
      <c r="K92" s="798"/>
      <c r="L92" s="798"/>
    </row>
    <row r="93" spans="1:12" s="967" customFormat="1">
      <c r="A93" s="2344"/>
      <c r="D93" s="2345"/>
      <c r="K93" s="798"/>
      <c r="L93" s="798"/>
    </row>
    <row r="94" spans="1:12" s="967" customFormat="1">
      <c r="A94" s="2344"/>
      <c r="D94" s="2345"/>
      <c r="K94" s="798"/>
      <c r="L94" s="798"/>
    </row>
    <row r="95" spans="1:12" s="967" customFormat="1">
      <c r="A95" s="2344"/>
      <c r="D95" s="2345"/>
      <c r="K95" s="798"/>
      <c r="L95" s="798"/>
    </row>
    <row r="96" spans="1:12" s="967" customFormat="1">
      <c r="A96" s="2344"/>
      <c r="D96" s="2345"/>
      <c r="K96" s="798"/>
      <c r="L96" s="798"/>
    </row>
    <row r="97" spans="1:12" s="967" customFormat="1">
      <c r="A97" s="2344"/>
      <c r="D97" s="2345"/>
      <c r="K97" s="798"/>
      <c r="L97" s="798"/>
    </row>
    <row r="98" spans="1:12" s="967" customFormat="1">
      <c r="A98" s="2344"/>
      <c r="D98" s="2345"/>
      <c r="K98" s="798"/>
      <c r="L98" s="798"/>
    </row>
    <row r="99" spans="1:12" s="967" customFormat="1">
      <c r="A99" s="2344"/>
      <c r="D99" s="2345"/>
      <c r="K99" s="798"/>
      <c r="L99" s="798"/>
    </row>
    <row r="100" spans="1:12" s="967" customFormat="1">
      <c r="A100" s="2344"/>
      <c r="D100" s="2345"/>
      <c r="K100" s="798"/>
      <c r="L100" s="798"/>
    </row>
    <row r="101" spans="1:12" s="967" customFormat="1">
      <c r="A101" s="2344"/>
      <c r="D101" s="2345"/>
      <c r="K101" s="798"/>
      <c r="L101" s="798"/>
    </row>
    <row r="102" spans="1:12" s="967" customFormat="1">
      <c r="A102" s="2344"/>
      <c r="D102" s="2345"/>
      <c r="K102" s="798"/>
      <c r="L102" s="798"/>
    </row>
    <row r="103" spans="1:12" s="967" customFormat="1">
      <c r="A103" s="2344"/>
      <c r="D103" s="2345"/>
      <c r="K103" s="798"/>
      <c r="L103" s="798"/>
    </row>
    <row r="104" spans="1:12" s="967" customFormat="1">
      <c r="A104" s="2344"/>
      <c r="D104" s="2345"/>
      <c r="K104" s="798"/>
      <c r="L104" s="798"/>
    </row>
    <row r="105" spans="1:12" s="967" customFormat="1">
      <c r="A105" s="2344"/>
      <c r="D105" s="2345"/>
      <c r="K105" s="798"/>
      <c r="L105" s="798"/>
    </row>
    <row r="106" spans="1:12" s="967" customFormat="1">
      <c r="A106" s="2344"/>
      <c r="D106" s="2345"/>
      <c r="K106" s="798"/>
      <c r="L106" s="798"/>
    </row>
    <row r="107" spans="1:12" s="967" customFormat="1">
      <c r="A107" s="2344"/>
      <c r="D107" s="2345"/>
      <c r="K107" s="798"/>
      <c r="L107" s="798"/>
    </row>
    <row r="108" spans="1:12" s="967" customFormat="1">
      <c r="A108" s="2344"/>
      <c r="D108" s="2345"/>
      <c r="K108" s="798"/>
      <c r="L108" s="798"/>
    </row>
    <row r="109" spans="1:12" s="967" customFormat="1">
      <c r="A109" s="2344"/>
      <c r="D109" s="2345"/>
      <c r="K109" s="798"/>
      <c r="L109" s="798"/>
    </row>
    <row r="110" spans="1:12" s="967" customFormat="1">
      <c r="A110" s="2344"/>
      <c r="D110" s="2345"/>
      <c r="K110" s="798"/>
      <c r="L110" s="798"/>
    </row>
    <row r="111" spans="1:12" s="967" customFormat="1">
      <c r="A111" s="2344"/>
      <c r="D111" s="2345"/>
      <c r="K111" s="798"/>
      <c r="L111" s="798"/>
    </row>
    <row r="112" spans="1:12" s="967" customFormat="1">
      <c r="A112" s="2344"/>
      <c r="D112" s="2345"/>
      <c r="K112" s="798"/>
      <c r="L112" s="798"/>
    </row>
    <row r="113" spans="1:12" s="967" customFormat="1">
      <c r="A113" s="2344"/>
      <c r="D113" s="2345"/>
      <c r="K113" s="798"/>
      <c r="L113" s="798"/>
    </row>
    <row r="114" spans="1:12" s="967" customFormat="1">
      <c r="A114" s="2344"/>
      <c r="D114" s="2345"/>
      <c r="K114" s="798"/>
      <c r="L114" s="798"/>
    </row>
    <row r="115" spans="1:12" s="967" customFormat="1">
      <c r="A115" s="2344"/>
      <c r="D115" s="2345"/>
      <c r="K115" s="798"/>
      <c r="L115" s="798"/>
    </row>
    <row r="116" spans="1:12" s="967" customFormat="1">
      <c r="A116" s="2344"/>
      <c r="D116" s="2345"/>
      <c r="K116" s="798"/>
      <c r="L116" s="798"/>
    </row>
    <row r="117" spans="1:12" s="967" customFormat="1">
      <c r="A117" s="2344"/>
      <c r="D117" s="2345"/>
      <c r="K117" s="798"/>
      <c r="L117" s="798"/>
    </row>
    <row r="118" spans="1:12" s="967" customFormat="1">
      <c r="A118" s="2344"/>
      <c r="D118" s="2345"/>
      <c r="K118" s="798"/>
      <c r="L118" s="798"/>
    </row>
    <row r="119" spans="1:12" s="967" customFormat="1">
      <c r="A119" s="2344"/>
      <c r="D119" s="2345"/>
      <c r="K119" s="798"/>
      <c r="L119" s="798"/>
    </row>
    <row r="120" spans="1:12" s="967" customFormat="1">
      <c r="A120" s="2344"/>
      <c r="D120" s="2345"/>
      <c r="K120" s="798"/>
      <c r="L120" s="798"/>
    </row>
    <row r="121" spans="1:12" s="967" customFormat="1">
      <c r="A121" s="2344"/>
      <c r="D121" s="2345"/>
      <c r="K121" s="798"/>
      <c r="L121" s="798"/>
    </row>
    <row r="122" spans="1:12" s="967" customFormat="1">
      <c r="A122" s="2344"/>
      <c r="D122" s="2345"/>
      <c r="K122" s="798"/>
      <c r="L122" s="798"/>
    </row>
    <row r="123" spans="1:12" s="967" customFormat="1">
      <c r="A123" s="2344"/>
      <c r="D123" s="2345"/>
      <c r="K123" s="798"/>
      <c r="L123" s="798"/>
    </row>
    <row r="124" spans="1:12" s="967" customFormat="1">
      <c r="A124" s="2344"/>
      <c r="D124" s="2345"/>
      <c r="K124" s="798"/>
      <c r="L124" s="798"/>
    </row>
    <row r="125" spans="1:12" s="967" customFormat="1">
      <c r="A125" s="2344"/>
      <c r="D125" s="2345"/>
      <c r="K125" s="798"/>
      <c r="L125" s="798"/>
    </row>
    <row r="126" spans="1:12" s="967" customFormat="1">
      <c r="A126" s="2344"/>
      <c r="D126" s="2345"/>
      <c r="K126" s="798"/>
      <c r="L126" s="798"/>
    </row>
    <row r="127" spans="1:12" s="967" customFormat="1">
      <c r="A127" s="2344"/>
      <c r="D127" s="2345"/>
      <c r="K127" s="798"/>
      <c r="L127" s="798"/>
    </row>
    <row r="128" spans="1:12" s="967" customFormat="1">
      <c r="A128" s="2344"/>
      <c r="D128" s="2345"/>
      <c r="K128" s="798"/>
      <c r="L128" s="798"/>
    </row>
    <row r="129" spans="1:12" s="967" customFormat="1">
      <c r="A129" s="2344"/>
      <c r="D129" s="2345"/>
      <c r="K129" s="798"/>
      <c r="L129" s="798"/>
    </row>
    <row r="130" spans="1:12" s="967" customFormat="1">
      <c r="A130" s="2344"/>
      <c r="D130" s="2345"/>
      <c r="K130" s="798"/>
      <c r="L130" s="798"/>
    </row>
    <row r="131" spans="1:12" s="967" customFormat="1">
      <c r="A131" s="2344"/>
      <c r="D131" s="2345"/>
      <c r="K131" s="798"/>
      <c r="L131" s="798"/>
    </row>
    <row r="132" spans="1:12" s="967" customFormat="1">
      <c r="A132" s="2344"/>
      <c r="D132" s="2345"/>
      <c r="K132" s="798"/>
      <c r="L132" s="798"/>
    </row>
    <row r="133" spans="1:12" s="967" customFormat="1">
      <c r="A133" s="2344"/>
      <c r="D133" s="2345"/>
      <c r="K133" s="798"/>
      <c r="L133" s="798"/>
    </row>
    <row r="134" spans="1:12" s="2277" customFormat="1">
      <c r="A134" s="2346"/>
      <c r="D134" s="2347"/>
      <c r="K134" s="27"/>
      <c r="L134" s="27"/>
    </row>
    <row r="135" spans="1:12" s="2277" customFormat="1">
      <c r="A135" s="2346"/>
      <c r="D135" s="2347"/>
      <c r="K135" s="27"/>
      <c r="L135" s="27"/>
    </row>
    <row r="136" spans="1:12" s="2277" customFormat="1">
      <c r="A136" s="2346"/>
      <c r="D136" s="2347"/>
      <c r="K136" s="27"/>
      <c r="L136" s="27"/>
    </row>
    <row r="137" spans="1:12" s="2277" customFormat="1">
      <c r="A137" s="2346"/>
      <c r="D137" s="2347"/>
      <c r="K137" s="27"/>
      <c r="L137" s="27"/>
    </row>
    <row r="138" spans="1:12" s="2277" customFormat="1">
      <c r="A138" s="2346"/>
      <c r="D138" s="2347"/>
      <c r="K138" s="27"/>
      <c r="L138" s="27"/>
    </row>
    <row r="139" spans="1:12" s="2277" customFormat="1">
      <c r="A139" s="2346"/>
      <c r="D139" s="2347"/>
      <c r="K139" s="27"/>
      <c r="L139" s="27"/>
    </row>
    <row r="140" spans="1:12" s="2277" customFormat="1">
      <c r="A140" s="2346"/>
      <c r="D140" s="2347"/>
      <c r="K140" s="27"/>
      <c r="L140" s="27"/>
    </row>
    <row r="141" spans="1:12" s="2277" customFormat="1">
      <c r="A141" s="2346"/>
      <c r="D141" s="2347"/>
      <c r="K141" s="27"/>
      <c r="L141" s="27"/>
    </row>
    <row r="142" spans="1:12" s="2277" customFormat="1">
      <c r="A142" s="2346"/>
      <c r="D142" s="2347"/>
      <c r="K142" s="27"/>
      <c r="L142" s="27"/>
    </row>
    <row r="143" spans="1:12" s="2277" customFormat="1">
      <c r="A143" s="2346"/>
      <c r="D143" s="2347"/>
      <c r="K143" s="27"/>
      <c r="L143" s="27"/>
    </row>
    <row r="144" spans="1:12" s="2277" customFormat="1">
      <c r="A144" s="2346"/>
      <c r="D144" s="2347"/>
      <c r="K144" s="27"/>
      <c r="L144" s="27"/>
    </row>
    <row r="145" spans="1:12" s="2277" customFormat="1">
      <c r="A145" s="2346"/>
      <c r="D145" s="2347"/>
      <c r="K145" s="27"/>
      <c r="L145" s="27"/>
    </row>
    <row r="146" spans="1:12" s="2277" customFormat="1">
      <c r="A146" s="2346"/>
      <c r="D146" s="2347"/>
      <c r="K146" s="27"/>
      <c r="L146" s="27"/>
    </row>
    <row r="147" spans="1:12" s="2277" customFormat="1">
      <c r="A147" s="2346"/>
      <c r="D147" s="2347"/>
      <c r="K147" s="27"/>
      <c r="L147" s="27"/>
    </row>
    <row r="148" spans="1:12" s="2277" customFormat="1">
      <c r="A148" s="2346"/>
      <c r="D148" s="2347"/>
      <c r="K148" s="27"/>
      <c r="L148" s="27"/>
    </row>
    <row r="149" spans="1:12" s="2277" customFormat="1">
      <c r="A149" s="2346"/>
      <c r="D149" s="2347"/>
      <c r="K149" s="27"/>
      <c r="L149" s="27"/>
    </row>
    <row r="150" spans="1:12" s="2277" customFormat="1">
      <c r="A150" s="2346"/>
      <c r="D150" s="2347"/>
      <c r="K150" s="27"/>
      <c r="L150" s="27"/>
    </row>
    <row r="151" spans="1:12" s="2277" customFormat="1">
      <c r="A151" s="2346"/>
      <c r="D151" s="2347"/>
      <c r="K151" s="27"/>
      <c r="L151" s="27"/>
    </row>
    <row r="152" spans="1:12" s="2277" customFormat="1">
      <c r="A152" s="2346"/>
      <c r="D152" s="2347"/>
      <c r="K152" s="27"/>
      <c r="L152" s="27"/>
    </row>
    <row r="153" spans="1:12" s="2277" customFormat="1">
      <c r="A153" s="2346"/>
      <c r="D153" s="2347"/>
      <c r="K153" s="27"/>
      <c r="L153" s="27"/>
    </row>
    <row r="154" spans="1:12" s="2277" customFormat="1">
      <c r="A154" s="2346"/>
      <c r="D154" s="2347"/>
      <c r="K154" s="27"/>
      <c r="L154" s="27"/>
    </row>
    <row r="155" spans="1:12" s="2277" customFormat="1">
      <c r="A155" s="2346"/>
      <c r="D155" s="2347"/>
      <c r="K155" s="27"/>
      <c r="L155" s="27"/>
    </row>
    <row r="156" spans="1:12" s="2277" customFormat="1">
      <c r="A156" s="2346"/>
      <c r="D156" s="2347"/>
      <c r="K156" s="27"/>
      <c r="L156" s="27"/>
    </row>
    <row r="157" spans="1:12" s="2277" customFormat="1">
      <c r="A157" s="2346"/>
      <c r="D157" s="2347"/>
      <c r="K157" s="27"/>
      <c r="L157" s="27"/>
    </row>
    <row r="158" spans="1:12" s="2277" customFormat="1">
      <c r="A158" s="2346"/>
      <c r="D158" s="2347"/>
      <c r="K158" s="27"/>
      <c r="L158" s="27"/>
    </row>
    <row r="159" spans="1:12" s="2277" customFormat="1">
      <c r="A159" s="2346"/>
      <c r="D159" s="2347"/>
      <c r="K159" s="27"/>
      <c r="L159" s="27"/>
    </row>
    <row r="160" spans="1:12" s="2277" customFormat="1">
      <c r="A160" s="2346"/>
      <c r="D160" s="2347"/>
      <c r="K160" s="27"/>
      <c r="L160" s="27"/>
    </row>
    <row r="161" spans="1:12" s="2277" customFormat="1">
      <c r="A161" s="2346"/>
      <c r="D161" s="2347"/>
      <c r="K161" s="27"/>
      <c r="L161" s="27"/>
    </row>
    <row r="162" spans="1:12" s="2277" customFormat="1">
      <c r="A162" s="2346"/>
      <c r="D162" s="2347"/>
      <c r="K162" s="27"/>
      <c r="L162" s="27"/>
    </row>
    <row r="163" spans="1:12" s="2277" customFormat="1">
      <c r="A163" s="2346"/>
      <c r="D163" s="2347"/>
      <c r="K163" s="27"/>
      <c r="L163" s="27"/>
    </row>
    <row r="164" spans="1:12" s="2277" customFormat="1">
      <c r="A164" s="2346"/>
      <c r="D164" s="2347"/>
      <c r="K164" s="27"/>
      <c r="L164" s="27"/>
    </row>
    <row r="165" spans="1:12" s="2277" customFormat="1">
      <c r="A165" s="2346"/>
      <c r="D165" s="2347"/>
      <c r="K165" s="27"/>
      <c r="L165" s="27"/>
    </row>
    <row r="166" spans="1:12" s="2277" customFormat="1">
      <c r="A166" s="2346"/>
      <c r="D166" s="2347"/>
      <c r="K166" s="27"/>
      <c r="L166" s="27"/>
    </row>
    <row r="167" spans="1:12" s="2277" customFormat="1">
      <c r="A167" s="2346"/>
      <c r="D167" s="2347"/>
      <c r="K167" s="27"/>
      <c r="L167" s="27"/>
    </row>
    <row r="168" spans="1:12" s="2277" customFormat="1">
      <c r="A168" s="2346"/>
      <c r="D168" s="2347"/>
      <c r="K168" s="27"/>
      <c r="L168" s="27"/>
    </row>
    <row r="169" spans="1:12" s="2277" customFormat="1">
      <c r="A169" s="2346"/>
      <c r="D169" s="2347"/>
      <c r="K169" s="27"/>
      <c r="L169" s="27"/>
    </row>
    <row r="170" spans="1:12" s="2277" customFormat="1">
      <c r="A170" s="2346"/>
      <c r="D170" s="2347"/>
      <c r="K170" s="27"/>
      <c r="L170" s="27"/>
    </row>
    <row r="171" spans="1:12" s="2277" customFormat="1">
      <c r="A171" s="2346"/>
      <c r="D171" s="2347"/>
      <c r="K171" s="27"/>
      <c r="L171" s="27"/>
    </row>
    <row r="172" spans="1:12" s="2277" customFormat="1">
      <c r="A172" s="2346"/>
      <c r="D172" s="2347"/>
      <c r="K172" s="27"/>
      <c r="L172" s="27"/>
    </row>
    <row r="173" spans="1:12" s="2277" customFormat="1">
      <c r="A173" s="2346"/>
      <c r="D173" s="2347"/>
      <c r="K173" s="27"/>
      <c r="L173" s="27"/>
    </row>
    <row r="174" spans="1:12" s="2277" customFormat="1">
      <c r="A174" s="2346"/>
      <c r="D174" s="234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23" sqref="C23"/>
    </sheetView>
  </sheetViews>
  <sheetFormatPr defaultColWidth="9" defaultRowHeight="14.25"/>
  <cols>
    <col min="1" max="1" width="9.5" style="2372" customWidth="1"/>
    <col min="2" max="2" width="24.5" style="2420" customWidth="1"/>
    <col min="3" max="3" width="24.5" style="2419" customWidth="1"/>
    <col min="4" max="4" width="2.625" style="2419" customWidth="1"/>
    <col min="5" max="5" width="5.875" style="2419" customWidth="1"/>
    <col min="6" max="6" width="27" style="2420" customWidth="1"/>
    <col min="7" max="7" width="27" style="2421" customWidth="1"/>
    <col min="8" max="8" width="11.875" style="2399" customWidth="1"/>
    <col min="9" max="9" width="16.75" style="2400" customWidth="1"/>
    <col min="10" max="10" width="2.625" style="2399" customWidth="1"/>
    <col min="11" max="11" width="11.875" style="2399" customWidth="1"/>
    <col min="12" max="12" width="16.75" style="2400" customWidth="1"/>
    <col min="13" max="13" width="2.625" style="2399" customWidth="1"/>
    <col min="14" max="14" width="11.875" style="2399" customWidth="1"/>
    <col min="15" max="15" width="16.75" style="2400" customWidth="1"/>
    <col min="16" max="16" width="2.625" style="2399" customWidth="1"/>
    <col min="17" max="17" width="11.875" style="2399" customWidth="1"/>
    <col min="18" max="18" width="16.75" style="2401" customWidth="1"/>
    <col min="19" max="29" width="9" style="2371"/>
    <col min="30" max="16384" width="9" style="2372"/>
  </cols>
  <sheetData>
    <row r="1" spans="1:29" s="2365" customFormat="1" ht="19.5" thickBot="1">
      <c r="A1" s="3112" t="s">
        <v>2082</v>
      </c>
      <c r="B1" s="3113"/>
      <c r="C1" s="3113"/>
      <c r="D1" s="3113"/>
      <c r="E1" s="3113"/>
      <c r="F1" s="3113"/>
      <c r="G1" s="3113"/>
      <c r="H1" s="2360"/>
      <c r="I1" s="2361"/>
      <c r="J1" s="2360"/>
      <c r="K1" s="2360"/>
      <c r="L1" s="2361"/>
      <c r="M1" s="2360"/>
      <c r="N1" s="2360"/>
      <c r="O1" s="2361"/>
      <c r="P1" s="2360"/>
      <c r="Q1" s="2362"/>
      <c r="R1" s="2363"/>
      <c r="S1" s="2364"/>
      <c r="T1" s="2364"/>
      <c r="U1" s="2364"/>
      <c r="V1" s="2364"/>
      <c r="W1" s="2364"/>
      <c r="X1" s="2364"/>
      <c r="Y1" s="2364"/>
      <c r="Z1" s="2364"/>
      <c r="AA1" s="2364"/>
      <c r="AB1" s="2364"/>
      <c r="AC1" s="2364"/>
    </row>
    <row r="2" spans="1:29" ht="15.75" thickBot="1">
      <c r="A2" s="2366"/>
      <c r="B2" s="2367"/>
      <c r="C2" s="2368" t="s">
        <v>2083</v>
      </c>
      <c r="D2" s="2369"/>
      <c r="E2" s="2370"/>
      <c r="F2" s="2289"/>
      <c r="G2" s="2368" t="s">
        <v>2084</v>
      </c>
      <c r="H2" s="2371"/>
      <c r="I2" s="2371"/>
      <c r="J2" s="2371"/>
      <c r="K2" s="2371"/>
      <c r="L2" s="2371"/>
      <c r="M2" s="2371"/>
      <c r="N2" s="2371"/>
      <c r="O2" s="2371"/>
      <c r="P2" s="2371"/>
      <c r="Q2" s="2371"/>
      <c r="R2" s="2371"/>
    </row>
    <row r="3" spans="1:29" ht="54">
      <c r="A3" s="415" t="s">
        <v>2085</v>
      </c>
      <c r="B3" s="1271" t="s">
        <v>2086</v>
      </c>
      <c r="C3" s="2373" t="s">
        <v>2087</v>
      </c>
      <c r="D3" s="2374"/>
      <c r="E3" s="431" t="s">
        <v>2085</v>
      </c>
      <c r="F3" s="2375" t="s">
        <v>2088</v>
      </c>
      <c r="G3" s="2376" t="s">
        <v>2089</v>
      </c>
      <c r="H3" s="2371"/>
      <c r="I3" s="2371"/>
      <c r="J3" s="2371"/>
      <c r="K3" s="2371"/>
      <c r="L3" s="2371"/>
      <c r="M3" s="2371"/>
      <c r="N3" s="2371"/>
      <c r="O3" s="2371"/>
      <c r="P3" s="2371"/>
      <c r="Q3" s="2371"/>
      <c r="R3" s="2371"/>
    </row>
    <row r="4" spans="1:29" ht="41.25">
      <c r="A4" s="431"/>
      <c r="B4" s="1797" t="s">
        <v>2090</v>
      </c>
      <c r="C4" s="2377" t="s">
        <v>2091</v>
      </c>
      <c r="D4" s="2374"/>
      <c r="E4" s="2378"/>
      <c r="F4" s="42" t="s">
        <v>2092</v>
      </c>
      <c r="G4" s="2379" t="s">
        <v>2093</v>
      </c>
      <c r="H4" s="2371"/>
      <c r="I4" s="2371"/>
      <c r="J4" s="2371"/>
      <c r="K4" s="2371"/>
      <c r="L4" s="2371"/>
      <c r="M4" s="2371"/>
      <c r="N4" s="2371"/>
      <c r="O4" s="2371"/>
      <c r="P4" s="2371"/>
      <c r="Q4" s="2371"/>
      <c r="R4" s="2371"/>
    </row>
    <row r="5" spans="1:29" ht="41.25">
      <c r="A5" s="431"/>
      <c r="B5" s="1797" t="s">
        <v>2094</v>
      </c>
      <c r="C5" s="2377" t="s">
        <v>2095</v>
      </c>
      <c r="D5" s="2374"/>
      <c r="E5" s="2378"/>
      <c r="F5" s="1797" t="s">
        <v>2096</v>
      </c>
      <c r="G5" s="2379" t="s">
        <v>2097</v>
      </c>
      <c r="H5" s="2371"/>
      <c r="I5" s="2371"/>
      <c r="J5" s="2371"/>
      <c r="K5" s="2371"/>
      <c r="L5" s="2371"/>
      <c r="M5" s="2371"/>
      <c r="N5" s="2371"/>
      <c r="O5" s="2371"/>
      <c r="P5" s="2371"/>
      <c r="Q5" s="2371"/>
      <c r="R5" s="2371"/>
    </row>
    <row r="6" spans="1:29" ht="54">
      <c r="A6" s="431"/>
      <c r="B6" s="1797" t="s">
        <v>2098</v>
      </c>
      <c r="C6" s="2379" t="s">
        <v>2093</v>
      </c>
      <c r="D6" s="2374"/>
      <c r="E6" s="2378"/>
      <c r="F6" s="1797" t="s">
        <v>2099</v>
      </c>
      <c r="G6" s="2379" t="s">
        <v>2100</v>
      </c>
      <c r="H6" s="2371"/>
      <c r="I6" s="2371"/>
      <c r="J6" s="2371"/>
      <c r="K6" s="2371"/>
      <c r="L6" s="2371"/>
      <c r="M6" s="2371"/>
      <c r="N6" s="2371"/>
      <c r="O6" s="2371"/>
      <c r="P6" s="2371"/>
      <c r="Q6" s="2371"/>
      <c r="R6" s="2371"/>
    </row>
    <row r="7" spans="1:29" ht="41.25" thickBot="1">
      <c r="A7" s="431"/>
      <c r="B7" s="1797" t="s">
        <v>2096</v>
      </c>
      <c r="C7" s="2379" t="s">
        <v>2097</v>
      </c>
      <c r="D7" s="2380"/>
      <c r="E7" s="2381"/>
      <c r="F7" s="2382" t="s">
        <v>2101</v>
      </c>
      <c r="G7" s="2383" t="s">
        <v>2102</v>
      </c>
      <c r="H7" s="2371"/>
      <c r="I7" s="2371"/>
      <c r="J7" s="2371"/>
      <c r="K7" s="2371"/>
      <c r="L7" s="2371"/>
      <c r="M7" s="2371"/>
      <c r="N7" s="2371"/>
      <c r="O7" s="2371"/>
      <c r="P7" s="2371"/>
      <c r="Q7" s="2371"/>
      <c r="R7" s="2371"/>
    </row>
    <row r="8" spans="1:29" ht="27">
      <c r="A8" s="431"/>
      <c r="B8" s="1797" t="s">
        <v>2099</v>
      </c>
      <c r="C8" s="2379" t="s">
        <v>2100</v>
      </c>
      <c r="D8" s="2380"/>
      <c r="E8" s="2380"/>
      <c r="F8" s="1136"/>
      <c r="G8" s="1136"/>
      <c r="H8" s="2371"/>
      <c r="I8" s="2371"/>
      <c r="J8" s="2371"/>
      <c r="K8" s="2371"/>
      <c r="L8" s="2371"/>
      <c r="M8" s="2371"/>
      <c r="N8" s="2371"/>
      <c r="O8" s="2371"/>
      <c r="P8" s="2371"/>
      <c r="Q8" s="2371"/>
      <c r="R8" s="2371"/>
    </row>
    <row r="9" spans="1:29" ht="27">
      <c r="A9" s="431"/>
      <c r="B9" s="1797" t="s">
        <v>2103</v>
      </c>
      <c r="C9" s="2377" t="s">
        <v>2104</v>
      </c>
      <c r="D9" s="2374"/>
      <c r="E9" s="2380"/>
      <c r="F9" s="1136"/>
      <c r="G9" s="1136"/>
      <c r="H9" s="2371"/>
      <c r="I9" s="2371"/>
      <c r="J9" s="2371"/>
      <c r="K9" s="2371"/>
      <c r="L9" s="2371"/>
      <c r="M9" s="2371"/>
      <c r="N9" s="2371"/>
      <c r="O9" s="2371"/>
      <c r="P9" s="2371"/>
      <c r="Q9" s="2371"/>
      <c r="R9" s="2371"/>
    </row>
    <row r="10" spans="1:29" s="117" customFormat="1" ht="15.75" thickBot="1">
      <c r="A10" s="2384"/>
      <c r="B10" s="2385" t="s">
        <v>2105</v>
      </c>
      <c r="C10" s="2386"/>
      <c r="D10" s="2374"/>
      <c r="E10" s="2374"/>
      <c r="F10" s="1136"/>
      <c r="G10" s="1136"/>
      <c r="H10" s="2387"/>
      <c r="I10" s="2388"/>
      <c r="J10" s="2389"/>
      <c r="K10" s="2387"/>
      <c r="L10" s="2388"/>
      <c r="M10" s="2389"/>
      <c r="N10" s="2387"/>
      <c r="O10" s="2388"/>
      <c r="P10" s="2389"/>
      <c r="Q10" s="2387"/>
      <c r="R10" s="2388"/>
      <c r="S10" s="2371"/>
      <c r="T10" s="2371"/>
      <c r="U10" s="2371"/>
      <c r="V10" s="2371"/>
      <c r="W10" s="2371"/>
      <c r="X10" s="2371"/>
      <c r="Y10" s="2371"/>
      <c r="Z10" s="2371"/>
      <c r="AA10" s="2371"/>
      <c r="AB10" s="2371"/>
      <c r="AC10" s="2371"/>
    </row>
    <row r="11" spans="1:29" s="117" customFormat="1" ht="15">
      <c r="A11" s="2390"/>
      <c r="B11" s="2380"/>
      <c r="C11" s="2374"/>
      <c r="D11" s="2374"/>
      <c r="E11" s="2374"/>
      <c r="F11" s="2380"/>
      <c r="G11" s="1154"/>
      <c r="H11" s="2387"/>
      <c r="I11" s="2388"/>
      <c r="J11" s="2389"/>
      <c r="K11" s="2387"/>
      <c r="L11" s="2388"/>
      <c r="M11" s="2389"/>
      <c r="N11" s="2387"/>
      <c r="O11" s="2388"/>
      <c r="P11" s="2389"/>
      <c r="Q11" s="2387"/>
      <c r="R11" s="2388"/>
      <c r="S11" s="2371"/>
      <c r="T11" s="2371"/>
      <c r="U11" s="2371"/>
      <c r="V11" s="2371"/>
      <c r="W11" s="2371"/>
      <c r="X11" s="2371"/>
      <c r="Y11" s="2371"/>
      <c r="Z11" s="2371"/>
      <c r="AA11" s="2371"/>
      <c r="AB11" s="2371"/>
      <c r="AC11" s="2371"/>
    </row>
    <row r="12" spans="1:29" s="2365" customFormat="1" ht="18">
      <c r="A12" s="2390"/>
      <c r="B12" s="2380"/>
      <c r="C12" s="2374"/>
      <c r="D12" s="2391"/>
      <c r="E12" s="2374"/>
      <c r="F12" s="2380"/>
      <c r="G12" s="1154"/>
      <c r="H12" s="2392"/>
      <c r="I12" s="2393"/>
      <c r="J12" s="2392"/>
      <c r="K12" s="2392"/>
      <c r="L12" s="2394"/>
      <c r="M12" s="2392"/>
      <c r="N12" s="2395"/>
      <c r="O12" s="2396"/>
      <c r="P12" s="2395"/>
      <c r="Q12" s="2395"/>
      <c r="R12" s="2363"/>
      <c r="S12" s="2364"/>
      <c r="T12" s="2364"/>
      <c r="U12" s="2364"/>
      <c r="V12" s="2364"/>
      <c r="W12" s="2364"/>
      <c r="X12" s="2364"/>
      <c r="Y12" s="2364"/>
      <c r="Z12" s="2364"/>
      <c r="AA12" s="2364"/>
      <c r="AB12" s="2364"/>
      <c r="AC12" s="2364"/>
    </row>
    <row r="13" spans="1:29" ht="19.5" thickBot="1">
      <c r="A13" s="2397" t="s">
        <v>2106</v>
      </c>
      <c r="B13" s="2391"/>
      <c r="C13" s="2391"/>
      <c r="D13" s="2398"/>
      <c r="E13" s="2391"/>
      <c r="F13" s="2391"/>
      <c r="G13" s="2391"/>
    </row>
    <row r="14" spans="1:29" ht="15.75" thickBot="1">
      <c r="A14" s="2402"/>
      <c r="B14" s="2403"/>
      <c r="C14" s="2404" t="s">
        <v>2107</v>
      </c>
      <c r="D14" s="2374"/>
      <c r="E14" s="2405"/>
      <c r="F14" s="2405"/>
      <c r="G14" s="2368" t="s">
        <v>2108</v>
      </c>
    </row>
    <row r="15" spans="1:29" ht="57">
      <c r="A15" s="68" t="s">
        <v>2109</v>
      </c>
      <c r="B15" s="1270" t="s">
        <v>2086</v>
      </c>
      <c r="C15" s="2406" t="str">
        <f>C3</f>
        <v>估价对象周边居住用地比例、居住小区规模和社区发展完善程度，综合评价居住社区成熟度一般</v>
      </c>
      <c r="D15" s="2374"/>
      <c r="E15" s="2407" t="s">
        <v>2110</v>
      </c>
      <c r="F15" s="1270" t="s">
        <v>2111</v>
      </c>
      <c r="G15" s="135" t="str">
        <f>G3</f>
        <v>估价对象位于XX开发区，园区建设成熟度XX，产业集聚程度XX</v>
      </c>
    </row>
    <row r="16" spans="1:29" ht="42.75">
      <c r="A16" s="645"/>
      <c r="B16" s="2408" t="s">
        <v>2090</v>
      </c>
      <c r="C16" s="2409" t="str">
        <f>C4</f>
        <v>估价对象位于XX商圈，周边商业氛围成熟，人流量大，商业繁华度好</v>
      </c>
      <c r="D16" s="2374"/>
      <c r="E16" s="2410"/>
      <c r="F16" s="2411" t="s">
        <v>2092</v>
      </c>
      <c r="G16" s="136" t="str">
        <f>G4</f>
        <v>估价对象周边道路状况、公共交通通达情况、停车便捷程度，综合评价交通便捷度较好</v>
      </c>
    </row>
    <row r="17" spans="1:18" ht="42.75">
      <c r="A17" s="645"/>
      <c r="B17" s="2408" t="s">
        <v>2094</v>
      </c>
      <c r="C17" s="2409" t="str">
        <f>C5</f>
        <v>估价对象位于XX商圈，周边办公楼项目较多，入驻率高，办公集聚程度较好</v>
      </c>
      <c r="D17" s="2380"/>
      <c r="E17" s="2410"/>
      <c r="F17" s="2411" t="s">
        <v>2112</v>
      </c>
      <c r="G17" s="1571"/>
    </row>
    <row r="18" spans="1:18" ht="57">
      <c r="A18" s="645"/>
      <c r="B18" s="2411" t="s">
        <v>2098</v>
      </c>
      <c r="C18" s="136" t="str">
        <f>C6</f>
        <v>估价对象周边道路状况、公共交通通达情况、停车便捷程度，综合评价交通便捷度较好</v>
      </c>
      <c r="D18" s="2380"/>
      <c r="E18" s="2410"/>
      <c r="F18" s="2411" t="s">
        <v>2101</v>
      </c>
      <c r="G18" s="136" t="str">
        <f>G7</f>
        <v>该园区内是否有污染型企业，绿化情况，卫生条件，整体环境状况判断</v>
      </c>
    </row>
    <row r="19" spans="1:18" ht="28.5">
      <c r="A19" s="645"/>
      <c r="B19" s="2411" t="s">
        <v>2113</v>
      </c>
      <c r="C19" s="1571"/>
      <c r="D19" s="2374"/>
      <c r="E19" s="2410"/>
      <c r="F19" s="1797" t="s">
        <v>2096</v>
      </c>
      <c r="G19" s="136" t="str">
        <f>G5</f>
        <v>估价对象所在区域公共配套设施齐备情况</v>
      </c>
    </row>
    <row r="20" spans="1:18" ht="28.5">
      <c r="A20" s="645"/>
      <c r="B20" s="2411" t="s">
        <v>2114</v>
      </c>
      <c r="C20" s="2409" t="str">
        <f>C9</f>
        <v>区域自然环境：；人文环境；综合评价环境状况一般</v>
      </c>
      <c r="D20" s="2380"/>
      <c r="E20" s="2410"/>
      <c r="F20" s="1797" t="s">
        <v>2115</v>
      </c>
      <c r="G20" s="136" t="str">
        <f>G6</f>
        <v>估价对象所在区域基础设施水平</v>
      </c>
    </row>
    <row r="21" spans="1:18" ht="28.5">
      <c r="A21" s="645"/>
      <c r="B21" s="1797" t="s">
        <v>2096</v>
      </c>
      <c r="C21" s="136" t="str">
        <f>C7</f>
        <v>估价对象所在区域公共配套设施齐备情况</v>
      </c>
      <c r="D21" s="2374"/>
      <c r="E21" s="2410"/>
      <c r="F21" s="2411" t="s">
        <v>2116</v>
      </c>
      <c r="G21" s="2412"/>
    </row>
    <row r="22" spans="1:18" ht="13.5" customHeight="1">
      <c r="A22" s="645"/>
      <c r="B22" s="1797" t="s">
        <v>2099</v>
      </c>
      <c r="C22" s="136" t="str">
        <f>C8</f>
        <v>估价对象所在区域基础设施水平</v>
      </c>
      <c r="D22" s="2374"/>
      <c r="E22" s="2410"/>
      <c r="F22" s="2411" t="s">
        <v>2105</v>
      </c>
      <c r="G22" s="1571"/>
    </row>
    <row r="23" spans="1:18" s="2371" customFormat="1" ht="15.75" thickBot="1">
      <c r="A23" s="645"/>
      <c r="B23" s="2411" t="s">
        <v>2116</v>
      </c>
      <c r="C23" s="2412"/>
      <c r="D23" s="2399"/>
      <c r="E23" s="2413"/>
      <c r="F23" s="2414" t="s">
        <v>2117</v>
      </c>
      <c r="G23" s="2415"/>
      <c r="H23" s="2399"/>
      <c r="I23" s="2400"/>
      <c r="J23" s="2399"/>
      <c r="K23" s="2399"/>
      <c r="L23" s="2400"/>
      <c r="M23" s="2399"/>
      <c r="N23" s="2399"/>
      <c r="O23" s="2400"/>
      <c r="P23" s="2399"/>
      <c r="Q23" s="2399"/>
      <c r="R23" s="2401"/>
    </row>
    <row r="24" spans="1:18" s="2371" customFormat="1" ht="15.75" thickBot="1">
      <c r="A24" s="2416"/>
      <c r="B24" s="2414" t="s">
        <v>2118</v>
      </c>
      <c r="C24" s="137">
        <f>C10</f>
        <v>0</v>
      </c>
      <c r="D24" s="2399"/>
      <c r="E24" s="2417"/>
      <c r="F24" s="2417"/>
      <c r="G24" s="2418"/>
      <c r="H24" s="2399"/>
      <c r="I24" s="2400"/>
      <c r="J24" s="2399"/>
      <c r="K24" s="2399"/>
      <c r="L24" s="2400"/>
      <c r="M24" s="2399"/>
      <c r="N24" s="2399"/>
      <c r="O24" s="2400"/>
      <c r="P24" s="2399"/>
      <c r="Q24" s="2399"/>
      <c r="R24" s="2401"/>
    </row>
    <row r="25" spans="1:18" s="2371" customFormat="1">
      <c r="B25" s="2399"/>
      <c r="C25" s="2399"/>
      <c r="D25" s="2399"/>
      <c r="H25" s="2399"/>
      <c r="I25" s="2400"/>
      <c r="J25" s="2399"/>
      <c r="K25" s="2399"/>
      <c r="L25" s="2400"/>
      <c r="M25" s="2399"/>
      <c r="N25" s="2399"/>
      <c r="O25" s="2400"/>
      <c r="P25" s="2399"/>
      <c r="Q25" s="2399"/>
      <c r="R25" s="2401"/>
    </row>
    <row r="26" spans="1:18" s="2371" customFormat="1">
      <c r="B26" s="2399"/>
      <c r="C26" s="2399"/>
      <c r="D26" s="2399"/>
      <c r="H26" s="2399"/>
      <c r="I26" s="2400"/>
      <c r="J26" s="2399"/>
      <c r="K26" s="2399"/>
      <c r="L26" s="2400"/>
      <c r="M26" s="2399"/>
      <c r="N26" s="2399"/>
      <c r="O26" s="2400"/>
      <c r="P26" s="2399"/>
      <c r="Q26" s="2399"/>
      <c r="R26" s="2401"/>
    </row>
    <row r="27" spans="1:18" s="2371" customFormat="1">
      <c r="B27" s="2399"/>
      <c r="C27" s="2399"/>
      <c r="D27" s="2399"/>
      <c r="H27" s="2399"/>
      <c r="I27" s="2400"/>
      <c r="J27" s="2399"/>
      <c r="K27" s="2399"/>
      <c r="L27" s="2400"/>
      <c r="M27" s="2399"/>
      <c r="N27" s="2399"/>
      <c r="O27" s="2400"/>
      <c r="P27" s="2399"/>
      <c r="Q27" s="2399"/>
      <c r="R27" s="2401"/>
    </row>
    <row r="28" spans="1:18" s="2371" customFormat="1">
      <c r="B28" s="2399"/>
      <c r="C28" s="2399"/>
      <c r="D28" s="2399"/>
      <c r="H28" s="2399"/>
      <c r="I28" s="2400"/>
      <c r="J28" s="2399"/>
      <c r="K28" s="2399"/>
      <c r="L28" s="2400"/>
      <c r="M28" s="2399"/>
      <c r="N28" s="2399"/>
      <c r="O28" s="2400"/>
      <c r="P28" s="2399"/>
      <c r="Q28" s="2399"/>
      <c r="R28" s="2401"/>
    </row>
    <row r="29" spans="1:18" s="2371" customFormat="1">
      <c r="B29" s="2399"/>
      <c r="C29" s="2399"/>
      <c r="D29" s="2399"/>
      <c r="H29" s="2399"/>
      <c r="I29" s="2400"/>
      <c r="J29" s="2399"/>
      <c r="K29" s="2399"/>
      <c r="L29" s="2400"/>
      <c r="M29" s="2399"/>
      <c r="N29" s="2399"/>
      <c r="O29" s="2400"/>
      <c r="P29" s="2399"/>
      <c r="Q29" s="2399"/>
      <c r="R29" s="2401"/>
    </row>
    <row r="30" spans="1:18" s="2371" customFormat="1">
      <c r="B30" s="2399"/>
      <c r="C30" s="2399"/>
      <c r="D30" s="2399"/>
      <c r="H30" s="2399"/>
      <c r="I30" s="2400"/>
      <c r="J30" s="2399"/>
      <c r="K30" s="2399"/>
      <c r="L30" s="2400"/>
      <c r="M30" s="2399"/>
      <c r="N30" s="2399"/>
      <c r="O30" s="2400"/>
      <c r="P30" s="2399"/>
      <c r="Q30" s="2399"/>
      <c r="R30" s="2401"/>
    </row>
    <row r="31" spans="1:18" s="2371" customFormat="1">
      <c r="B31" s="2399"/>
      <c r="C31" s="2399"/>
      <c r="D31" s="2399"/>
      <c r="H31" s="2399"/>
      <c r="I31" s="2400"/>
      <c r="J31" s="2399"/>
      <c r="K31" s="2399"/>
      <c r="L31" s="2400"/>
      <c r="M31" s="2399"/>
      <c r="N31" s="2399"/>
      <c r="O31" s="2400"/>
      <c r="P31" s="2399"/>
      <c r="Q31" s="2399"/>
      <c r="R31" s="2401"/>
    </row>
    <row r="32" spans="1:18" s="2371" customFormat="1">
      <c r="B32" s="2399"/>
      <c r="C32" s="2399"/>
      <c r="D32" s="2399"/>
      <c r="H32" s="2399"/>
      <c r="I32" s="2400"/>
      <c r="J32" s="2399"/>
      <c r="K32" s="2399"/>
      <c r="L32" s="2400"/>
      <c r="M32" s="2399"/>
      <c r="N32" s="2399"/>
      <c r="O32" s="2400"/>
      <c r="P32" s="2399"/>
      <c r="Q32" s="2399"/>
      <c r="R32" s="2401"/>
    </row>
    <row r="33" spans="2:18" s="2371" customFormat="1">
      <c r="B33" s="2399"/>
      <c r="C33" s="2399"/>
      <c r="D33" s="2399"/>
      <c r="H33" s="2399"/>
      <c r="I33" s="2400"/>
      <c r="J33" s="2399"/>
      <c r="K33" s="2399"/>
      <c r="L33" s="2400"/>
      <c r="M33" s="2399"/>
      <c r="N33" s="2399"/>
      <c r="O33" s="2400"/>
      <c r="P33" s="2399"/>
      <c r="Q33" s="2399"/>
      <c r="R33" s="2401"/>
    </row>
    <row r="34" spans="2:18" s="2371" customFormat="1">
      <c r="B34" s="2399"/>
      <c r="C34" s="2399"/>
      <c r="D34" s="2399"/>
      <c r="H34" s="2399"/>
      <c r="I34" s="2400"/>
      <c r="J34" s="2399"/>
      <c r="K34" s="2399"/>
      <c r="L34" s="2400"/>
      <c r="M34" s="2399"/>
      <c r="N34" s="2399"/>
      <c r="O34" s="2400"/>
      <c r="P34" s="2399"/>
      <c r="Q34" s="2399"/>
      <c r="R34" s="2401"/>
    </row>
    <row r="35" spans="2:18" s="2371" customFormat="1">
      <c r="B35" s="2399"/>
      <c r="C35" s="2399"/>
      <c r="D35" s="2399"/>
      <c r="H35" s="2399"/>
      <c r="I35" s="2400"/>
      <c r="J35" s="2399"/>
      <c r="K35" s="2399"/>
      <c r="L35" s="2400"/>
      <c r="M35" s="2399"/>
      <c r="N35" s="2399"/>
      <c r="O35" s="2400"/>
      <c r="P35" s="2399"/>
      <c r="Q35" s="2399"/>
      <c r="R35" s="2401"/>
    </row>
    <row r="36" spans="2:18" s="2371" customFormat="1">
      <c r="B36" s="2399"/>
      <c r="C36" s="2399"/>
      <c r="D36" s="2399"/>
      <c r="H36" s="2399"/>
      <c r="I36" s="2400"/>
      <c r="J36" s="2399"/>
      <c r="K36" s="2399"/>
      <c r="L36" s="2400"/>
      <c r="M36" s="2399"/>
      <c r="N36" s="2399"/>
      <c r="O36" s="2400"/>
      <c r="P36" s="2399"/>
      <c r="Q36" s="2399"/>
      <c r="R36" s="2401"/>
    </row>
    <row r="37" spans="2:18" s="2371" customFormat="1">
      <c r="B37" s="2399"/>
      <c r="C37" s="2399"/>
      <c r="D37" s="2399"/>
      <c r="H37" s="2399"/>
      <c r="I37" s="2400"/>
      <c r="J37" s="2399"/>
      <c r="K37" s="2399"/>
      <c r="L37" s="2400"/>
      <c r="M37" s="2399"/>
      <c r="N37" s="2399"/>
      <c r="O37" s="2400"/>
      <c r="P37" s="2399"/>
      <c r="Q37" s="2399"/>
      <c r="R37" s="2401"/>
    </row>
    <row r="38" spans="2:18" s="2371" customFormat="1">
      <c r="B38" s="2399"/>
      <c r="C38" s="2399"/>
      <c r="D38" s="2399"/>
      <c r="E38" s="2399"/>
      <c r="F38" s="2399"/>
      <c r="G38" s="2400"/>
      <c r="H38" s="2399"/>
      <c r="I38" s="2400"/>
      <c r="J38" s="2399"/>
      <c r="K38" s="2399"/>
      <c r="L38" s="2400"/>
      <c r="M38" s="2399"/>
      <c r="N38" s="2399"/>
      <c r="O38" s="2400"/>
      <c r="P38" s="2399"/>
      <c r="Q38" s="2399"/>
      <c r="R38" s="2401"/>
    </row>
    <row r="39" spans="2:18" s="2371" customFormat="1">
      <c r="B39" s="2399"/>
      <c r="C39" s="2399"/>
      <c r="D39" s="2399"/>
      <c r="E39" s="2399"/>
      <c r="F39" s="2399"/>
      <c r="G39" s="2400"/>
      <c r="H39" s="2399"/>
      <c r="I39" s="2400"/>
      <c r="J39" s="2399"/>
      <c r="K39" s="2399"/>
      <c r="L39" s="2400"/>
      <c r="M39" s="2399"/>
      <c r="N39" s="2399"/>
      <c r="O39" s="2400"/>
      <c r="P39" s="2399"/>
      <c r="Q39" s="2399"/>
      <c r="R39" s="2401"/>
    </row>
    <row r="40" spans="2:18" s="2371" customFormat="1">
      <c r="B40" s="2399"/>
      <c r="C40" s="2399"/>
      <c r="D40" s="2399"/>
      <c r="E40" s="2399"/>
      <c r="F40" s="2399"/>
      <c r="G40" s="2400"/>
      <c r="H40" s="2399"/>
      <c r="I40" s="2400"/>
      <c r="J40" s="2399"/>
      <c r="K40" s="2399"/>
      <c r="L40" s="2400"/>
      <c r="M40" s="2399"/>
      <c r="N40" s="2399"/>
      <c r="O40" s="2400"/>
      <c r="P40" s="2399"/>
      <c r="Q40" s="2399"/>
      <c r="R40" s="2401"/>
    </row>
    <row r="41" spans="2:18" s="2371" customFormat="1">
      <c r="B41" s="2399"/>
      <c r="C41" s="2399"/>
      <c r="D41" s="2399"/>
      <c r="E41" s="2399"/>
      <c r="F41" s="2399"/>
      <c r="G41" s="2400"/>
      <c r="H41" s="2399"/>
      <c r="I41" s="2400"/>
      <c r="J41" s="2399"/>
      <c r="K41" s="2399"/>
      <c r="L41" s="2400"/>
      <c r="M41" s="2399"/>
      <c r="N41" s="2399"/>
      <c r="O41" s="2400"/>
      <c r="P41" s="2399"/>
      <c r="Q41" s="2399"/>
      <c r="R41" s="2401"/>
    </row>
    <row r="42" spans="2:18" s="2371" customFormat="1">
      <c r="B42" s="2399"/>
      <c r="C42" s="2399"/>
      <c r="D42" s="2399"/>
      <c r="E42" s="2399"/>
      <c r="F42" s="2399"/>
      <c r="G42" s="2400"/>
      <c r="H42" s="2399"/>
      <c r="I42" s="2400"/>
      <c r="J42" s="2399"/>
      <c r="K42" s="2399"/>
      <c r="L42" s="2400"/>
      <c r="M42" s="2399"/>
      <c r="N42" s="2399"/>
      <c r="O42" s="2400"/>
      <c r="P42" s="2399"/>
      <c r="Q42" s="2399"/>
      <c r="R42" s="2401"/>
    </row>
    <row r="43" spans="2:18" s="2371" customFormat="1">
      <c r="B43" s="2399"/>
      <c r="C43" s="2399"/>
      <c r="D43" s="2399"/>
      <c r="E43" s="2399"/>
      <c r="F43" s="2399"/>
      <c r="G43" s="2400"/>
      <c r="H43" s="2399"/>
      <c r="I43" s="2400"/>
      <c r="J43" s="2399"/>
      <c r="K43" s="2399"/>
      <c r="L43" s="2400"/>
      <c r="M43" s="2399"/>
      <c r="N43" s="2399"/>
      <c r="O43" s="2400"/>
      <c r="P43" s="2399"/>
      <c r="Q43" s="2399"/>
      <c r="R43" s="2401"/>
    </row>
    <row r="44" spans="2:18" s="2371" customFormat="1">
      <c r="B44" s="2399"/>
      <c r="C44" s="2399"/>
      <c r="D44" s="2399"/>
      <c r="E44" s="2399"/>
      <c r="F44" s="2399"/>
      <c r="G44" s="2400"/>
      <c r="H44" s="2399"/>
      <c r="I44" s="2400"/>
      <c r="J44" s="2399"/>
      <c r="K44" s="2399"/>
      <c r="L44" s="2400"/>
      <c r="M44" s="2399"/>
      <c r="N44" s="2399"/>
      <c r="O44" s="2400"/>
      <c r="P44" s="2399"/>
      <c r="Q44" s="2399"/>
      <c r="R44" s="2401"/>
    </row>
    <row r="45" spans="2:18" s="2371" customFormat="1">
      <c r="B45" s="2399"/>
      <c r="C45" s="2399"/>
      <c r="D45" s="2399"/>
      <c r="E45" s="2399"/>
      <c r="F45" s="2399"/>
      <c r="G45" s="2400"/>
      <c r="H45" s="2399"/>
      <c r="I45" s="2400"/>
      <c r="J45" s="2399"/>
      <c r="K45" s="2399"/>
      <c r="L45" s="2400"/>
      <c r="M45" s="2399"/>
      <c r="N45" s="2399"/>
      <c r="O45" s="2400"/>
      <c r="P45" s="2399"/>
      <c r="Q45" s="2399"/>
      <c r="R45" s="2401"/>
    </row>
    <row r="46" spans="2:18" s="2371" customFormat="1">
      <c r="B46" s="2399"/>
      <c r="C46" s="2399"/>
      <c r="D46" s="2399"/>
      <c r="E46" s="2399"/>
      <c r="F46" s="2399"/>
      <c r="G46" s="2400"/>
      <c r="H46" s="2399"/>
      <c r="I46" s="2400"/>
      <c r="J46" s="2399"/>
      <c r="K46" s="2399"/>
      <c r="L46" s="2400"/>
      <c r="M46" s="2399"/>
      <c r="N46" s="2399"/>
      <c r="O46" s="2400"/>
      <c r="P46" s="2399"/>
      <c r="Q46" s="2399"/>
      <c r="R46" s="2401"/>
    </row>
    <row r="47" spans="2:18" s="2371" customFormat="1">
      <c r="B47" s="2399"/>
      <c r="C47" s="2399"/>
      <c r="D47" s="2399"/>
      <c r="E47" s="2399"/>
      <c r="F47" s="2399"/>
      <c r="G47" s="2400"/>
      <c r="H47" s="2399"/>
      <c r="I47" s="2400"/>
      <c r="J47" s="2399"/>
      <c r="K47" s="2399"/>
      <c r="L47" s="2400"/>
      <c r="M47" s="2399"/>
      <c r="N47" s="2399"/>
      <c r="O47" s="2400"/>
      <c r="P47" s="2399"/>
      <c r="Q47" s="2399"/>
      <c r="R47" s="2401"/>
    </row>
    <row r="48" spans="2:18" s="2371" customFormat="1">
      <c r="B48" s="2399"/>
      <c r="C48" s="2399"/>
      <c r="D48" s="2399"/>
      <c r="E48" s="2399"/>
      <c r="F48" s="2399"/>
      <c r="G48" s="2400"/>
      <c r="H48" s="2399"/>
      <c r="I48" s="2400"/>
      <c r="J48" s="2399"/>
      <c r="K48" s="2399"/>
      <c r="L48" s="2400"/>
      <c r="M48" s="2399"/>
      <c r="N48" s="2399"/>
      <c r="O48" s="2400"/>
      <c r="P48" s="2399"/>
      <c r="Q48" s="2399"/>
      <c r="R48" s="2401"/>
    </row>
    <row r="49" spans="2:18" s="2371" customFormat="1">
      <c r="B49" s="2399"/>
      <c r="C49" s="2399"/>
      <c r="D49" s="2399"/>
      <c r="E49" s="2399"/>
      <c r="F49" s="2399"/>
      <c r="G49" s="2400"/>
      <c r="H49" s="2399"/>
      <c r="I49" s="2400"/>
      <c r="J49" s="2399"/>
      <c r="K49" s="2399"/>
      <c r="L49" s="2400"/>
      <c r="M49" s="2399"/>
      <c r="N49" s="2399"/>
      <c r="O49" s="2400"/>
      <c r="P49" s="2399"/>
      <c r="Q49" s="2399"/>
      <c r="R49" s="2401"/>
    </row>
    <row r="50" spans="2:18" s="2371" customFormat="1">
      <c r="B50" s="2399"/>
      <c r="C50" s="2399"/>
      <c r="D50" s="2399"/>
      <c r="E50" s="2399"/>
      <c r="F50" s="2399"/>
      <c r="G50" s="2400"/>
      <c r="H50" s="2399"/>
      <c r="I50" s="2400"/>
      <c r="J50" s="2399"/>
      <c r="K50" s="2399"/>
      <c r="L50" s="2400"/>
      <c r="M50" s="2399"/>
      <c r="N50" s="2399"/>
      <c r="O50" s="2400"/>
      <c r="P50" s="2399"/>
      <c r="Q50" s="2399"/>
      <c r="R50" s="2401"/>
    </row>
    <row r="51" spans="2:18" s="2371" customFormat="1">
      <c r="B51" s="2399"/>
      <c r="C51" s="2399"/>
      <c r="D51" s="2399"/>
      <c r="E51" s="2399"/>
      <c r="F51" s="2399"/>
      <c r="G51" s="2400"/>
      <c r="H51" s="2399"/>
      <c r="I51" s="2400"/>
      <c r="J51" s="2399"/>
      <c r="K51" s="2399"/>
      <c r="L51" s="2400"/>
      <c r="M51" s="2399"/>
      <c r="N51" s="2399"/>
      <c r="O51" s="2400"/>
      <c r="P51" s="2399"/>
      <c r="Q51" s="2399"/>
      <c r="R51" s="2401"/>
    </row>
    <row r="52" spans="2:18" s="2371" customFormat="1">
      <c r="B52" s="2399"/>
      <c r="C52" s="2399"/>
      <c r="D52" s="2399"/>
      <c r="E52" s="2399"/>
      <c r="F52" s="2399"/>
      <c r="G52" s="2400"/>
      <c r="H52" s="2399"/>
      <c r="I52" s="2400"/>
      <c r="J52" s="2399"/>
      <c r="K52" s="2399"/>
      <c r="L52" s="2400"/>
      <c r="M52" s="2399"/>
      <c r="N52" s="2399"/>
      <c r="O52" s="2400"/>
      <c r="P52" s="2399"/>
      <c r="Q52" s="2399"/>
      <c r="R52" s="2401"/>
    </row>
    <row r="53" spans="2:18" s="2371" customFormat="1">
      <c r="B53" s="2399"/>
      <c r="C53" s="2399"/>
      <c r="D53" s="2399"/>
      <c r="E53" s="2399"/>
      <c r="F53" s="2399"/>
      <c r="G53" s="2400"/>
      <c r="H53" s="2399"/>
      <c r="I53" s="2400"/>
      <c r="J53" s="2399"/>
      <c r="K53" s="2399"/>
      <c r="L53" s="2400"/>
      <c r="M53" s="2399"/>
      <c r="N53" s="2399"/>
      <c r="O53" s="2400"/>
      <c r="P53" s="2399"/>
      <c r="Q53" s="2399"/>
      <c r="R53" s="2401"/>
    </row>
    <row r="54" spans="2:18" s="2371" customFormat="1">
      <c r="B54" s="2399"/>
      <c r="C54" s="2399"/>
      <c r="D54" s="2399"/>
      <c r="E54" s="2399"/>
      <c r="F54" s="2399"/>
      <c r="G54" s="2400"/>
      <c r="H54" s="2399"/>
      <c r="I54" s="2400"/>
      <c r="J54" s="2399"/>
      <c r="K54" s="2399"/>
      <c r="L54" s="2400"/>
      <c r="M54" s="2399"/>
      <c r="N54" s="2399"/>
      <c r="O54" s="2400"/>
      <c r="P54" s="2399"/>
      <c r="Q54" s="2399"/>
      <c r="R54" s="2401"/>
    </row>
    <row r="55" spans="2:18" s="2371" customFormat="1">
      <c r="B55" s="2399"/>
      <c r="C55" s="2399"/>
      <c r="D55" s="2399"/>
      <c r="E55" s="2399"/>
      <c r="F55" s="2399"/>
      <c r="G55" s="2400"/>
      <c r="H55" s="2399"/>
      <c r="I55" s="2400"/>
      <c r="J55" s="2399"/>
      <c r="K55" s="2399"/>
      <c r="L55" s="2400"/>
      <c r="M55" s="2399"/>
      <c r="N55" s="2399"/>
      <c r="O55" s="2400"/>
      <c r="P55" s="2399"/>
      <c r="Q55" s="2399"/>
      <c r="R55" s="2401"/>
    </row>
    <row r="56" spans="2:18" s="2371" customFormat="1">
      <c r="B56" s="2399"/>
      <c r="C56" s="2399"/>
      <c r="D56" s="2399"/>
      <c r="E56" s="2399"/>
      <c r="F56" s="2399"/>
      <c r="G56" s="2400"/>
      <c r="H56" s="2399"/>
      <c r="I56" s="2400"/>
      <c r="J56" s="2399"/>
      <c r="K56" s="2399"/>
      <c r="L56" s="2400"/>
      <c r="M56" s="2399"/>
      <c r="N56" s="2399"/>
      <c r="O56" s="2400"/>
      <c r="P56" s="2399"/>
      <c r="Q56" s="2399"/>
      <c r="R56" s="2401"/>
    </row>
    <row r="57" spans="2:18" s="2371" customFormat="1">
      <c r="B57" s="2399"/>
      <c r="C57" s="2399"/>
      <c r="D57" s="2399"/>
      <c r="E57" s="2399"/>
      <c r="F57" s="2399"/>
      <c r="G57" s="2400"/>
      <c r="H57" s="2399"/>
      <c r="I57" s="2400"/>
      <c r="J57" s="2399"/>
      <c r="K57" s="2399"/>
      <c r="L57" s="2400"/>
      <c r="M57" s="2399"/>
      <c r="N57" s="2399"/>
      <c r="O57" s="2400"/>
      <c r="P57" s="2399"/>
      <c r="Q57" s="2399"/>
      <c r="R57" s="2401"/>
    </row>
    <row r="58" spans="2:18" s="2371" customFormat="1">
      <c r="B58" s="2399"/>
      <c r="C58" s="2399"/>
      <c r="D58" s="2399"/>
      <c r="E58" s="2399"/>
      <c r="F58" s="2399"/>
      <c r="G58" s="2400"/>
      <c r="H58" s="2399"/>
      <c r="I58" s="2400"/>
      <c r="J58" s="2399"/>
      <c r="K58" s="2399"/>
      <c r="L58" s="2400"/>
      <c r="M58" s="2399"/>
      <c r="N58" s="2399"/>
      <c r="O58" s="2400"/>
      <c r="P58" s="2399"/>
      <c r="Q58" s="2399"/>
      <c r="R58" s="2401"/>
    </row>
    <row r="59" spans="2:18" s="2371" customFormat="1">
      <c r="B59" s="2399"/>
      <c r="C59" s="2399"/>
      <c r="D59" s="2399"/>
      <c r="E59" s="2399"/>
      <c r="F59" s="2399"/>
      <c r="G59" s="2400"/>
      <c r="H59" s="2399"/>
      <c r="I59" s="2400"/>
      <c r="J59" s="2399"/>
      <c r="K59" s="2399"/>
      <c r="L59" s="2400"/>
      <c r="M59" s="2399"/>
      <c r="N59" s="2399"/>
      <c r="O59" s="2400"/>
      <c r="P59" s="2399"/>
      <c r="Q59" s="2399"/>
      <c r="R59" s="2401"/>
    </row>
    <row r="60" spans="2:18" s="2371" customFormat="1">
      <c r="B60" s="2399"/>
      <c r="C60" s="2399"/>
      <c r="D60" s="2399"/>
      <c r="E60" s="2399"/>
      <c r="F60" s="2399"/>
      <c r="G60" s="2400"/>
      <c r="H60" s="2399"/>
      <c r="I60" s="2400"/>
      <c r="J60" s="2399"/>
      <c r="K60" s="2399"/>
      <c r="L60" s="2400"/>
      <c r="M60" s="2399"/>
      <c r="N60" s="2399"/>
      <c r="O60" s="2400"/>
      <c r="P60" s="2399"/>
      <c r="Q60" s="2399"/>
      <c r="R60" s="2401"/>
    </row>
    <row r="61" spans="2:18" s="2371" customFormat="1">
      <c r="B61" s="2399"/>
      <c r="C61" s="2399"/>
      <c r="D61" s="2399"/>
      <c r="E61" s="2399"/>
      <c r="F61" s="2399"/>
      <c r="G61" s="2400"/>
      <c r="H61" s="2399"/>
      <c r="I61" s="2400"/>
      <c r="J61" s="2399"/>
      <c r="K61" s="2399"/>
      <c r="L61" s="2400"/>
      <c r="M61" s="2399"/>
      <c r="N61" s="2399"/>
      <c r="O61" s="2400"/>
      <c r="P61" s="2399"/>
      <c r="Q61" s="2399"/>
      <c r="R61" s="2401"/>
    </row>
    <row r="62" spans="2:18" s="2371" customFormat="1">
      <c r="B62" s="2399"/>
      <c r="C62" s="2399"/>
      <c r="D62" s="2399"/>
      <c r="E62" s="2399"/>
      <c r="F62" s="2399"/>
      <c r="G62" s="2400"/>
      <c r="H62" s="2399"/>
      <c r="I62" s="2400"/>
      <c r="J62" s="2399"/>
      <c r="K62" s="2399"/>
      <c r="L62" s="2400"/>
      <c r="M62" s="2399"/>
      <c r="N62" s="2399"/>
      <c r="O62" s="2400"/>
      <c r="P62" s="2399"/>
      <c r="Q62" s="2399"/>
      <c r="R62" s="2401"/>
    </row>
    <row r="63" spans="2:18" s="2371" customFormat="1">
      <c r="B63" s="2399"/>
      <c r="C63" s="2399"/>
      <c r="D63" s="2399"/>
      <c r="E63" s="2399"/>
      <c r="F63" s="2399"/>
      <c r="G63" s="2400"/>
      <c r="H63" s="2399"/>
      <c r="I63" s="2400"/>
      <c r="J63" s="2399"/>
      <c r="K63" s="2399"/>
      <c r="L63" s="2400"/>
      <c r="M63" s="2399"/>
      <c r="N63" s="2399"/>
      <c r="O63" s="2400"/>
      <c r="P63" s="2399"/>
      <c r="Q63" s="2399"/>
      <c r="R63" s="2401"/>
    </row>
    <row r="64" spans="2:18" s="2371" customFormat="1">
      <c r="B64" s="2399"/>
      <c r="C64" s="2399"/>
      <c r="D64" s="2399"/>
      <c r="E64" s="2399"/>
      <c r="F64" s="2399"/>
      <c r="G64" s="2400"/>
      <c r="H64" s="2399"/>
      <c r="I64" s="2400"/>
      <c r="J64" s="2399"/>
      <c r="K64" s="2399"/>
      <c r="L64" s="2400"/>
      <c r="M64" s="2399"/>
      <c r="N64" s="2399"/>
      <c r="O64" s="2400"/>
      <c r="P64" s="2399"/>
      <c r="Q64" s="2399"/>
      <c r="R64" s="2401"/>
    </row>
    <row r="65" spans="2:18" s="2371" customFormat="1">
      <c r="B65" s="2399"/>
      <c r="C65" s="2399"/>
      <c r="D65" s="2399"/>
      <c r="E65" s="2399"/>
      <c r="F65" s="2399"/>
      <c r="G65" s="2400"/>
      <c r="H65" s="2399"/>
      <c r="I65" s="2400"/>
      <c r="J65" s="2399"/>
      <c r="K65" s="2399"/>
      <c r="L65" s="2400"/>
      <c r="M65" s="2399"/>
      <c r="N65" s="2399"/>
      <c r="O65" s="2400"/>
      <c r="P65" s="2399"/>
      <c r="Q65" s="2399"/>
      <c r="R65" s="2401"/>
    </row>
    <row r="66" spans="2:18" s="2371" customFormat="1">
      <c r="B66" s="2399"/>
      <c r="C66" s="2399"/>
      <c r="D66" s="2399"/>
      <c r="E66" s="2399"/>
      <c r="F66" s="2399"/>
      <c r="G66" s="2400"/>
      <c r="H66" s="2399"/>
      <c r="I66" s="2400"/>
      <c r="J66" s="2399"/>
      <c r="K66" s="2399"/>
      <c r="L66" s="2400"/>
      <c r="M66" s="2399"/>
      <c r="N66" s="2399"/>
      <c r="O66" s="2400"/>
      <c r="P66" s="2399"/>
      <c r="Q66" s="2399"/>
      <c r="R66" s="2401"/>
    </row>
    <row r="67" spans="2:18" s="2371" customFormat="1">
      <c r="B67" s="2399"/>
      <c r="C67" s="2399"/>
      <c r="D67" s="2399"/>
      <c r="E67" s="2399"/>
      <c r="F67" s="2399"/>
      <c r="G67" s="2400"/>
      <c r="H67" s="2399"/>
      <c r="I67" s="2400"/>
      <c r="J67" s="2399"/>
      <c r="K67" s="2399"/>
      <c r="L67" s="2400"/>
      <c r="M67" s="2399"/>
      <c r="N67" s="2399"/>
      <c r="O67" s="2400"/>
      <c r="P67" s="2399"/>
      <c r="Q67" s="2399"/>
      <c r="R67" s="2401"/>
    </row>
    <row r="68" spans="2:18" s="2371" customFormat="1">
      <c r="B68" s="2399"/>
      <c r="C68" s="2399"/>
      <c r="D68" s="2399"/>
      <c r="E68" s="2399"/>
      <c r="F68" s="2399"/>
      <c r="G68" s="2400"/>
      <c r="H68" s="2399"/>
      <c r="I68" s="2400"/>
      <c r="J68" s="2399"/>
      <c r="K68" s="2399"/>
      <c r="L68" s="2400"/>
      <c r="M68" s="2399"/>
      <c r="N68" s="2399"/>
      <c r="O68" s="2400"/>
      <c r="P68" s="2399"/>
      <c r="Q68" s="2399"/>
      <c r="R68" s="2401"/>
    </row>
    <row r="69" spans="2:18" s="2371" customFormat="1">
      <c r="B69" s="2399"/>
      <c r="C69" s="2399"/>
      <c r="D69" s="2399"/>
      <c r="E69" s="2399"/>
      <c r="F69" s="2399"/>
      <c r="G69" s="2400"/>
      <c r="H69" s="2399"/>
      <c r="I69" s="2400"/>
      <c r="J69" s="2399"/>
      <c r="K69" s="2399"/>
      <c r="L69" s="2400"/>
      <c r="M69" s="2399"/>
      <c r="N69" s="2399"/>
      <c r="O69" s="2400"/>
      <c r="P69" s="2399"/>
      <c r="Q69" s="2399"/>
      <c r="R69" s="2401"/>
    </row>
    <row r="70" spans="2:18" s="2371" customFormat="1">
      <c r="B70" s="2399"/>
      <c r="C70" s="2399"/>
      <c r="D70" s="2399"/>
      <c r="E70" s="2399"/>
      <c r="F70" s="2399"/>
      <c r="G70" s="2400"/>
      <c r="H70" s="2399"/>
      <c r="I70" s="2400"/>
      <c r="J70" s="2399"/>
      <c r="K70" s="2399"/>
      <c r="L70" s="2400"/>
      <c r="M70" s="2399"/>
      <c r="N70" s="2399"/>
      <c r="O70" s="2400"/>
      <c r="P70" s="2399"/>
      <c r="Q70" s="2399"/>
      <c r="R70" s="2401"/>
    </row>
    <row r="71" spans="2:18" s="2371" customFormat="1">
      <c r="B71" s="2399"/>
      <c r="C71" s="2399"/>
      <c r="D71" s="2399"/>
      <c r="E71" s="2399"/>
      <c r="F71" s="2399"/>
      <c r="G71" s="2400"/>
      <c r="H71" s="2399"/>
      <c r="I71" s="2400"/>
      <c r="J71" s="2399"/>
      <c r="K71" s="2399"/>
      <c r="L71" s="2400"/>
      <c r="M71" s="2399"/>
      <c r="N71" s="2399"/>
      <c r="O71" s="2400"/>
      <c r="P71" s="2399"/>
      <c r="Q71" s="2399"/>
      <c r="R71" s="2401"/>
    </row>
    <row r="72" spans="2:18" s="2371" customFormat="1">
      <c r="B72" s="2399"/>
      <c r="C72" s="2399"/>
      <c r="D72" s="2399"/>
      <c r="E72" s="2399"/>
      <c r="F72" s="2399"/>
      <c r="G72" s="2400"/>
      <c r="H72" s="2399"/>
      <c r="I72" s="2400"/>
      <c r="J72" s="2399"/>
      <c r="K72" s="2399"/>
      <c r="L72" s="2400"/>
      <c r="M72" s="2399"/>
      <c r="N72" s="2399"/>
      <c r="O72" s="2400"/>
      <c r="P72" s="2399"/>
      <c r="Q72" s="2399"/>
      <c r="R72" s="2401"/>
    </row>
    <row r="73" spans="2:18" s="2371" customFormat="1">
      <c r="B73" s="2399"/>
      <c r="C73" s="2399"/>
      <c r="D73" s="2399"/>
      <c r="E73" s="2399"/>
      <c r="F73" s="2399"/>
      <c r="G73" s="2400"/>
      <c r="H73" s="2399"/>
      <c r="I73" s="2400"/>
      <c r="J73" s="2399"/>
      <c r="K73" s="2399"/>
      <c r="L73" s="2400"/>
      <c r="M73" s="2399"/>
      <c r="N73" s="2399"/>
      <c r="O73" s="2400"/>
      <c r="P73" s="2399"/>
      <c r="Q73" s="2399"/>
      <c r="R73" s="2401"/>
    </row>
    <row r="74" spans="2:18" s="2371" customFormat="1">
      <c r="B74" s="2399"/>
      <c r="C74" s="2399"/>
      <c r="D74" s="2399"/>
      <c r="E74" s="2399"/>
      <c r="F74" s="2399"/>
      <c r="G74" s="2400"/>
      <c r="H74" s="2399"/>
      <c r="I74" s="2400"/>
      <c r="J74" s="2399"/>
      <c r="K74" s="2399"/>
      <c r="L74" s="2400"/>
      <c r="M74" s="2399"/>
      <c r="N74" s="2399"/>
      <c r="O74" s="2400"/>
      <c r="P74" s="2399"/>
      <c r="Q74" s="2399"/>
      <c r="R74" s="2401"/>
    </row>
    <row r="75" spans="2:18" s="2371" customFormat="1">
      <c r="B75" s="2399"/>
      <c r="C75" s="2399"/>
      <c r="D75" s="2399"/>
      <c r="E75" s="2399"/>
      <c r="F75" s="2399"/>
      <c r="G75" s="2400"/>
      <c r="H75" s="2399"/>
      <c r="I75" s="2400"/>
      <c r="J75" s="2399"/>
      <c r="K75" s="2399"/>
      <c r="L75" s="2400"/>
      <c r="M75" s="2399"/>
      <c r="N75" s="2399"/>
      <c r="O75" s="2400"/>
      <c r="P75" s="2399"/>
      <c r="Q75" s="2399"/>
      <c r="R75" s="2401"/>
    </row>
    <row r="76" spans="2:18" s="2371" customFormat="1">
      <c r="B76" s="2399"/>
      <c r="C76" s="2399"/>
      <c r="D76" s="2399"/>
      <c r="E76" s="2399"/>
      <c r="F76" s="2399"/>
      <c r="G76" s="2400"/>
      <c r="H76" s="2399"/>
      <c r="I76" s="2400"/>
      <c r="J76" s="2399"/>
      <c r="K76" s="2399"/>
      <c r="L76" s="2400"/>
      <c r="M76" s="2399"/>
      <c r="N76" s="2399"/>
      <c r="O76" s="2400"/>
      <c r="P76" s="2399"/>
      <c r="Q76" s="2399"/>
      <c r="R76" s="2401"/>
    </row>
    <row r="77" spans="2:18" s="2371" customFormat="1">
      <c r="B77" s="2399"/>
      <c r="C77" s="2399"/>
      <c r="D77" s="2399"/>
      <c r="E77" s="2399"/>
      <c r="F77" s="2399"/>
      <c r="G77" s="2400"/>
      <c r="H77" s="2399"/>
      <c r="I77" s="2400"/>
      <c r="J77" s="2399"/>
      <c r="K77" s="2399"/>
      <c r="L77" s="2400"/>
      <c r="M77" s="2399"/>
      <c r="N77" s="2399"/>
      <c r="O77" s="2400"/>
      <c r="P77" s="2399"/>
      <c r="Q77" s="2399"/>
      <c r="R77" s="2401"/>
    </row>
    <row r="78" spans="2:18" s="2371" customFormat="1">
      <c r="B78" s="2399"/>
      <c r="C78" s="2399"/>
      <c r="D78" s="2399"/>
      <c r="E78" s="2399"/>
      <c r="F78" s="2399"/>
      <c r="G78" s="2400"/>
      <c r="H78" s="2399"/>
      <c r="I78" s="2400"/>
      <c r="J78" s="2399"/>
      <c r="K78" s="2399"/>
      <c r="L78" s="2400"/>
      <c r="M78" s="2399"/>
      <c r="N78" s="2399"/>
      <c r="O78" s="2400"/>
      <c r="P78" s="2399"/>
      <c r="Q78" s="2399"/>
      <c r="R78" s="2401"/>
    </row>
    <row r="79" spans="2:18" s="2371" customFormat="1">
      <c r="B79" s="2399"/>
      <c r="C79" s="2399"/>
      <c r="D79" s="2399"/>
      <c r="E79" s="2399"/>
      <c r="F79" s="2399"/>
      <c r="G79" s="2400"/>
      <c r="H79" s="2399"/>
      <c r="I79" s="2400"/>
      <c r="J79" s="2399"/>
      <c r="K79" s="2399"/>
      <c r="L79" s="2400"/>
      <c r="M79" s="2399"/>
      <c r="N79" s="2399"/>
      <c r="O79" s="2400"/>
      <c r="P79" s="2399"/>
      <c r="Q79" s="2399"/>
      <c r="R79" s="2401"/>
    </row>
    <row r="80" spans="2:18" s="2371" customFormat="1">
      <c r="B80" s="2399"/>
      <c r="C80" s="2399"/>
      <c r="D80" s="2399"/>
      <c r="E80" s="2399"/>
      <c r="F80" s="2399"/>
      <c r="G80" s="2400"/>
      <c r="H80" s="2399"/>
      <c r="I80" s="2400"/>
      <c r="J80" s="2399"/>
      <c r="K80" s="2399"/>
      <c r="L80" s="2400"/>
      <c r="M80" s="2399"/>
      <c r="N80" s="2399"/>
      <c r="O80" s="2400"/>
      <c r="P80" s="2399"/>
      <c r="Q80" s="2399"/>
      <c r="R80" s="2401"/>
    </row>
    <row r="81" spans="2:18" s="2371" customFormat="1">
      <c r="B81" s="2399"/>
      <c r="C81" s="2399"/>
      <c r="D81" s="2399"/>
      <c r="E81" s="2399"/>
      <c r="F81" s="2399"/>
      <c r="G81" s="2400"/>
      <c r="H81" s="2399"/>
      <c r="I81" s="2400"/>
      <c r="J81" s="2399"/>
      <c r="K81" s="2399"/>
      <c r="L81" s="2400"/>
      <c r="M81" s="2399"/>
      <c r="N81" s="2399"/>
      <c r="O81" s="2400"/>
      <c r="P81" s="2399"/>
      <c r="Q81" s="2399"/>
      <c r="R81" s="2401"/>
    </row>
    <row r="82" spans="2:18" s="2371" customFormat="1">
      <c r="B82" s="2399"/>
      <c r="C82" s="2399"/>
      <c r="D82" s="2399"/>
      <c r="E82" s="2399"/>
      <c r="F82" s="2399"/>
      <c r="G82" s="2400"/>
      <c r="H82" s="2399"/>
      <c r="I82" s="2400"/>
      <c r="J82" s="2399"/>
      <c r="K82" s="2399"/>
      <c r="L82" s="2400"/>
      <c r="M82" s="2399"/>
      <c r="N82" s="2399"/>
      <c r="O82" s="2400"/>
      <c r="P82" s="2399"/>
      <c r="Q82" s="2399"/>
      <c r="R82" s="2401"/>
    </row>
    <row r="83" spans="2:18" s="2371" customFormat="1">
      <c r="B83" s="2399"/>
      <c r="C83" s="2399"/>
      <c r="D83" s="2399"/>
      <c r="E83" s="2399"/>
      <c r="F83" s="2399"/>
      <c r="G83" s="2400"/>
      <c r="H83" s="2399"/>
      <c r="I83" s="2400"/>
      <c r="J83" s="2399"/>
      <c r="K83" s="2399"/>
      <c r="L83" s="2400"/>
      <c r="M83" s="2399"/>
      <c r="N83" s="2399"/>
      <c r="O83" s="2400"/>
      <c r="P83" s="2399"/>
      <c r="Q83" s="2399"/>
      <c r="R83" s="2401"/>
    </row>
    <row r="84" spans="2:18" s="2371" customFormat="1">
      <c r="B84" s="2399"/>
      <c r="C84" s="2399"/>
      <c r="D84" s="2399"/>
      <c r="E84" s="2399"/>
      <c r="F84" s="2399"/>
      <c r="G84" s="2400"/>
      <c r="H84" s="2399"/>
      <c r="I84" s="2400"/>
      <c r="J84" s="2399"/>
      <c r="K84" s="2399"/>
      <c r="L84" s="2400"/>
      <c r="M84" s="2399"/>
      <c r="N84" s="2399"/>
      <c r="O84" s="2400"/>
      <c r="P84" s="2399"/>
      <c r="Q84" s="2399"/>
      <c r="R84" s="2401"/>
    </row>
    <row r="85" spans="2:18" s="2371" customFormat="1">
      <c r="B85" s="2399"/>
      <c r="C85" s="2399"/>
      <c r="D85" s="2399"/>
      <c r="E85" s="2399"/>
      <c r="F85" s="2399"/>
      <c r="G85" s="2400"/>
      <c r="H85" s="2399"/>
      <c r="I85" s="2400"/>
      <c r="J85" s="2399"/>
      <c r="K85" s="2399"/>
      <c r="L85" s="2400"/>
      <c r="M85" s="2399"/>
      <c r="N85" s="2399"/>
      <c r="O85" s="2400"/>
      <c r="P85" s="2399"/>
      <c r="Q85" s="2399"/>
      <c r="R85" s="2401"/>
    </row>
    <row r="86" spans="2:18" s="2371" customFormat="1">
      <c r="B86" s="2399"/>
      <c r="C86" s="2399"/>
      <c r="D86" s="2399"/>
      <c r="E86" s="2399"/>
      <c r="F86" s="2399"/>
      <c r="G86" s="2400"/>
      <c r="H86" s="2399"/>
      <c r="I86" s="2400"/>
      <c r="J86" s="2399"/>
      <c r="K86" s="2399"/>
      <c r="L86" s="2400"/>
      <c r="M86" s="2399"/>
      <c r="N86" s="2399"/>
      <c r="O86" s="2400"/>
      <c r="P86" s="2399"/>
      <c r="Q86" s="2399"/>
      <c r="R86" s="2401"/>
    </row>
    <row r="87" spans="2:18" s="2371" customFormat="1">
      <c r="B87" s="2399"/>
      <c r="C87" s="2399"/>
      <c r="D87" s="2399"/>
      <c r="E87" s="2399"/>
      <c r="F87" s="2399"/>
      <c r="G87" s="2400"/>
      <c r="H87" s="2399"/>
      <c r="I87" s="2400"/>
      <c r="J87" s="2399"/>
      <c r="K87" s="2399"/>
      <c r="L87" s="2400"/>
      <c r="M87" s="2399"/>
      <c r="N87" s="2399"/>
      <c r="O87" s="2400"/>
      <c r="P87" s="2399"/>
      <c r="Q87" s="2399"/>
      <c r="R87" s="2401"/>
    </row>
    <row r="88" spans="2:18" s="2371" customFormat="1">
      <c r="B88" s="2399"/>
      <c r="C88" s="2399"/>
      <c r="D88" s="2399"/>
      <c r="E88" s="2399"/>
      <c r="F88" s="2399"/>
      <c r="G88" s="2400"/>
      <c r="H88" s="2399"/>
      <c r="I88" s="2400"/>
      <c r="J88" s="2399"/>
      <c r="K88" s="2399"/>
      <c r="L88" s="2400"/>
      <c r="M88" s="2399"/>
      <c r="N88" s="2399"/>
      <c r="O88" s="2400"/>
      <c r="P88" s="2399"/>
      <c r="Q88" s="2399"/>
      <c r="R88" s="2401"/>
    </row>
    <row r="89" spans="2:18" s="2371" customFormat="1">
      <c r="B89" s="2399"/>
      <c r="C89" s="2399"/>
      <c r="D89" s="2399"/>
      <c r="E89" s="2399"/>
      <c r="F89" s="2399"/>
      <c r="G89" s="2400"/>
      <c r="H89" s="2399"/>
      <c r="I89" s="2400"/>
      <c r="J89" s="2399"/>
      <c r="K89" s="2399"/>
      <c r="L89" s="2400"/>
      <c r="M89" s="2399"/>
      <c r="N89" s="2399"/>
      <c r="O89" s="2400"/>
      <c r="P89" s="2399"/>
      <c r="Q89" s="2399"/>
      <c r="R89" s="2401"/>
    </row>
    <row r="90" spans="2:18" s="2371" customFormat="1">
      <c r="B90" s="2399"/>
      <c r="C90" s="2399"/>
      <c r="D90" s="2399"/>
      <c r="E90" s="2399"/>
      <c r="F90" s="2399"/>
      <c r="G90" s="2400"/>
      <c r="H90" s="2399"/>
      <c r="I90" s="2400"/>
      <c r="J90" s="2399"/>
      <c r="K90" s="2399"/>
      <c r="L90" s="2400"/>
      <c r="M90" s="2399"/>
      <c r="N90" s="2399"/>
      <c r="O90" s="2400"/>
      <c r="P90" s="2399"/>
      <c r="Q90" s="2399"/>
      <c r="R90" s="2401"/>
    </row>
    <row r="91" spans="2:18" s="2371" customFormat="1">
      <c r="B91" s="2399"/>
      <c r="C91" s="2399"/>
      <c r="D91" s="2399"/>
      <c r="E91" s="2399"/>
      <c r="F91" s="2399"/>
      <c r="G91" s="2400"/>
      <c r="H91" s="2399"/>
      <c r="I91" s="2400"/>
      <c r="J91" s="2399"/>
      <c r="K91" s="2399"/>
      <c r="L91" s="2400"/>
      <c r="M91" s="2399"/>
      <c r="N91" s="2399"/>
      <c r="O91" s="2400"/>
      <c r="P91" s="2399"/>
      <c r="Q91" s="2399"/>
      <c r="R91" s="2401"/>
    </row>
    <row r="92" spans="2:18" s="2371" customFormat="1">
      <c r="B92" s="2399"/>
      <c r="C92" s="2399"/>
      <c r="D92" s="2399"/>
      <c r="E92" s="2399"/>
      <c r="F92" s="2399"/>
      <c r="G92" s="2400"/>
      <c r="H92" s="2399"/>
      <c r="I92" s="2400"/>
      <c r="J92" s="2399"/>
      <c r="K92" s="2399"/>
      <c r="L92" s="2400"/>
      <c r="M92" s="2399"/>
      <c r="N92" s="2399"/>
      <c r="O92" s="2400"/>
      <c r="P92" s="2399"/>
      <c r="Q92" s="2399"/>
      <c r="R92" s="2401"/>
    </row>
    <row r="93" spans="2:18" s="2371" customFormat="1">
      <c r="B93" s="2399"/>
      <c r="C93" s="2399"/>
      <c r="D93" s="2399"/>
      <c r="E93" s="2399"/>
      <c r="F93" s="2399"/>
      <c r="G93" s="2400"/>
      <c r="H93" s="2399"/>
      <c r="I93" s="2400"/>
      <c r="J93" s="2399"/>
      <c r="K93" s="2399"/>
      <c r="L93" s="2400"/>
      <c r="M93" s="2399"/>
      <c r="N93" s="2399"/>
      <c r="O93" s="2400"/>
      <c r="P93" s="2399"/>
      <c r="Q93" s="2399"/>
      <c r="R93" s="2401"/>
    </row>
    <row r="94" spans="2:18" s="2371" customFormat="1">
      <c r="B94" s="2399"/>
      <c r="C94" s="2399"/>
      <c r="D94" s="2399"/>
      <c r="E94" s="2399"/>
      <c r="F94" s="2399"/>
      <c r="G94" s="2400"/>
      <c r="H94" s="2399"/>
      <c r="I94" s="2400"/>
      <c r="J94" s="2399"/>
      <c r="K94" s="2399"/>
      <c r="L94" s="2400"/>
      <c r="M94" s="2399"/>
      <c r="N94" s="2399"/>
      <c r="O94" s="2400"/>
      <c r="P94" s="2399"/>
      <c r="Q94" s="2399"/>
      <c r="R94" s="2401"/>
    </row>
    <row r="95" spans="2:18" s="2371" customFormat="1">
      <c r="B95" s="2399"/>
      <c r="C95" s="2399"/>
      <c r="D95" s="2399"/>
      <c r="E95" s="2399"/>
      <c r="F95" s="2399"/>
      <c r="G95" s="2400"/>
      <c r="H95" s="2399"/>
      <c r="I95" s="2400"/>
      <c r="J95" s="2399"/>
      <c r="K95" s="2399"/>
      <c r="L95" s="2400"/>
      <c r="M95" s="2399"/>
      <c r="N95" s="2399"/>
      <c r="O95" s="2400"/>
      <c r="P95" s="2399"/>
      <c r="Q95" s="2399"/>
      <c r="R95" s="2401"/>
    </row>
    <row r="96" spans="2:18" s="2371" customFormat="1">
      <c r="B96" s="2399"/>
      <c r="C96" s="2399"/>
      <c r="D96" s="2399"/>
      <c r="E96" s="2399"/>
      <c r="F96" s="2399"/>
      <c r="G96" s="2400"/>
      <c r="H96" s="2399"/>
      <c r="I96" s="2400"/>
      <c r="J96" s="2399"/>
      <c r="K96" s="2399"/>
      <c r="L96" s="2400"/>
      <c r="M96" s="2399"/>
      <c r="N96" s="2399"/>
      <c r="O96" s="2400"/>
      <c r="P96" s="2399"/>
      <c r="Q96" s="2399"/>
      <c r="R96" s="2401"/>
    </row>
    <row r="97" spans="2:18" s="2371" customFormat="1">
      <c r="B97" s="2399"/>
      <c r="C97" s="2399"/>
      <c r="D97" s="2399"/>
      <c r="E97" s="2399"/>
      <c r="F97" s="2399"/>
      <c r="G97" s="2400"/>
      <c r="H97" s="2399"/>
      <c r="I97" s="2400"/>
      <c r="J97" s="2399"/>
      <c r="K97" s="2399"/>
      <c r="L97" s="2400"/>
      <c r="M97" s="2399"/>
      <c r="N97" s="2399"/>
      <c r="O97" s="2400"/>
      <c r="P97" s="2399"/>
      <c r="Q97" s="2399"/>
      <c r="R97" s="2401"/>
    </row>
    <row r="98" spans="2:18" s="2371" customFormat="1">
      <c r="B98" s="2399"/>
      <c r="C98" s="2399"/>
      <c r="D98" s="2399"/>
      <c r="E98" s="2399"/>
      <c r="F98" s="2399"/>
      <c r="G98" s="2400"/>
      <c r="H98" s="2399"/>
      <c r="I98" s="2400"/>
      <c r="J98" s="2399"/>
      <c r="K98" s="2399"/>
      <c r="L98" s="2400"/>
      <c r="M98" s="2399"/>
      <c r="N98" s="2399"/>
      <c r="O98" s="2400"/>
      <c r="P98" s="2399"/>
      <c r="Q98" s="2399"/>
      <c r="R98" s="2401"/>
    </row>
    <row r="99" spans="2:18" s="2371" customFormat="1">
      <c r="B99" s="2399"/>
      <c r="C99" s="2399"/>
      <c r="D99" s="2399"/>
      <c r="E99" s="2399"/>
      <c r="F99" s="2399"/>
      <c r="G99" s="2400"/>
      <c r="H99" s="2399"/>
      <c r="I99" s="2400"/>
      <c r="J99" s="2399"/>
      <c r="K99" s="2399"/>
      <c r="L99" s="2400"/>
      <c r="M99" s="2399"/>
      <c r="N99" s="2399"/>
      <c r="O99" s="2400"/>
      <c r="P99" s="2399"/>
      <c r="Q99" s="2399"/>
      <c r="R99" s="2401"/>
    </row>
    <row r="100" spans="2:18" s="2371" customFormat="1">
      <c r="B100" s="2399"/>
      <c r="C100" s="2399"/>
      <c r="D100" s="2399"/>
      <c r="E100" s="2399"/>
      <c r="F100" s="2399"/>
      <c r="G100" s="2400"/>
      <c r="H100" s="2399"/>
      <c r="I100" s="2400"/>
      <c r="J100" s="2399"/>
      <c r="K100" s="2399"/>
      <c r="L100" s="2400"/>
      <c r="M100" s="2399"/>
      <c r="N100" s="2399"/>
      <c r="O100" s="2400"/>
      <c r="P100" s="2399"/>
      <c r="Q100" s="2399"/>
      <c r="R100" s="2401"/>
    </row>
    <row r="101" spans="2:18" s="2371" customFormat="1">
      <c r="B101" s="2399"/>
      <c r="C101" s="2399"/>
      <c r="D101" s="2399"/>
      <c r="E101" s="2399"/>
      <c r="F101" s="2399"/>
      <c r="G101" s="2400"/>
      <c r="H101" s="2399"/>
      <c r="I101" s="2400"/>
      <c r="J101" s="2399"/>
      <c r="K101" s="2399"/>
      <c r="L101" s="2400"/>
      <c r="M101" s="2399"/>
      <c r="N101" s="2399"/>
      <c r="O101" s="2400"/>
      <c r="P101" s="2399"/>
      <c r="Q101" s="2399"/>
      <c r="R101" s="2401"/>
    </row>
    <row r="102" spans="2:18" s="2371" customFormat="1">
      <c r="B102" s="2399"/>
      <c r="C102" s="2399"/>
      <c r="D102" s="2399"/>
      <c r="E102" s="2399"/>
      <c r="F102" s="2399"/>
      <c r="G102" s="2400"/>
      <c r="H102" s="2399"/>
      <c r="I102" s="2400"/>
      <c r="J102" s="2399"/>
      <c r="K102" s="2399"/>
      <c r="L102" s="2400"/>
      <c r="M102" s="2399"/>
      <c r="N102" s="2399"/>
      <c r="O102" s="2400"/>
      <c r="P102" s="2399"/>
      <c r="Q102" s="2399"/>
      <c r="R102" s="2401"/>
    </row>
    <row r="103" spans="2:18" s="2371" customFormat="1">
      <c r="B103" s="2399"/>
      <c r="C103" s="2399"/>
      <c r="D103" s="2399"/>
      <c r="E103" s="2399"/>
      <c r="F103" s="2399"/>
      <c r="G103" s="2400"/>
      <c r="H103" s="2399"/>
      <c r="I103" s="2400"/>
      <c r="J103" s="2399"/>
      <c r="K103" s="2399"/>
      <c r="L103" s="2400"/>
      <c r="M103" s="2399"/>
      <c r="N103" s="2399"/>
      <c r="O103" s="2400"/>
      <c r="P103" s="2399"/>
      <c r="Q103" s="2399"/>
      <c r="R103" s="2401"/>
    </row>
    <row r="104" spans="2:18" s="2371" customFormat="1">
      <c r="B104" s="2399"/>
      <c r="C104" s="2399"/>
      <c r="D104" s="2399"/>
      <c r="E104" s="2399"/>
      <c r="F104" s="2399"/>
      <c r="G104" s="2400"/>
      <c r="H104" s="2399"/>
      <c r="I104" s="2400"/>
      <c r="J104" s="2399"/>
      <c r="K104" s="2399"/>
      <c r="L104" s="2400"/>
      <c r="M104" s="2399"/>
      <c r="N104" s="2399"/>
      <c r="O104" s="2400"/>
      <c r="P104" s="2399"/>
      <c r="Q104" s="2399"/>
      <c r="R104" s="2401"/>
    </row>
    <row r="105" spans="2:18" s="2371" customFormat="1">
      <c r="B105" s="2399"/>
      <c r="C105" s="2399"/>
      <c r="D105" s="2399"/>
      <c r="E105" s="2399"/>
      <c r="F105" s="2399"/>
      <c r="G105" s="2400"/>
      <c r="H105" s="2399"/>
      <c r="I105" s="2400"/>
      <c r="J105" s="2399"/>
      <c r="K105" s="2399"/>
      <c r="L105" s="2400"/>
      <c r="M105" s="2399"/>
      <c r="N105" s="2399"/>
      <c r="O105" s="2400"/>
      <c r="P105" s="2399"/>
      <c r="Q105" s="2399"/>
      <c r="R105" s="2401"/>
    </row>
    <row r="106" spans="2:18" s="2371" customFormat="1">
      <c r="B106" s="2399"/>
      <c r="C106" s="2399"/>
      <c r="D106" s="2399"/>
      <c r="E106" s="2399"/>
      <c r="F106" s="2399"/>
      <c r="G106" s="2400"/>
      <c r="H106" s="2399"/>
      <c r="I106" s="2400"/>
      <c r="J106" s="2399"/>
      <c r="K106" s="2399"/>
      <c r="L106" s="2400"/>
      <c r="M106" s="2399"/>
      <c r="N106" s="2399"/>
      <c r="O106" s="2400"/>
      <c r="P106" s="2399"/>
      <c r="Q106" s="2399"/>
      <c r="R106" s="2401"/>
    </row>
    <row r="107" spans="2:18" s="2371" customFormat="1">
      <c r="B107" s="2399"/>
      <c r="C107" s="2399"/>
      <c r="D107" s="2399"/>
      <c r="E107" s="2399"/>
      <c r="F107" s="2399"/>
      <c r="G107" s="2400"/>
      <c r="H107" s="2399"/>
      <c r="I107" s="2400"/>
      <c r="J107" s="2399"/>
      <c r="K107" s="2399"/>
      <c r="L107" s="2400"/>
      <c r="M107" s="2399"/>
      <c r="N107" s="2399"/>
      <c r="O107" s="2400"/>
      <c r="P107" s="2399"/>
      <c r="Q107" s="2399"/>
      <c r="R107" s="2401"/>
    </row>
    <row r="108" spans="2:18" s="2371" customFormat="1">
      <c r="B108" s="2399"/>
      <c r="C108" s="2399"/>
      <c r="D108" s="2399"/>
      <c r="E108" s="2399"/>
      <c r="F108" s="2399"/>
      <c r="G108" s="2400"/>
      <c r="H108" s="2399"/>
      <c r="I108" s="2400"/>
      <c r="J108" s="2399"/>
      <c r="K108" s="2399"/>
      <c r="L108" s="2400"/>
      <c r="M108" s="2399"/>
      <c r="N108" s="2399"/>
      <c r="O108" s="2400"/>
      <c r="P108" s="2399"/>
      <c r="Q108" s="2399"/>
      <c r="R108" s="2401"/>
    </row>
    <row r="109" spans="2:18" s="2371" customFormat="1">
      <c r="B109" s="2399"/>
      <c r="C109" s="2399"/>
      <c r="D109" s="2399"/>
      <c r="E109" s="2399"/>
      <c r="F109" s="2399"/>
      <c r="G109" s="2400"/>
      <c r="H109" s="2399"/>
      <c r="I109" s="2400"/>
      <c r="J109" s="2399"/>
      <c r="K109" s="2399"/>
      <c r="L109" s="2400"/>
      <c r="M109" s="2399"/>
      <c r="N109" s="2399"/>
      <c r="O109" s="2400"/>
      <c r="P109" s="2399"/>
      <c r="Q109" s="2399"/>
      <c r="R109" s="2401"/>
    </row>
    <row r="110" spans="2:18" s="2371" customFormat="1">
      <c r="B110" s="2399"/>
      <c r="C110" s="2399"/>
      <c r="D110" s="2399"/>
      <c r="E110" s="2399"/>
      <c r="F110" s="2399"/>
      <c r="G110" s="2400"/>
      <c r="H110" s="2399"/>
      <c r="I110" s="2400"/>
      <c r="J110" s="2399"/>
      <c r="K110" s="2399"/>
      <c r="L110" s="2400"/>
      <c r="M110" s="2399"/>
      <c r="N110" s="2399"/>
      <c r="O110" s="2400"/>
      <c r="P110" s="2399"/>
      <c r="Q110" s="2399"/>
      <c r="R110" s="2401"/>
    </row>
    <row r="111" spans="2:18" s="2371" customFormat="1">
      <c r="B111" s="2399"/>
      <c r="C111" s="2399"/>
      <c r="D111" s="2399"/>
      <c r="E111" s="2399"/>
      <c r="F111" s="2399"/>
      <c r="G111" s="2400"/>
      <c r="H111" s="2399"/>
      <c r="I111" s="2400"/>
      <c r="J111" s="2399"/>
      <c r="K111" s="2399"/>
      <c r="L111" s="2400"/>
      <c r="M111" s="2399"/>
      <c r="N111" s="2399"/>
      <c r="O111" s="2400"/>
      <c r="P111" s="2399"/>
      <c r="Q111" s="2399"/>
      <c r="R111" s="2401"/>
    </row>
    <row r="112" spans="2:18" s="2371" customFormat="1">
      <c r="B112" s="2399"/>
      <c r="C112" s="2399"/>
      <c r="D112" s="2399"/>
      <c r="E112" s="2399"/>
      <c r="F112" s="2399"/>
      <c r="G112" s="2400"/>
      <c r="H112" s="2399"/>
      <c r="I112" s="2400"/>
      <c r="J112" s="2399"/>
      <c r="K112" s="2399"/>
      <c r="L112" s="2400"/>
      <c r="M112" s="2399"/>
      <c r="N112" s="2399"/>
      <c r="O112" s="2400"/>
      <c r="P112" s="2399"/>
      <c r="Q112" s="2399"/>
      <c r="R112" s="2401"/>
    </row>
    <row r="113" spans="2:18" s="2371" customFormat="1">
      <c r="B113" s="2399"/>
      <c r="C113" s="2399"/>
      <c r="D113" s="2399"/>
      <c r="E113" s="2399"/>
      <c r="F113" s="2399"/>
      <c r="G113" s="2400"/>
      <c r="H113" s="2399"/>
      <c r="I113" s="2400"/>
      <c r="J113" s="2399"/>
      <c r="K113" s="2399"/>
      <c r="L113" s="2400"/>
      <c r="M113" s="2399"/>
      <c r="N113" s="2399"/>
      <c r="O113" s="2400"/>
      <c r="P113" s="2399"/>
      <c r="Q113" s="2399"/>
      <c r="R113" s="2401"/>
    </row>
    <row r="114" spans="2:18" s="2371" customFormat="1">
      <c r="B114" s="2399"/>
      <c r="C114" s="2399"/>
      <c r="D114" s="2399"/>
      <c r="E114" s="2399"/>
      <c r="F114" s="2399"/>
      <c r="G114" s="2400"/>
      <c r="H114" s="2399"/>
      <c r="I114" s="2400"/>
      <c r="J114" s="2399"/>
      <c r="K114" s="2399"/>
      <c r="L114" s="2400"/>
      <c r="M114" s="2399"/>
      <c r="N114" s="2399"/>
      <c r="O114" s="2400"/>
      <c r="P114" s="2399"/>
      <c r="Q114" s="2399"/>
      <c r="R114" s="2401"/>
    </row>
    <row r="115" spans="2:18" s="2371" customFormat="1">
      <c r="B115" s="2399"/>
      <c r="C115" s="2399"/>
      <c r="D115" s="2399"/>
      <c r="E115" s="2399"/>
      <c r="F115" s="2399"/>
      <c r="G115" s="2400"/>
      <c r="H115" s="2399"/>
      <c r="I115" s="2400"/>
      <c r="J115" s="2399"/>
      <c r="K115" s="2399"/>
      <c r="L115" s="2400"/>
      <c r="M115" s="2399"/>
      <c r="N115" s="2399"/>
      <c r="O115" s="2400"/>
      <c r="P115" s="2399"/>
      <c r="Q115" s="2399"/>
      <c r="R115" s="2401"/>
    </row>
    <row r="116" spans="2:18" s="2371" customFormat="1">
      <c r="B116" s="2399"/>
      <c r="C116" s="2399"/>
      <c r="D116" s="2399"/>
      <c r="E116" s="2399"/>
      <c r="F116" s="2399"/>
      <c r="G116" s="2400"/>
      <c r="H116" s="2399"/>
      <c r="I116" s="2400"/>
      <c r="J116" s="2399"/>
      <c r="K116" s="2399"/>
      <c r="L116" s="2400"/>
      <c r="M116" s="2399"/>
      <c r="N116" s="2399"/>
      <c r="O116" s="2400"/>
      <c r="P116" s="2399"/>
      <c r="Q116" s="2399"/>
      <c r="R116" s="2401"/>
    </row>
    <row r="117" spans="2:18" s="2371" customFormat="1">
      <c r="B117" s="2399"/>
      <c r="C117" s="2399"/>
      <c r="D117" s="2399"/>
      <c r="E117" s="2399"/>
      <c r="F117" s="2399"/>
      <c r="G117" s="2400"/>
      <c r="H117" s="2399"/>
      <c r="I117" s="2400"/>
      <c r="J117" s="2399"/>
      <c r="K117" s="2399"/>
      <c r="L117" s="2400"/>
      <c r="M117" s="2399"/>
      <c r="N117" s="2399"/>
      <c r="O117" s="2400"/>
      <c r="P117" s="2399"/>
      <c r="Q117" s="2399"/>
      <c r="R117" s="2401"/>
    </row>
    <row r="118" spans="2:18" s="2371" customFormat="1">
      <c r="B118" s="2399"/>
      <c r="C118" s="2399"/>
      <c r="D118" s="2399"/>
      <c r="E118" s="2399"/>
      <c r="F118" s="2399"/>
      <c r="G118" s="2400"/>
      <c r="H118" s="2399"/>
      <c r="I118" s="2400"/>
      <c r="J118" s="2399"/>
      <c r="K118" s="2399"/>
      <c r="L118" s="2400"/>
      <c r="M118" s="2399"/>
      <c r="N118" s="2399"/>
      <c r="O118" s="2400"/>
      <c r="P118" s="2399"/>
      <c r="Q118" s="2399"/>
      <c r="R118" s="2401"/>
    </row>
    <row r="119" spans="2:18" s="2371" customFormat="1">
      <c r="B119" s="2399"/>
      <c r="C119" s="2399"/>
      <c r="D119" s="2399"/>
      <c r="E119" s="2399"/>
      <c r="F119" s="2399"/>
      <c r="G119" s="2400"/>
      <c r="H119" s="2399"/>
      <c r="I119" s="2400"/>
      <c r="J119" s="2399"/>
      <c r="K119" s="2399"/>
      <c r="L119" s="2400"/>
      <c r="M119" s="2399"/>
      <c r="N119" s="2399"/>
      <c r="O119" s="2400"/>
      <c r="P119" s="2399"/>
      <c r="Q119" s="2399"/>
      <c r="R119" s="2401"/>
    </row>
    <row r="120" spans="2:18" s="2371" customFormat="1">
      <c r="B120" s="2399"/>
      <c r="C120" s="2399"/>
      <c r="D120" s="2399"/>
      <c r="E120" s="2399"/>
      <c r="F120" s="2399"/>
      <c r="G120" s="2400"/>
      <c r="H120" s="2399"/>
      <c r="I120" s="2400"/>
      <c r="J120" s="2399"/>
      <c r="K120" s="2399"/>
      <c r="L120" s="2400"/>
      <c r="M120" s="2399"/>
      <c r="N120" s="2399"/>
      <c r="O120" s="2400"/>
      <c r="P120" s="2399"/>
      <c r="Q120" s="2399"/>
      <c r="R120" s="2401"/>
    </row>
    <row r="121" spans="2:18" s="2371" customFormat="1">
      <c r="B121" s="2399"/>
      <c r="C121" s="2399"/>
      <c r="D121" s="2399"/>
      <c r="E121" s="2399"/>
      <c r="F121" s="2399"/>
      <c r="G121" s="2400"/>
      <c r="H121" s="2399"/>
      <c r="I121" s="2400"/>
      <c r="J121" s="2399"/>
      <c r="K121" s="2399"/>
      <c r="L121" s="2400"/>
      <c r="M121" s="2399"/>
      <c r="N121" s="2399"/>
      <c r="O121" s="2400"/>
      <c r="P121" s="2399"/>
      <c r="Q121" s="2399"/>
      <c r="R121" s="2401"/>
    </row>
    <row r="122" spans="2:18" s="2371" customFormat="1">
      <c r="B122" s="2399"/>
      <c r="C122" s="2399"/>
      <c r="D122" s="2399"/>
      <c r="E122" s="2399"/>
      <c r="F122" s="2399"/>
      <c r="G122" s="2400"/>
      <c r="H122" s="2399"/>
      <c r="I122" s="2400"/>
      <c r="J122" s="2399"/>
      <c r="K122" s="2399"/>
      <c r="L122" s="2400"/>
      <c r="M122" s="2399"/>
      <c r="N122" s="2399"/>
      <c r="O122" s="2400"/>
      <c r="P122" s="2399"/>
      <c r="Q122" s="2399"/>
      <c r="R122" s="2401"/>
    </row>
    <row r="123" spans="2:18" s="2371" customFormat="1">
      <c r="B123" s="2399"/>
      <c r="C123" s="2399"/>
      <c r="D123" s="2399"/>
      <c r="E123" s="2399"/>
      <c r="F123" s="2399"/>
      <c r="G123" s="2400"/>
      <c r="H123" s="2399"/>
      <c r="I123" s="2400"/>
      <c r="J123" s="2399"/>
      <c r="K123" s="2399"/>
      <c r="L123" s="2400"/>
      <c r="M123" s="2399"/>
      <c r="N123" s="2399"/>
      <c r="O123" s="2400"/>
      <c r="P123" s="2399"/>
      <c r="Q123" s="2399"/>
      <c r="R123" s="2401"/>
    </row>
    <row r="124" spans="2:18" s="2371" customFormat="1">
      <c r="B124" s="2399"/>
      <c r="C124" s="2399"/>
      <c r="D124" s="2399"/>
      <c r="E124" s="2399"/>
      <c r="F124" s="2399"/>
      <c r="G124" s="2400"/>
      <c r="H124" s="2399"/>
      <c r="I124" s="2400"/>
      <c r="J124" s="2399"/>
      <c r="K124" s="2399"/>
      <c r="L124" s="2400"/>
      <c r="M124" s="2399"/>
      <c r="N124" s="2399"/>
      <c r="O124" s="2400"/>
      <c r="P124" s="2399"/>
      <c r="Q124" s="2399"/>
      <c r="R124" s="2401"/>
    </row>
    <row r="125" spans="2:18" s="2371" customFormat="1">
      <c r="B125" s="2399"/>
      <c r="C125" s="2399"/>
      <c r="D125" s="2399"/>
      <c r="E125" s="2399"/>
      <c r="F125" s="2399"/>
      <c r="G125" s="2400"/>
      <c r="H125" s="2399"/>
      <c r="I125" s="2400"/>
      <c r="J125" s="2399"/>
      <c r="K125" s="2399"/>
      <c r="L125" s="2400"/>
      <c r="M125" s="2399"/>
      <c r="N125" s="2399"/>
      <c r="O125" s="2400"/>
      <c r="P125" s="2399"/>
      <c r="Q125" s="2399"/>
      <c r="R125" s="2401"/>
    </row>
    <row r="126" spans="2:18" s="2371" customFormat="1">
      <c r="B126" s="2399"/>
      <c r="C126" s="2399"/>
      <c r="D126" s="2399"/>
      <c r="E126" s="2399"/>
      <c r="F126" s="2399"/>
      <c r="G126" s="2400"/>
      <c r="H126" s="2399"/>
      <c r="I126" s="2400"/>
      <c r="J126" s="2399"/>
      <c r="K126" s="2399"/>
      <c r="L126" s="2400"/>
      <c r="M126" s="2399"/>
      <c r="N126" s="2399"/>
      <c r="O126" s="2400"/>
      <c r="P126" s="2399"/>
      <c r="Q126" s="2399"/>
      <c r="R126" s="2401"/>
    </row>
    <row r="127" spans="2:18" s="2371" customFormat="1">
      <c r="B127" s="2399"/>
      <c r="C127" s="2399"/>
      <c r="D127" s="2399"/>
      <c r="E127" s="2399"/>
      <c r="F127" s="2399"/>
      <c r="G127" s="2400"/>
      <c r="H127" s="2399"/>
      <c r="I127" s="2400"/>
      <c r="J127" s="2399"/>
      <c r="K127" s="2399"/>
      <c r="L127" s="2400"/>
      <c r="M127" s="2399"/>
      <c r="N127" s="2399"/>
      <c r="O127" s="2400"/>
      <c r="P127" s="2399"/>
      <c r="Q127" s="2399"/>
      <c r="R127" s="2401"/>
    </row>
    <row r="128" spans="2:18" s="2371" customFormat="1">
      <c r="B128" s="2399"/>
      <c r="C128" s="2399"/>
      <c r="D128" s="2399"/>
      <c r="E128" s="2399"/>
      <c r="F128" s="2399"/>
      <c r="G128" s="2400"/>
      <c r="H128" s="2399"/>
      <c r="I128" s="2400"/>
      <c r="J128" s="2399"/>
      <c r="K128" s="2399"/>
      <c r="L128" s="2400"/>
      <c r="M128" s="2399"/>
      <c r="N128" s="2399"/>
      <c r="O128" s="2400"/>
      <c r="P128" s="2399"/>
      <c r="Q128" s="2399"/>
      <c r="R128" s="2401"/>
    </row>
    <row r="129" spans="2:18" s="2371" customFormat="1">
      <c r="B129" s="2399"/>
      <c r="C129" s="2399"/>
      <c r="D129" s="2399"/>
      <c r="E129" s="2399"/>
      <c r="F129" s="2399"/>
      <c r="G129" s="2400"/>
      <c r="H129" s="2399"/>
      <c r="I129" s="2400"/>
      <c r="J129" s="2399"/>
      <c r="K129" s="2399"/>
      <c r="L129" s="2400"/>
      <c r="M129" s="2399"/>
      <c r="N129" s="2399"/>
      <c r="O129" s="2400"/>
      <c r="P129" s="2399"/>
      <c r="Q129" s="2399"/>
      <c r="R129" s="2401"/>
    </row>
    <row r="130" spans="2:18" s="2371" customFormat="1">
      <c r="B130" s="2399"/>
      <c r="C130" s="2399"/>
      <c r="D130" s="2399"/>
      <c r="E130" s="2399"/>
      <c r="F130" s="2399"/>
      <c r="G130" s="2400"/>
      <c r="H130" s="2399"/>
      <c r="I130" s="2400"/>
      <c r="J130" s="2399"/>
      <c r="K130" s="2399"/>
      <c r="L130" s="2400"/>
      <c r="M130" s="2399"/>
      <c r="N130" s="2399"/>
      <c r="O130" s="2400"/>
      <c r="P130" s="2399"/>
      <c r="Q130" s="2399"/>
      <c r="R130" s="2401"/>
    </row>
    <row r="131" spans="2:18" s="2371" customFormat="1">
      <c r="B131" s="2399"/>
      <c r="C131" s="2399"/>
      <c r="D131" s="2399"/>
      <c r="E131" s="2399"/>
      <c r="F131" s="2399"/>
      <c r="G131" s="2400"/>
      <c r="H131" s="2399"/>
      <c r="I131" s="2400"/>
      <c r="J131" s="2399"/>
      <c r="K131" s="2399"/>
      <c r="L131" s="2400"/>
      <c r="M131" s="2399"/>
      <c r="N131" s="2399"/>
      <c r="O131" s="2400"/>
      <c r="P131" s="2399"/>
      <c r="Q131" s="2399"/>
      <c r="R131" s="2401"/>
    </row>
    <row r="132" spans="2:18" s="2371" customFormat="1">
      <c r="B132" s="2399"/>
      <c r="C132" s="2399"/>
      <c r="D132" s="2399"/>
      <c r="E132" s="2399"/>
      <c r="F132" s="2399"/>
      <c r="G132" s="2400"/>
      <c r="H132" s="2399"/>
      <c r="I132" s="2400"/>
      <c r="J132" s="2399"/>
      <c r="K132" s="2399"/>
      <c r="L132" s="2400"/>
      <c r="M132" s="2399"/>
      <c r="N132" s="2399"/>
      <c r="O132" s="2400"/>
      <c r="P132" s="2399"/>
      <c r="Q132" s="2399"/>
      <c r="R132" s="2401"/>
    </row>
    <row r="133" spans="2:18" s="2371" customFormat="1">
      <c r="B133" s="2399"/>
      <c r="C133" s="2399"/>
      <c r="D133" s="2399"/>
      <c r="E133" s="2399"/>
      <c r="F133" s="2399"/>
      <c r="G133" s="2400"/>
      <c r="H133" s="2399"/>
      <c r="I133" s="2400"/>
      <c r="J133" s="2399"/>
      <c r="K133" s="2399"/>
      <c r="L133" s="2400"/>
      <c r="M133" s="2399"/>
      <c r="N133" s="2399"/>
      <c r="O133" s="2400"/>
      <c r="P133" s="2399"/>
      <c r="Q133" s="2399"/>
      <c r="R133" s="2401"/>
    </row>
    <row r="134" spans="2:18" s="2371" customFormat="1">
      <c r="B134" s="2399"/>
      <c r="C134" s="2399"/>
      <c r="D134" s="2399"/>
      <c r="E134" s="2399"/>
      <c r="F134" s="2399"/>
      <c r="G134" s="2400"/>
      <c r="H134" s="2399"/>
      <c r="I134" s="2400"/>
      <c r="J134" s="2399"/>
      <c r="K134" s="2399"/>
      <c r="L134" s="2400"/>
      <c r="M134" s="2399"/>
      <c r="N134" s="2399"/>
      <c r="O134" s="2400"/>
      <c r="P134" s="2399"/>
      <c r="Q134" s="2399"/>
      <c r="R134" s="2401"/>
    </row>
    <row r="135" spans="2:18" s="2371" customFormat="1">
      <c r="B135" s="2399"/>
      <c r="C135" s="2399"/>
      <c r="D135" s="2399"/>
      <c r="E135" s="2399"/>
      <c r="F135" s="2399"/>
      <c r="G135" s="2400"/>
      <c r="H135" s="2399"/>
      <c r="I135" s="2400"/>
      <c r="J135" s="2399"/>
      <c r="K135" s="2399"/>
      <c r="L135" s="2400"/>
      <c r="M135" s="2399"/>
      <c r="N135" s="2399"/>
      <c r="O135" s="2400"/>
      <c r="P135" s="2399"/>
      <c r="Q135" s="2399"/>
      <c r="R135" s="2401"/>
    </row>
    <row r="136" spans="2:18" s="2371" customFormat="1">
      <c r="B136" s="2399"/>
      <c r="C136" s="2399"/>
      <c r="D136" s="2399"/>
      <c r="E136" s="2399"/>
      <c r="F136" s="2399"/>
      <c r="G136" s="2400"/>
      <c r="H136" s="2399"/>
      <c r="I136" s="2400"/>
      <c r="J136" s="2399"/>
      <c r="K136" s="2399"/>
      <c r="L136" s="2400"/>
      <c r="M136" s="2399"/>
      <c r="N136" s="2399"/>
      <c r="O136" s="2400"/>
      <c r="P136" s="2399"/>
      <c r="Q136" s="2399"/>
      <c r="R136" s="2401"/>
    </row>
    <row r="137" spans="2:18" s="2371" customFormat="1">
      <c r="B137" s="2399"/>
      <c r="C137" s="2399"/>
      <c r="D137" s="2399"/>
      <c r="E137" s="2399"/>
      <c r="F137" s="2399"/>
      <c r="G137" s="2400"/>
      <c r="H137" s="2399"/>
      <c r="I137" s="2400"/>
      <c r="J137" s="2399"/>
      <c r="K137" s="2399"/>
      <c r="L137" s="2400"/>
      <c r="M137" s="2399"/>
      <c r="N137" s="2399"/>
      <c r="O137" s="2400"/>
      <c r="P137" s="2399"/>
      <c r="Q137" s="2399"/>
      <c r="R137" s="2401"/>
    </row>
    <row r="138" spans="2:18" s="2371" customFormat="1">
      <c r="B138" s="2399"/>
      <c r="C138" s="2399"/>
      <c r="D138" s="2399"/>
      <c r="E138" s="2399"/>
      <c r="F138" s="2399"/>
      <c r="G138" s="2400"/>
      <c r="H138" s="2399"/>
      <c r="I138" s="2400"/>
      <c r="J138" s="2399"/>
      <c r="K138" s="2399"/>
      <c r="L138" s="2400"/>
      <c r="M138" s="2399"/>
      <c r="N138" s="2399"/>
      <c r="O138" s="2400"/>
      <c r="P138" s="2399"/>
      <c r="Q138" s="2399"/>
      <c r="R138" s="2401"/>
    </row>
    <row r="139" spans="2:18" s="2371" customFormat="1">
      <c r="B139" s="2399"/>
      <c r="C139" s="2399"/>
      <c r="D139" s="2399"/>
      <c r="E139" s="2399"/>
      <c r="F139" s="2399"/>
      <c r="G139" s="2400"/>
      <c r="H139" s="2399"/>
      <c r="I139" s="2400"/>
      <c r="J139" s="2399"/>
      <c r="K139" s="2399"/>
      <c r="L139" s="2400"/>
      <c r="M139" s="2399"/>
      <c r="N139" s="2399"/>
      <c r="O139" s="2400"/>
      <c r="P139" s="2399"/>
      <c r="Q139" s="2399"/>
      <c r="R139" s="2401"/>
    </row>
    <row r="140" spans="2:18" s="2371" customFormat="1">
      <c r="B140" s="2399"/>
      <c r="C140" s="2399"/>
      <c r="D140" s="2399"/>
      <c r="E140" s="2399"/>
      <c r="F140" s="2399"/>
      <c r="G140" s="2400"/>
      <c r="H140" s="2399"/>
      <c r="I140" s="2400"/>
      <c r="J140" s="2399"/>
      <c r="K140" s="2399"/>
      <c r="L140" s="2400"/>
      <c r="M140" s="2399"/>
      <c r="N140" s="2399"/>
      <c r="O140" s="2400"/>
      <c r="P140" s="2399"/>
      <c r="Q140" s="2399"/>
      <c r="R140" s="2401"/>
    </row>
    <row r="141" spans="2:18" s="2371" customFormat="1">
      <c r="B141" s="2399"/>
      <c r="C141" s="2399"/>
      <c r="D141" s="2399"/>
      <c r="E141" s="2399"/>
      <c r="F141" s="2399"/>
      <c r="G141" s="2400"/>
      <c r="H141" s="2399"/>
      <c r="I141" s="2400"/>
      <c r="J141" s="2399"/>
      <c r="K141" s="2399"/>
      <c r="L141" s="2400"/>
      <c r="M141" s="2399"/>
      <c r="N141" s="2399"/>
      <c r="O141" s="2400"/>
      <c r="P141" s="2399"/>
      <c r="Q141" s="2399"/>
      <c r="R141" s="2401"/>
    </row>
    <row r="142" spans="2:18" s="2371" customFormat="1">
      <c r="B142" s="2399"/>
      <c r="C142" s="2399"/>
      <c r="D142" s="2399"/>
      <c r="E142" s="2399"/>
      <c r="F142" s="2399"/>
      <c r="G142" s="2400"/>
      <c r="H142" s="2399"/>
      <c r="I142" s="2400"/>
      <c r="J142" s="2399"/>
      <c r="K142" s="2399"/>
      <c r="L142" s="2400"/>
      <c r="M142" s="2399"/>
      <c r="N142" s="2399"/>
      <c r="O142" s="2400"/>
      <c r="P142" s="2399"/>
      <c r="Q142" s="2399"/>
      <c r="R142" s="2401"/>
    </row>
    <row r="143" spans="2:18" s="2371" customFormat="1">
      <c r="B143" s="2399"/>
      <c r="C143" s="2399"/>
      <c r="D143" s="2399"/>
      <c r="E143" s="2399"/>
      <c r="F143" s="2399"/>
      <c r="G143" s="2400"/>
      <c r="H143" s="2399"/>
      <c r="I143" s="2400"/>
      <c r="J143" s="2399"/>
      <c r="K143" s="2399"/>
      <c r="L143" s="2400"/>
      <c r="M143" s="2399"/>
      <c r="N143" s="2399"/>
      <c r="O143" s="2400"/>
      <c r="P143" s="2399"/>
      <c r="Q143" s="2399"/>
      <c r="R143" s="2401"/>
    </row>
    <row r="144" spans="2:18" s="2371" customFormat="1">
      <c r="B144" s="2399"/>
      <c r="C144" s="2399"/>
      <c r="D144" s="2399"/>
      <c r="E144" s="2399"/>
      <c r="F144" s="2399"/>
      <c r="G144" s="2400"/>
      <c r="H144" s="2399"/>
      <c r="I144" s="2400"/>
      <c r="J144" s="2399"/>
      <c r="K144" s="2399"/>
      <c r="L144" s="2400"/>
      <c r="M144" s="2399"/>
      <c r="N144" s="2399"/>
      <c r="O144" s="2400"/>
      <c r="P144" s="2399"/>
      <c r="Q144" s="2399"/>
      <c r="R144" s="2401"/>
    </row>
    <row r="145" spans="2:18" s="2371" customFormat="1">
      <c r="B145" s="2399"/>
      <c r="C145" s="2399"/>
      <c r="D145" s="2399"/>
      <c r="E145" s="2399"/>
      <c r="F145" s="2399"/>
      <c r="G145" s="2400"/>
      <c r="H145" s="2399"/>
      <c r="I145" s="2400"/>
      <c r="J145" s="2399"/>
      <c r="K145" s="2399"/>
      <c r="L145" s="2400"/>
      <c r="M145" s="2399"/>
      <c r="N145" s="2399"/>
      <c r="O145" s="2400"/>
      <c r="P145" s="2399"/>
      <c r="Q145" s="2399"/>
      <c r="R145" s="2401"/>
    </row>
    <row r="146" spans="2:18" s="2371" customFormat="1">
      <c r="B146" s="2399"/>
      <c r="C146" s="2399"/>
      <c r="D146" s="2399"/>
      <c r="E146" s="2399"/>
      <c r="F146" s="2399"/>
      <c r="G146" s="2400"/>
      <c r="H146" s="2399"/>
      <c r="I146" s="2400"/>
      <c r="J146" s="2399"/>
      <c r="K146" s="2399"/>
      <c r="L146" s="2400"/>
      <c r="M146" s="2399"/>
      <c r="N146" s="2399"/>
      <c r="O146" s="2400"/>
      <c r="P146" s="2399"/>
      <c r="Q146" s="2399"/>
      <c r="R146" s="2401"/>
    </row>
    <row r="147" spans="2:18" s="2371" customFormat="1">
      <c r="B147" s="2399"/>
      <c r="C147" s="2399"/>
      <c r="D147" s="2399"/>
      <c r="E147" s="2399"/>
      <c r="F147" s="2399"/>
      <c r="G147" s="2400"/>
      <c r="H147" s="2399"/>
      <c r="I147" s="2400"/>
      <c r="J147" s="2399"/>
      <c r="K147" s="2399"/>
      <c r="L147" s="2400"/>
      <c r="M147" s="2399"/>
      <c r="N147" s="2399"/>
      <c r="O147" s="2400"/>
      <c r="P147" s="2399"/>
      <c r="Q147" s="2399"/>
      <c r="R147" s="2401"/>
    </row>
    <row r="148" spans="2:18" s="2371" customFormat="1">
      <c r="B148" s="2399"/>
      <c r="C148" s="2399"/>
      <c r="D148" s="2399"/>
      <c r="E148" s="2399"/>
      <c r="F148" s="2399"/>
      <c r="G148" s="2400"/>
      <c r="H148" s="2399"/>
      <c r="I148" s="2400"/>
      <c r="J148" s="2399"/>
      <c r="K148" s="2399"/>
      <c r="L148" s="2400"/>
      <c r="M148" s="2399"/>
      <c r="N148" s="2399"/>
      <c r="O148" s="2400"/>
      <c r="P148" s="2399"/>
      <c r="Q148" s="2399"/>
      <c r="R148" s="2401"/>
    </row>
    <row r="149" spans="2:18" s="2371" customFormat="1">
      <c r="B149" s="2399"/>
      <c r="C149" s="2399"/>
      <c r="D149" s="2399"/>
      <c r="E149" s="2399"/>
      <c r="F149" s="2399"/>
      <c r="G149" s="2400"/>
      <c r="H149" s="2399"/>
      <c r="I149" s="2400"/>
      <c r="J149" s="2399"/>
      <c r="K149" s="2399"/>
      <c r="L149" s="2400"/>
      <c r="M149" s="2399"/>
      <c r="N149" s="2399"/>
      <c r="O149" s="2400"/>
      <c r="P149" s="2399"/>
      <c r="Q149" s="2399"/>
      <c r="R149" s="2401"/>
    </row>
    <row r="150" spans="2:18" s="2371" customFormat="1">
      <c r="B150" s="2399"/>
      <c r="C150" s="2399"/>
      <c r="D150" s="2399"/>
      <c r="E150" s="2399"/>
      <c r="F150" s="2399"/>
      <c r="G150" s="2400"/>
      <c r="H150" s="2399"/>
      <c r="I150" s="2400"/>
      <c r="J150" s="2399"/>
      <c r="K150" s="2399"/>
      <c r="L150" s="2400"/>
      <c r="M150" s="2399"/>
      <c r="N150" s="2399"/>
      <c r="O150" s="2400"/>
      <c r="P150" s="2399"/>
      <c r="Q150" s="2399"/>
      <c r="R150" s="2401"/>
    </row>
    <row r="151" spans="2:18" s="2371" customFormat="1">
      <c r="B151" s="2399"/>
      <c r="C151" s="2399"/>
      <c r="D151" s="2399"/>
      <c r="E151" s="2399"/>
      <c r="F151" s="2399"/>
      <c r="G151" s="2400"/>
      <c r="H151" s="2399"/>
      <c r="I151" s="2400"/>
      <c r="J151" s="2399"/>
      <c r="K151" s="2399"/>
      <c r="L151" s="2400"/>
      <c r="M151" s="2399"/>
      <c r="N151" s="2399"/>
      <c r="O151" s="2400"/>
      <c r="P151" s="2399"/>
      <c r="Q151" s="2399"/>
      <c r="R151" s="2401"/>
    </row>
    <row r="152" spans="2:18" s="2371" customFormat="1">
      <c r="B152" s="2399"/>
      <c r="C152" s="2399"/>
      <c r="D152" s="2399"/>
      <c r="E152" s="2399"/>
      <c r="F152" s="2399"/>
      <c r="G152" s="2400"/>
      <c r="H152" s="2399"/>
      <c r="I152" s="2400"/>
      <c r="J152" s="2399"/>
      <c r="K152" s="2399"/>
      <c r="L152" s="2400"/>
      <c r="M152" s="2399"/>
      <c r="N152" s="2399"/>
      <c r="O152" s="2400"/>
      <c r="P152" s="2399"/>
      <c r="Q152" s="2399"/>
      <c r="R152" s="2401"/>
    </row>
    <row r="153" spans="2:18" s="2371" customFormat="1">
      <c r="B153" s="2399"/>
      <c r="C153" s="2399"/>
      <c r="D153" s="2399"/>
      <c r="E153" s="2399"/>
      <c r="F153" s="2399"/>
      <c r="G153" s="2400"/>
      <c r="H153" s="2399"/>
      <c r="I153" s="2400"/>
      <c r="J153" s="2399"/>
      <c r="K153" s="2399"/>
      <c r="L153" s="2400"/>
      <c r="M153" s="2399"/>
      <c r="N153" s="2399"/>
      <c r="O153" s="2400"/>
      <c r="P153" s="2399"/>
      <c r="Q153" s="2399"/>
      <c r="R153" s="2401"/>
    </row>
    <row r="154" spans="2:18" s="2371" customFormat="1">
      <c r="B154" s="2399"/>
      <c r="C154" s="2399"/>
      <c r="D154" s="2399"/>
      <c r="E154" s="2399"/>
      <c r="F154" s="2399"/>
      <c r="G154" s="2400"/>
      <c r="H154" s="2399"/>
      <c r="I154" s="2400"/>
      <c r="J154" s="2399"/>
      <c r="K154" s="2399"/>
      <c r="L154" s="2400"/>
      <c r="M154" s="2399"/>
      <c r="N154" s="2399"/>
      <c r="O154" s="2400"/>
      <c r="P154" s="2399"/>
      <c r="Q154" s="2399"/>
      <c r="R154" s="2401"/>
    </row>
    <row r="155" spans="2:18" s="2371" customFormat="1">
      <c r="B155" s="2399"/>
      <c r="C155" s="2399"/>
      <c r="D155" s="2399"/>
      <c r="E155" s="2399"/>
      <c r="F155" s="2399"/>
      <c r="G155" s="2400"/>
      <c r="H155" s="2399"/>
      <c r="I155" s="2400"/>
      <c r="J155" s="2399"/>
      <c r="K155" s="2399"/>
      <c r="L155" s="2400"/>
      <c r="M155" s="2399"/>
      <c r="N155" s="2399"/>
      <c r="O155" s="2400"/>
      <c r="P155" s="2399"/>
      <c r="Q155" s="2399"/>
      <c r="R155" s="2401"/>
    </row>
    <row r="156" spans="2:18" s="2371" customFormat="1">
      <c r="B156" s="2399"/>
      <c r="C156" s="2399"/>
      <c r="D156" s="2399"/>
      <c r="E156" s="2399"/>
      <c r="F156" s="2399"/>
      <c r="G156" s="2400"/>
      <c r="H156" s="2399"/>
      <c r="I156" s="2400"/>
      <c r="J156" s="2399"/>
      <c r="K156" s="2399"/>
      <c r="L156" s="2400"/>
      <c r="M156" s="2399"/>
      <c r="N156" s="2399"/>
      <c r="O156" s="2400"/>
      <c r="P156" s="2399"/>
      <c r="Q156" s="2399"/>
      <c r="R156" s="2401"/>
    </row>
    <row r="157" spans="2:18" s="2371" customFormat="1">
      <c r="B157" s="2399"/>
      <c r="C157" s="2399"/>
      <c r="D157" s="2399"/>
      <c r="E157" s="2399"/>
      <c r="F157" s="2399"/>
      <c r="G157" s="2400"/>
      <c r="H157" s="2399"/>
      <c r="I157" s="2400"/>
      <c r="J157" s="2399"/>
      <c r="K157" s="2399"/>
      <c r="L157" s="2400"/>
      <c r="M157" s="2399"/>
      <c r="N157" s="2399"/>
      <c r="O157" s="2400"/>
      <c r="P157" s="2399"/>
      <c r="Q157" s="2399"/>
      <c r="R157" s="2401"/>
    </row>
    <row r="158" spans="2:18" s="2371" customFormat="1">
      <c r="B158" s="2399"/>
      <c r="C158" s="2399"/>
      <c r="D158" s="2399"/>
      <c r="E158" s="2399"/>
      <c r="F158" s="2399"/>
      <c r="G158" s="2400"/>
      <c r="H158" s="2399"/>
      <c r="I158" s="2400"/>
      <c r="J158" s="2399"/>
      <c r="K158" s="2399"/>
      <c r="L158" s="2400"/>
      <c r="M158" s="2399"/>
      <c r="N158" s="2399"/>
      <c r="O158" s="2400"/>
      <c r="P158" s="2399"/>
      <c r="Q158" s="2399"/>
      <c r="R158" s="2401"/>
    </row>
    <row r="159" spans="2:18" s="2371" customFormat="1">
      <c r="B159" s="2399"/>
      <c r="C159" s="2399"/>
      <c r="D159" s="2399"/>
      <c r="E159" s="2399"/>
      <c r="F159" s="2399"/>
      <c r="G159" s="2400"/>
      <c r="H159" s="2399"/>
      <c r="I159" s="2400"/>
      <c r="J159" s="2399"/>
      <c r="K159" s="2399"/>
      <c r="L159" s="2400"/>
      <c r="M159" s="2399"/>
      <c r="N159" s="2399"/>
      <c r="O159" s="2400"/>
      <c r="P159" s="2399"/>
      <c r="Q159" s="2399"/>
      <c r="R159" s="2401"/>
    </row>
    <row r="160" spans="2:18" s="2371" customFormat="1">
      <c r="B160" s="2399"/>
      <c r="C160" s="2399"/>
      <c r="D160" s="2399"/>
      <c r="E160" s="2399"/>
      <c r="F160" s="2399"/>
      <c r="G160" s="2400"/>
      <c r="H160" s="2399"/>
      <c r="I160" s="2400"/>
      <c r="J160" s="2399"/>
      <c r="K160" s="2399"/>
      <c r="L160" s="2400"/>
      <c r="M160" s="2399"/>
      <c r="N160" s="2399"/>
      <c r="O160" s="2400"/>
      <c r="P160" s="2399"/>
      <c r="Q160" s="2399"/>
      <c r="R160" s="2401"/>
    </row>
    <row r="161" spans="2:18" s="2371" customFormat="1">
      <c r="B161" s="2399"/>
      <c r="C161" s="2399"/>
      <c r="D161" s="2399"/>
      <c r="E161" s="2399"/>
      <c r="F161" s="2399"/>
      <c r="G161" s="2400"/>
      <c r="H161" s="2399"/>
      <c r="I161" s="2400"/>
      <c r="J161" s="2399"/>
      <c r="K161" s="2399"/>
      <c r="L161" s="2400"/>
      <c r="M161" s="2399"/>
      <c r="N161" s="2399"/>
      <c r="O161" s="2400"/>
      <c r="P161" s="2399"/>
      <c r="Q161" s="2399"/>
      <c r="R161" s="2401"/>
    </row>
    <row r="162" spans="2:18" s="2371" customFormat="1">
      <c r="B162" s="2399"/>
      <c r="C162" s="2399"/>
      <c r="D162" s="2399"/>
      <c r="E162" s="2399"/>
      <c r="F162" s="2399"/>
      <c r="G162" s="2400"/>
      <c r="H162" s="2399"/>
      <c r="I162" s="2400"/>
      <c r="J162" s="2399"/>
      <c r="K162" s="2399"/>
      <c r="L162" s="2400"/>
      <c r="M162" s="2399"/>
      <c r="N162" s="2399"/>
      <c r="O162" s="2400"/>
      <c r="P162" s="2399"/>
      <c r="Q162" s="2399"/>
      <c r="R162" s="2401"/>
    </row>
    <row r="163" spans="2:18" s="2371" customFormat="1">
      <c r="B163" s="2399"/>
      <c r="C163" s="2399"/>
      <c r="D163" s="2399"/>
      <c r="E163" s="2399"/>
      <c r="F163" s="2399"/>
      <c r="G163" s="2400"/>
      <c r="H163" s="2399"/>
      <c r="I163" s="2400"/>
      <c r="J163" s="2399"/>
      <c r="K163" s="2399"/>
      <c r="L163" s="2400"/>
      <c r="M163" s="2399"/>
      <c r="N163" s="2399"/>
      <c r="O163" s="2400"/>
      <c r="P163" s="2399"/>
      <c r="Q163" s="2399"/>
      <c r="R163" s="2401"/>
    </row>
    <row r="164" spans="2:18" s="2371" customFormat="1">
      <c r="B164" s="2399"/>
      <c r="C164" s="2399"/>
      <c r="D164" s="2399"/>
      <c r="E164" s="2399"/>
      <c r="F164" s="2399"/>
      <c r="G164" s="2400"/>
      <c r="H164" s="2399"/>
      <c r="I164" s="2400"/>
      <c r="J164" s="2399"/>
      <c r="K164" s="2399"/>
      <c r="L164" s="2400"/>
      <c r="M164" s="2399"/>
      <c r="N164" s="2399"/>
      <c r="O164" s="2400"/>
      <c r="P164" s="2399"/>
      <c r="Q164" s="2399"/>
      <c r="R164" s="2401"/>
    </row>
    <row r="165" spans="2:18" s="2371" customFormat="1">
      <c r="B165" s="2399"/>
      <c r="C165" s="2399"/>
      <c r="D165" s="2399"/>
      <c r="E165" s="2399"/>
      <c r="F165" s="2399"/>
      <c r="G165" s="2400"/>
      <c r="H165" s="2399"/>
      <c r="I165" s="2400"/>
      <c r="J165" s="2399"/>
      <c r="K165" s="2399"/>
      <c r="L165" s="2400"/>
      <c r="M165" s="2399"/>
      <c r="N165" s="2399"/>
      <c r="O165" s="2400"/>
      <c r="P165" s="2399"/>
      <c r="Q165" s="2399"/>
      <c r="R165" s="2401"/>
    </row>
    <row r="166" spans="2:18" s="2371" customFormat="1">
      <c r="B166" s="2399"/>
      <c r="C166" s="2399"/>
      <c r="D166" s="2399"/>
      <c r="E166" s="2399"/>
      <c r="F166" s="2399"/>
      <c r="G166" s="2400"/>
      <c r="H166" s="2399"/>
      <c r="I166" s="2400"/>
      <c r="J166" s="2399"/>
      <c r="K166" s="2399"/>
      <c r="L166" s="2400"/>
      <c r="M166" s="2399"/>
      <c r="N166" s="2399"/>
      <c r="O166" s="2400"/>
      <c r="P166" s="2399"/>
      <c r="Q166" s="2399"/>
      <c r="R166" s="2401"/>
    </row>
    <row r="167" spans="2:18" s="2371" customFormat="1">
      <c r="B167" s="2399"/>
      <c r="C167" s="2399"/>
      <c r="D167" s="2399"/>
      <c r="E167" s="2399"/>
      <c r="F167" s="2399"/>
      <c r="G167" s="2400"/>
      <c r="H167" s="2399"/>
      <c r="I167" s="2400"/>
      <c r="J167" s="2399"/>
      <c r="K167" s="2399"/>
      <c r="L167" s="2400"/>
      <c r="M167" s="2399"/>
      <c r="N167" s="2399"/>
      <c r="O167" s="2400"/>
      <c r="P167" s="2399"/>
      <c r="Q167" s="2399"/>
      <c r="R167" s="2401"/>
    </row>
    <row r="168" spans="2:18" s="2371" customFormat="1">
      <c r="B168" s="2399"/>
      <c r="C168" s="2399"/>
      <c r="D168" s="2399"/>
      <c r="E168" s="2399"/>
      <c r="F168" s="2399"/>
      <c r="G168" s="2400"/>
      <c r="H168" s="2399"/>
      <c r="I168" s="2400"/>
      <c r="J168" s="2399"/>
      <c r="K168" s="2399"/>
      <c r="L168" s="2400"/>
      <c r="M168" s="2399"/>
      <c r="N168" s="2399"/>
      <c r="O168" s="2400"/>
      <c r="P168" s="2399"/>
      <c r="Q168" s="2399"/>
      <c r="R168" s="2401"/>
    </row>
    <row r="169" spans="2:18" s="2371" customFormat="1">
      <c r="B169" s="2399"/>
      <c r="C169" s="2399"/>
      <c r="D169" s="2399"/>
      <c r="E169" s="2399"/>
      <c r="F169" s="2399"/>
      <c r="G169" s="2400"/>
      <c r="H169" s="2399"/>
      <c r="I169" s="2400"/>
      <c r="J169" s="2399"/>
      <c r="K169" s="2399"/>
      <c r="L169" s="2400"/>
      <c r="M169" s="2399"/>
      <c r="N169" s="2399"/>
      <c r="O169" s="2400"/>
      <c r="P169" s="2399"/>
      <c r="Q169" s="2399"/>
      <c r="R169" s="2401"/>
    </row>
    <row r="170" spans="2:18" s="2371" customFormat="1">
      <c r="B170" s="2399"/>
      <c r="C170" s="2399"/>
      <c r="D170" s="2399"/>
      <c r="E170" s="2399"/>
      <c r="F170" s="2399"/>
      <c r="G170" s="2400"/>
      <c r="H170" s="2399"/>
      <c r="I170" s="2400"/>
      <c r="J170" s="2399"/>
      <c r="K170" s="2399"/>
      <c r="L170" s="2400"/>
      <c r="M170" s="2399"/>
      <c r="N170" s="2399"/>
      <c r="O170" s="2400"/>
      <c r="P170" s="2399"/>
      <c r="Q170" s="2399"/>
      <c r="R170" s="2401"/>
    </row>
    <row r="171" spans="2:18" s="2371" customFormat="1">
      <c r="B171" s="2399"/>
      <c r="C171" s="2399"/>
      <c r="D171" s="2399"/>
      <c r="E171" s="2399"/>
      <c r="F171" s="2399"/>
      <c r="G171" s="2400"/>
      <c r="H171" s="2399"/>
      <c r="I171" s="2400"/>
      <c r="J171" s="2399"/>
      <c r="K171" s="2399"/>
      <c r="L171" s="2400"/>
      <c r="M171" s="2399"/>
      <c r="N171" s="2399"/>
      <c r="O171" s="2400"/>
      <c r="P171" s="2399"/>
      <c r="Q171" s="2399"/>
      <c r="R171" s="2401"/>
    </row>
    <row r="172" spans="2:18" s="2371" customFormat="1">
      <c r="B172" s="2399"/>
      <c r="C172" s="2399"/>
      <c r="D172" s="2399"/>
      <c r="E172" s="2399"/>
      <c r="F172" s="2399"/>
      <c r="G172" s="2400"/>
      <c r="H172" s="2399"/>
      <c r="I172" s="2400"/>
      <c r="J172" s="2399"/>
      <c r="K172" s="2399"/>
      <c r="L172" s="2400"/>
      <c r="M172" s="2399"/>
      <c r="N172" s="2399"/>
      <c r="O172" s="2400"/>
      <c r="P172" s="2399"/>
      <c r="Q172" s="2399"/>
      <c r="R172" s="2401"/>
    </row>
    <row r="173" spans="2:18" s="2371" customFormat="1">
      <c r="B173" s="2399"/>
      <c r="C173" s="2399"/>
      <c r="D173" s="2399"/>
      <c r="E173" s="2399"/>
      <c r="F173" s="2399"/>
      <c r="G173" s="2400"/>
      <c r="H173" s="2399"/>
      <c r="I173" s="2400"/>
      <c r="J173" s="2399"/>
      <c r="K173" s="2399"/>
      <c r="L173" s="2400"/>
      <c r="M173" s="2399"/>
      <c r="N173" s="2399"/>
      <c r="O173" s="2400"/>
      <c r="P173" s="2399"/>
      <c r="Q173" s="2399"/>
      <c r="R173" s="2401"/>
    </row>
    <row r="174" spans="2:18" s="2371" customFormat="1">
      <c r="B174" s="2399"/>
      <c r="C174" s="2399"/>
      <c r="D174" s="2399"/>
      <c r="E174" s="2399"/>
      <c r="F174" s="2399"/>
      <c r="G174" s="2400"/>
      <c r="H174" s="2399"/>
      <c r="I174" s="2400"/>
      <c r="J174" s="2399"/>
      <c r="K174" s="2399"/>
      <c r="L174" s="2400"/>
      <c r="M174" s="2399"/>
      <c r="N174" s="2399"/>
      <c r="O174" s="2400"/>
      <c r="P174" s="2399"/>
      <c r="Q174" s="2399"/>
      <c r="R174" s="2401"/>
    </row>
    <row r="175" spans="2:18" s="2371" customFormat="1">
      <c r="B175" s="2399"/>
      <c r="C175" s="2399"/>
      <c r="D175" s="2399"/>
      <c r="E175" s="2399"/>
      <c r="F175" s="2399"/>
      <c r="G175" s="2400"/>
      <c r="H175" s="2399"/>
      <c r="I175" s="2400"/>
      <c r="J175" s="2399"/>
      <c r="K175" s="2399"/>
      <c r="L175" s="2400"/>
      <c r="M175" s="2399"/>
      <c r="N175" s="2399"/>
      <c r="O175" s="2400"/>
      <c r="P175" s="2399"/>
      <c r="Q175" s="2399"/>
      <c r="R175" s="2401"/>
    </row>
    <row r="176" spans="2:18" s="2371" customFormat="1">
      <c r="B176" s="2399"/>
      <c r="C176" s="2399"/>
      <c r="D176" s="2399"/>
      <c r="E176" s="2399"/>
      <c r="F176" s="2399"/>
      <c r="G176" s="2400"/>
      <c r="H176" s="2399"/>
      <c r="I176" s="2400"/>
      <c r="J176" s="2399"/>
      <c r="K176" s="2399"/>
      <c r="L176" s="2400"/>
      <c r="M176" s="2399"/>
      <c r="N176" s="2399"/>
      <c r="O176" s="2400"/>
      <c r="P176" s="2399"/>
      <c r="Q176" s="2399"/>
      <c r="R176" s="2401"/>
    </row>
    <row r="177" spans="1:18" s="2371" customFormat="1">
      <c r="B177" s="2399"/>
      <c r="C177" s="2399"/>
      <c r="D177" s="2399"/>
      <c r="E177" s="2399"/>
      <c r="F177" s="2399"/>
      <c r="G177" s="2400"/>
      <c r="H177" s="2399"/>
      <c r="I177" s="2400"/>
      <c r="J177" s="2399"/>
      <c r="K177" s="2399"/>
      <c r="L177" s="2400"/>
      <c r="M177" s="2399"/>
      <c r="N177" s="2399"/>
      <c r="O177" s="2400"/>
      <c r="P177" s="2399"/>
      <c r="Q177" s="2399"/>
      <c r="R177" s="2401"/>
    </row>
    <row r="178" spans="1:18" s="2371" customFormat="1">
      <c r="B178" s="2399"/>
      <c r="C178" s="2399"/>
      <c r="D178" s="2399"/>
      <c r="E178" s="2399"/>
      <c r="F178" s="2399"/>
      <c r="G178" s="2400"/>
      <c r="H178" s="2399"/>
      <c r="I178" s="2400"/>
      <c r="J178" s="2399"/>
      <c r="K178" s="2399"/>
      <c r="L178" s="2400"/>
      <c r="M178" s="2399"/>
      <c r="N178" s="2399"/>
      <c r="O178" s="2400"/>
      <c r="P178" s="2399"/>
      <c r="Q178" s="2399"/>
      <c r="R178" s="2401"/>
    </row>
    <row r="179" spans="1:18" s="2371" customFormat="1">
      <c r="B179" s="2399"/>
      <c r="C179" s="2399"/>
      <c r="D179" s="2399"/>
      <c r="E179" s="2399"/>
      <c r="F179" s="2399"/>
      <c r="G179" s="2400"/>
      <c r="H179" s="2399"/>
      <c r="I179" s="2400"/>
      <c r="J179" s="2399"/>
      <c r="K179" s="2399"/>
      <c r="L179" s="2400"/>
      <c r="M179" s="2399"/>
      <c r="N179" s="2399"/>
      <c r="O179" s="2400"/>
      <c r="P179" s="2399"/>
      <c r="Q179" s="2399"/>
      <c r="R179" s="2401"/>
    </row>
    <row r="180" spans="1:18" s="2371" customFormat="1">
      <c r="B180" s="2399"/>
      <c r="C180" s="2399"/>
      <c r="D180" s="2399"/>
      <c r="E180" s="2399"/>
      <c r="F180" s="2399"/>
      <c r="G180" s="2400"/>
      <c r="H180" s="2399"/>
      <c r="I180" s="2400"/>
      <c r="J180" s="2399"/>
      <c r="K180" s="2399"/>
      <c r="L180" s="2400"/>
      <c r="M180" s="2399"/>
      <c r="N180" s="2399"/>
      <c r="O180" s="2400"/>
      <c r="P180" s="2399"/>
      <c r="Q180" s="2399"/>
      <c r="R180" s="2401"/>
    </row>
    <row r="181" spans="1:18" s="2371" customFormat="1">
      <c r="B181" s="2399"/>
      <c r="C181" s="2399"/>
      <c r="D181" s="2399"/>
      <c r="E181" s="2399"/>
      <c r="F181" s="2399"/>
      <c r="G181" s="2400"/>
      <c r="H181" s="2399"/>
      <c r="I181" s="2400"/>
      <c r="J181" s="2399"/>
      <c r="K181" s="2399"/>
      <c r="L181" s="2400"/>
      <c r="M181" s="2399"/>
      <c r="N181" s="2399"/>
      <c r="O181" s="2400"/>
      <c r="P181" s="2399"/>
      <c r="Q181" s="2399"/>
      <c r="R181" s="2401"/>
    </row>
    <row r="182" spans="1:18" s="2371" customFormat="1">
      <c r="B182" s="2399"/>
      <c r="C182" s="2399"/>
      <c r="D182" s="2399"/>
      <c r="E182" s="2399"/>
      <c r="F182" s="2399"/>
      <c r="G182" s="2400"/>
      <c r="H182" s="2399"/>
      <c r="I182" s="2400"/>
      <c r="J182" s="2399"/>
      <c r="K182" s="2399"/>
      <c r="L182" s="2400"/>
      <c r="M182" s="2399"/>
      <c r="N182" s="2399"/>
      <c r="O182" s="2400"/>
      <c r="P182" s="2399"/>
      <c r="Q182" s="2399"/>
      <c r="R182" s="2401"/>
    </row>
    <row r="183" spans="1:18" s="2371" customFormat="1">
      <c r="B183" s="2399"/>
      <c r="C183" s="2399"/>
      <c r="D183" s="2399"/>
      <c r="E183" s="2399"/>
      <c r="F183" s="2399"/>
      <c r="G183" s="2400"/>
      <c r="H183" s="2399"/>
      <c r="I183" s="2400"/>
      <c r="J183" s="2399"/>
      <c r="K183" s="2399"/>
      <c r="L183" s="2400"/>
      <c r="M183" s="2399"/>
      <c r="N183" s="2399"/>
      <c r="O183" s="2400"/>
      <c r="P183" s="2399"/>
      <c r="Q183" s="2399"/>
      <c r="R183" s="2401"/>
    </row>
    <row r="184" spans="1:18" s="2371" customFormat="1">
      <c r="B184" s="2399"/>
      <c r="C184" s="2399"/>
      <c r="D184" s="2399"/>
      <c r="E184" s="2399"/>
      <c r="F184" s="2399"/>
      <c r="G184" s="2400"/>
      <c r="H184" s="2399"/>
      <c r="I184" s="2400"/>
      <c r="J184" s="2399"/>
      <c r="K184" s="2399"/>
      <c r="L184" s="2400"/>
      <c r="M184" s="2399"/>
      <c r="N184" s="2399"/>
      <c r="O184" s="2400"/>
      <c r="P184" s="2399"/>
      <c r="Q184" s="2399"/>
      <c r="R184" s="2401"/>
    </row>
    <row r="185" spans="1:18" s="2371" customFormat="1">
      <c r="B185" s="2399"/>
      <c r="C185" s="2399"/>
      <c r="D185" s="2399"/>
      <c r="E185" s="2399"/>
      <c r="F185" s="2399"/>
      <c r="G185" s="2400"/>
      <c r="H185" s="2399"/>
      <c r="I185" s="2400"/>
      <c r="J185" s="2399"/>
      <c r="K185" s="2399"/>
      <c r="L185" s="2400"/>
      <c r="M185" s="2399"/>
      <c r="N185" s="2399"/>
      <c r="O185" s="2400"/>
      <c r="P185" s="2399"/>
      <c r="Q185" s="2399"/>
      <c r="R185" s="2401"/>
    </row>
    <row r="186" spans="1:18">
      <c r="A186" s="2371"/>
      <c r="B186" s="2399"/>
      <c r="C186" s="2399"/>
      <c r="E186" s="2399"/>
      <c r="F186" s="2399"/>
      <c r="G186" s="2400"/>
    </row>
    <row r="187" spans="1:18">
      <c r="A187" s="2371"/>
      <c r="B187" s="2399"/>
      <c r="C187" s="2399"/>
      <c r="E187" s="2399"/>
      <c r="F187" s="2399"/>
      <c r="G187" s="2400"/>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27" sqref="F27"/>
    </sheetView>
  </sheetViews>
  <sheetFormatPr defaultColWidth="9" defaultRowHeight="13.5"/>
  <cols>
    <col min="1" max="1" width="23.375" style="1740" customWidth="1"/>
    <col min="2" max="9" width="15.75" style="1740" customWidth="1"/>
    <col min="10" max="16384" width="9" style="1740"/>
  </cols>
  <sheetData>
    <row r="1" spans="1:10" ht="16.5">
      <c r="A1" s="1745" t="s">
        <v>1361</v>
      </c>
      <c r="B1" s="1745">
        <f>SUM(B14:B23)</f>
        <v>65702.700000000303</v>
      </c>
      <c r="C1" s="1744"/>
      <c r="D1" s="1744"/>
      <c r="E1" s="1744"/>
      <c r="F1" s="1744"/>
      <c r="G1" s="1742"/>
    </row>
    <row r="2" spans="1:10" ht="16.5">
      <c r="A2" s="1745" t="s">
        <v>1349</v>
      </c>
      <c r="B2" s="1745">
        <f>SUM(C14:C23)</f>
        <v>30830.38</v>
      </c>
      <c r="C2" s="1744"/>
      <c r="D2" s="1744"/>
      <c r="E2" s="1744"/>
      <c r="F2" s="1744"/>
      <c r="G2" s="1742"/>
    </row>
    <row r="3" spans="1:10" ht="16.5">
      <c r="A3" s="1745" t="s">
        <v>1358</v>
      </c>
      <c r="B3" s="1746">
        <f>项目基本情况!D3</f>
        <v>43689</v>
      </c>
      <c r="C3" s="1744"/>
      <c r="D3" s="1744"/>
      <c r="E3" s="1744"/>
      <c r="F3" s="1744"/>
      <c r="G3" s="1742"/>
    </row>
    <row r="4" spans="1:10" ht="33">
      <c r="A4" s="1745" t="s">
        <v>1357</v>
      </c>
      <c r="B4" s="1745" t="s">
        <v>1356</v>
      </c>
      <c r="C4" s="1745" t="s">
        <v>1355</v>
      </c>
      <c r="D4" s="1745" t="s">
        <v>1354</v>
      </c>
      <c r="E4" s="1744"/>
      <c r="F4" s="1742"/>
      <c r="G4" s="1742"/>
    </row>
    <row r="5" spans="1:10" ht="16.5">
      <c r="A5" s="1745" t="s">
        <v>1353</v>
      </c>
      <c r="B5" s="1745">
        <f ca="1">SUM(D14:D23)</f>
        <v>104186</v>
      </c>
      <c r="C5" s="1745">
        <f ca="1">ROUND(B5*10000/$B$1,0)</f>
        <v>15857</v>
      </c>
      <c r="D5" s="1745">
        <f ca="1">ROUND(B5*10000/$B$2,0)</f>
        <v>33793</v>
      </c>
      <c r="E5" s="1744"/>
      <c r="F5" s="1742"/>
      <c r="G5" s="1742"/>
    </row>
    <row r="6" spans="1:10" ht="16.5">
      <c r="A6" s="1745" t="s">
        <v>1352</v>
      </c>
      <c r="B6" s="1745">
        <f ca="1">SUM(G14:G23)</f>
        <v>104186</v>
      </c>
      <c r="C6" s="1745">
        <f ca="1">ROUND(B6*10000/$B$1,0)</f>
        <v>15857</v>
      </c>
      <c r="D6" s="1745">
        <f ca="1">ROUND(B6*10000/$B$2,0)</f>
        <v>33793</v>
      </c>
      <c r="E6" s="1744"/>
      <c r="F6" s="1742"/>
      <c r="G6" s="1742"/>
    </row>
    <row r="7" spans="1:10" ht="16.5">
      <c r="A7" s="1745" t="s">
        <v>1360</v>
      </c>
      <c r="B7" s="1745">
        <f>SUM(H14:H23)</f>
        <v>0</v>
      </c>
      <c r="C7" s="1745">
        <f>ROUND(B7*10000/$B$1,0)</f>
        <v>0</v>
      </c>
      <c r="D7" s="1745">
        <f>ROUND(B7*10000/$B$2,0)</f>
        <v>0</v>
      </c>
      <c r="E7" s="1744"/>
      <c r="F7" s="1742"/>
      <c r="G7" s="1742"/>
    </row>
    <row r="8" spans="1:10" ht="16.5">
      <c r="A8" s="1745" t="s">
        <v>1281</v>
      </c>
      <c r="B8" s="1745">
        <f>SUM(I14:I23)</f>
        <v>0</v>
      </c>
      <c r="C8" s="1745">
        <f>ROUND(B8*10000/$B$1,0)</f>
        <v>0</v>
      </c>
      <c r="D8" s="1745">
        <f>ROUND(B8*10000/$B$2,0)</f>
        <v>0</v>
      </c>
      <c r="E8" s="1744"/>
      <c r="F8" s="1742"/>
      <c r="G8" s="1742"/>
    </row>
    <row r="9" spans="1:10" ht="16.5">
      <c r="A9" s="1745" t="s">
        <v>1351</v>
      </c>
      <c r="B9" s="1747"/>
      <c r="C9" s="1744"/>
      <c r="D9" s="1744"/>
      <c r="E9" s="1744"/>
      <c r="F9" s="1742"/>
      <c r="G9" s="1742"/>
    </row>
    <row r="10" spans="1:10" ht="16.5">
      <c r="A10" s="1745" t="s">
        <v>1350</v>
      </c>
      <c r="B10" s="1747"/>
      <c r="C10" s="1744"/>
      <c r="D10" s="1744"/>
      <c r="E10" s="1744"/>
      <c r="F10" s="1742"/>
      <c r="G10" s="1742"/>
    </row>
    <row r="11" spans="1:10" ht="16.5">
      <c r="A11" s="1745" t="s">
        <v>1366</v>
      </c>
      <c r="B11" s="1747"/>
      <c r="C11" s="1744"/>
      <c r="D11" s="1744"/>
      <c r="E11" s="1744"/>
      <c r="F11" s="1742"/>
      <c r="G11" s="1742"/>
    </row>
    <row r="12" spans="1:10" ht="16.5">
      <c r="A12" s="1744"/>
      <c r="B12" s="1744"/>
      <c r="C12" s="1744"/>
      <c r="D12" s="1744"/>
      <c r="E12" s="1744"/>
      <c r="F12" s="1742"/>
      <c r="G12" s="1742"/>
    </row>
    <row r="13" spans="1:10" ht="33">
      <c r="A13" s="1750" t="s">
        <v>1365</v>
      </c>
      <c r="B13" s="1743" t="s">
        <v>1362</v>
      </c>
      <c r="C13" s="1743" t="s">
        <v>1364</v>
      </c>
      <c r="D13" s="1743" t="s">
        <v>1363</v>
      </c>
      <c r="E13" s="1745" t="s">
        <v>1355</v>
      </c>
      <c r="F13" s="1745" t="s">
        <v>1354</v>
      </c>
      <c r="G13" s="1743" t="s">
        <v>1348</v>
      </c>
      <c r="H13" s="1743" t="s">
        <v>1359</v>
      </c>
      <c r="I13" s="1743" t="s">
        <v>1347</v>
      </c>
      <c r="J13" s="1742"/>
    </row>
    <row r="14" spans="1:10" ht="16.5">
      <c r="A14" s="1741" t="s">
        <v>1346</v>
      </c>
      <c r="B14" s="1743">
        <f>结果表!B118</f>
        <v>34338.32</v>
      </c>
      <c r="C14" s="1743">
        <f>结果表!C118</f>
        <v>16074.03</v>
      </c>
      <c r="D14" s="1743">
        <f ca="1">结果表!H118</f>
        <v>50596</v>
      </c>
      <c r="E14" s="1743">
        <f ca="1">ROUND(D14*10000/B14,0)</f>
        <v>14735</v>
      </c>
      <c r="F14" s="1743">
        <f ca="1">ROUND(D14*10000/C14,0)</f>
        <v>31477</v>
      </c>
      <c r="G14" s="1743">
        <f ca="1">结果表!D122</f>
        <v>50596</v>
      </c>
      <c r="H14" s="1743" t="str">
        <f>结果表!D124</f>
        <v>——</v>
      </c>
      <c r="I14" s="1743" t="str">
        <f>结果表!D126</f>
        <v>——</v>
      </c>
      <c r="J14" s="1742"/>
    </row>
    <row r="15" spans="1:10" ht="16.5">
      <c r="A15" s="1741" t="s">
        <v>1345</v>
      </c>
      <c r="B15" s="1748">
        <f>[2]系统读取表!$B$14</f>
        <v>31364.38000000031</v>
      </c>
      <c r="C15" s="1748">
        <f>[2]系统读取表!$C$14</f>
        <v>14756.35</v>
      </c>
      <c r="D15" s="1748">
        <f ca="1">[3]系统读取表!$D$14</f>
        <v>53590</v>
      </c>
      <c r="E15" s="1743">
        <f t="shared" ref="E15:E23" ca="1" si="0">ROUND(D15*10000/B15,0)</f>
        <v>17086</v>
      </c>
      <c r="F15" s="1743">
        <f t="shared" ref="F15:F23" ca="1" si="1">ROUND(D15*10000/C15,0)</f>
        <v>36317</v>
      </c>
      <c r="G15" s="1749">
        <f ca="1">D15</f>
        <v>53590</v>
      </c>
      <c r="H15" s="1749"/>
      <c r="I15" s="1748"/>
      <c r="J15" s="1742"/>
    </row>
    <row r="16" spans="1:10" ht="16.5">
      <c r="A16" s="1741" t="s">
        <v>1344</v>
      </c>
      <c r="B16" s="1748"/>
      <c r="C16" s="1748"/>
      <c r="D16" s="1748"/>
      <c r="E16" s="1743" t="e">
        <f t="shared" si="0"/>
        <v>#DIV/0!</v>
      </c>
      <c r="F16" s="1743" t="e">
        <f t="shared" si="1"/>
        <v>#DIV/0!</v>
      </c>
      <c r="G16" s="1749"/>
      <c r="H16" s="1749"/>
      <c r="I16" s="1748"/>
    </row>
    <row r="17" spans="1:9" ht="16.5">
      <c r="A17" s="1741" t="s">
        <v>1343</v>
      </c>
      <c r="B17" s="1748"/>
      <c r="C17" s="1748"/>
      <c r="D17" s="1748"/>
      <c r="E17" s="1743" t="e">
        <f t="shared" si="0"/>
        <v>#DIV/0!</v>
      </c>
      <c r="F17" s="1743" t="e">
        <f t="shared" si="1"/>
        <v>#DIV/0!</v>
      </c>
      <c r="G17" s="1749"/>
      <c r="H17" s="1749"/>
      <c r="I17" s="1748"/>
    </row>
    <row r="18" spans="1:9" ht="16.5">
      <c r="A18" s="1741" t="s">
        <v>1342</v>
      </c>
      <c r="B18" s="1748"/>
      <c r="C18" s="1748"/>
      <c r="D18" s="1748"/>
      <c r="E18" s="1743" t="e">
        <f t="shared" si="0"/>
        <v>#DIV/0!</v>
      </c>
      <c r="F18" s="1743" t="e">
        <f t="shared" si="1"/>
        <v>#DIV/0!</v>
      </c>
      <c r="G18" s="1748"/>
      <c r="H18" s="1748"/>
      <c r="I18" s="1748"/>
    </row>
    <row r="19" spans="1:9" ht="16.5">
      <c r="A19" s="1741" t="s">
        <v>1341</v>
      </c>
      <c r="B19" s="1748"/>
      <c r="C19" s="1748"/>
      <c r="D19" s="1748"/>
      <c r="E19" s="1743" t="e">
        <f t="shared" si="0"/>
        <v>#DIV/0!</v>
      </c>
      <c r="F19" s="1743" t="e">
        <f t="shared" si="1"/>
        <v>#DIV/0!</v>
      </c>
      <c r="G19" s="1748"/>
      <c r="H19" s="1748"/>
      <c r="I19" s="1748"/>
    </row>
    <row r="20" spans="1:9" ht="16.5">
      <c r="A20" s="1741" t="s">
        <v>1340</v>
      </c>
      <c r="B20" s="1748"/>
      <c r="C20" s="1748"/>
      <c r="D20" s="1748"/>
      <c r="E20" s="1743" t="e">
        <f t="shared" si="0"/>
        <v>#DIV/0!</v>
      </c>
      <c r="F20" s="1743" t="e">
        <f t="shared" si="1"/>
        <v>#DIV/0!</v>
      </c>
      <c r="G20" s="1748"/>
      <c r="H20" s="1748"/>
      <c r="I20" s="1748"/>
    </row>
    <row r="21" spans="1:9" ht="16.5">
      <c r="A21" s="1741" t="s">
        <v>1339</v>
      </c>
      <c r="B21" s="1748"/>
      <c r="C21" s="1748"/>
      <c r="D21" s="1748"/>
      <c r="E21" s="1743" t="e">
        <f t="shared" si="0"/>
        <v>#DIV/0!</v>
      </c>
      <c r="F21" s="1743" t="e">
        <f t="shared" si="1"/>
        <v>#DIV/0!</v>
      </c>
      <c r="G21" s="1748"/>
      <c r="H21" s="1748"/>
      <c r="I21" s="1748"/>
    </row>
    <row r="22" spans="1:9" ht="16.5">
      <c r="A22" s="1741" t="s">
        <v>1338</v>
      </c>
      <c r="B22" s="1748"/>
      <c r="C22" s="1748"/>
      <c r="D22" s="1748"/>
      <c r="E22" s="1743" t="e">
        <f t="shared" si="0"/>
        <v>#DIV/0!</v>
      </c>
      <c r="F22" s="1743" t="e">
        <f t="shared" si="1"/>
        <v>#DIV/0!</v>
      </c>
      <c r="G22" s="1748"/>
      <c r="H22" s="1748"/>
      <c r="I22" s="1748"/>
    </row>
    <row r="23" spans="1:9" ht="16.5">
      <c r="A23" s="1741" t="s">
        <v>1337</v>
      </c>
      <c r="B23" s="1748"/>
      <c r="C23" s="1748"/>
      <c r="D23" s="1748"/>
      <c r="E23" s="1745" t="e">
        <f t="shared" si="0"/>
        <v>#DIV/0!</v>
      </c>
      <c r="F23" s="1745" t="e">
        <f t="shared" si="1"/>
        <v>#DIV/0!</v>
      </c>
      <c r="G23" s="1748"/>
      <c r="H23" s="1748"/>
      <c r="I23" s="1748"/>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6" zoomScaleNormal="100" zoomScaleSheetLayoutView="100" zoomScalePageLayoutView="80" workbookViewId="0">
      <selection activeCell="A123" sqref="A123:C123"/>
    </sheetView>
  </sheetViews>
  <sheetFormatPr defaultColWidth="12.625" defaultRowHeight="21.75" customHeight="1"/>
  <cols>
    <col min="1" max="2" width="12.625" style="2428"/>
    <col min="3" max="4" width="12.625" style="2428" customWidth="1"/>
    <col min="5" max="9" width="12.625" style="2428"/>
    <col min="10" max="11" width="12.625" style="795" customWidth="1"/>
    <col min="12" max="12" width="12.625" style="795"/>
    <col min="13" max="13" width="14.125" style="795" bestFit="1" customWidth="1"/>
    <col min="14" max="26" width="12.625" style="795"/>
    <col min="27" max="35" width="12.625" style="2427"/>
    <col min="36" max="16384" width="12.625" style="2428"/>
  </cols>
  <sheetData>
    <row r="1" spans="1:12" ht="21.75" customHeight="1" thickBot="1">
      <c r="A1" s="2228" t="s">
        <v>2119</v>
      </c>
      <c r="B1" s="2422"/>
      <c r="C1" s="2423"/>
      <c r="D1" s="2422"/>
      <c r="E1" s="2422"/>
      <c r="F1" s="2424" t="s">
        <v>2120</v>
      </c>
      <c r="G1" s="2073" t="s">
        <v>2121</v>
      </c>
      <c r="H1" s="2425" t="str">
        <f>IF(G1="现房","——","估价对象范围")</f>
        <v>估价对象范围</v>
      </c>
      <c r="I1" s="2426"/>
    </row>
    <row r="2" spans="1:12" ht="21.75" customHeight="1" thickBot="1">
      <c r="A2" s="3147" t="str">
        <f>项目基本情况!S2</f>
        <v>出让国有建设用地使用权及在建建筑物房地产</v>
      </c>
      <c r="B2" s="3148"/>
      <c r="C2" s="3148"/>
      <c r="D2" s="3148"/>
      <c r="E2" s="3148"/>
      <c r="F2" s="3148"/>
      <c r="G2" s="3148"/>
      <c r="H2" s="3148"/>
      <c r="I2" s="3149"/>
    </row>
    <row r="3" spans="1:12" ht="12.75">
      <c r="A3" s="3151" t="s">
        <v>2122</v>
      </c>
      <c r="B3" s="3152"/>
      <c r="C3" s="3152"/>
      <c r="D3" s="3152"/>
      <c r="E3" s="3152"/>
      <c r="F3" s="3152"/>
      <c r="G3" s="3152"/>
      <c r="H3" s="3152"/>
      <c r="I3" s="3152"/>
    </row>
    <row r="4" spans="1:12" ht="14.25">
      <c r="A4" s="2429" t="s">
        <v>2123</v>
      </c>
      <c r="B4" s="2430" t="s">
        <v>2124</v>
      </c>
      <c r="C4" s="2431" t="s">
        <v>3866</v>
      </c>
      <c r="D4" s="2431" t="s">
        <v>3867</v>
      </c>
      <c r="E4" s="3144" t="s">
        <v>2125</v>
      </c>
      <c r="F4" s="3145"/>
      <c r="G4" s="3145"/>
      <c r="H4" s="3145"/>
      <c r="I4" s="3153"/>
      <c r="K4" s="2432" t="str">
        <f>IF(ISNUMBER(FIND("比较法",结果表!C4)),"比较法",IF(ISNUMBER(FIND("成本法",结果表!C4)),"成本法",IF(ISNUMBER(FIND("假设开发法",结果表!C4)),"假设开发法",IF(ISNUMBER(FIND("收益法",结果表!C4)),"收益法","基准地价系数修正法"))))</f>
        <v>成本法</v>
      </c>
      <c r="L4" s="2432" t="str">
        <f>IF(ISNUMBER(FIND("比较法",结果表!D4)),"比较法",IF(ISNUMBER(FIND("成本法",结果表!D4)),"成本法",IF(ISNUMBER(FIND("假设开发法",结果表!D4)),"假设开发法",IF(ISNUMBER(FIND("收益法",结果表!D4)),"收益法","基准地价系数修正法"))))</f>
        <v>假设开发法</v>
      </c>
    </row>
    <row r="5" spans="1:12" ht="12.75">
      <c r="A5" s="3127" t="s">
        <v>2126</v>
      </c>
      <c r="B5" s="3064">
        <v>25</v>
      </c>
      <c r="C5" s="3130"/>
      <c r="D5" s="3150"/>
      <c r="E5" s="140" t="s">
        <v>2127</v>
      </c>
      <c r="F5" s="2433"/>
      <c r="G5" s="2433"/>
      <c r="H5" s="2433"/>
      <c r="I5" s="1833"/>
    </row>
    <row r="6" spans="1:12" ht="12.75">
      <c r="A6" s="3127"/>
      <c r="B6" s="3064"/>
      <c r="C6" s="3131"/>
      <c r="D6" s="3150"/>
      <c r="E6" s="140" t="s">
        <v>2128</v>
      </c>
      <c r="F6" s="2433"/>
      <c r="G6" s="2433"/>
      <c r="H6" s="2433"/>
      <c r="I6" s="1833"/>
    </row>
    <row r="7" spans="1:12" ht="12.75">
      <c r="A7" s="3127"/>
      <c r="B7" s="3064"/>
      <c r="C7" s="3132"/>
      <c r="D7" s="3150"/>
      <c r="E7" s="140" t="s">
        <v>2129</v>
      </c>
      <c r="F7" s="2433"/>
      <c r="G7" s="2433"/>
      <c r="H7" s="2433"/>
      <c r="I7" s="1833"/>
    </row>
    <row r="8" spans="1:12" ht="12.75">
      <c r="A8" s="3127" t="s">
        <v>2130</v>
      </c>
      <c r="B8" s="3064">
        <v>15</v>
      </c>
      <c r="C8" s="3130"/>
      <c r="D8" s="3150"/>
      <c r="E8" s="140" t="s">
        <v>2131</v>
      </c>
      <c r="F8" s="2433"/>
      <c r="G8" s="2433"/>
      <c r="H8" s="2433"/>
      <c r="I8" s="1833"/>
    </row>
    <row r="9" spans="1:12" ht="12.75">
      <c r="A9" s="3127"/>
      <c r="B9" s="3064"/>
      <c r="C9" s="3132"/>
      <c r="D9" s="3150"/>
      <c r="E9" s="140" t="s">
        <v>2132</v>
      </c>
      <c r="F9" s="2433"/>
      <c r="G9" s="2433"/>
      <c r="H9" s="2433"/>
      <c r="I9" s="1833"/>
    </row>
    <row r="10" spans="1:12" ht="12.75">
      <c r="A10" s="3127" t="s">
        <v>2133</v>
      </c>
      <c r="B10" s="3064">
        <v>15</v>
      </c>
      <c r="C10" s="3130"/>
      <c r="D10" s="3150"/>
      <c r="E10" s="140" t="s">
        <v>2134</v>
      </c>
      <c r="F10" s="2433"/>
      <c r="G10" s="2433"/>
      <c r="H10" s="2433"/>
      <c r="I10" s="1833"/>
    </row>
    <row r="11" spans="1:12" ht="12.75">
      <c r="A11" s="3127"/>
      <c r="B11" s="3064"/>
      <c r="C11" s="3132"/>
      <c r="D11" s="3150"/>
      <c r="E11" s="140" t="s">
        <v>2135</v>
      </c>
      <c r="F11" s="2433"/>
      <c r="G11" s="2433"/>
      <c r="H11" s="2433"/>
      <c r="I11" s="1833"/>
    </row>
    <row r="12" spans="1:12" ht="12.75">
      <c r="A12" s="3127" t="s">
        <v>2136</v>
      </c>
      <c r="B12" s="3064">
        <v>15</v>
      </c>
      <c r="C12" s="3130"/>
      <c r="D12" s="3150"/>
      <c r="E12" s="140" t="s">
        <v>2137</v>
      </c>
      <c r="F12" s="2433"/>
      <c r="G12" s="2433"/>
      <c r="H12" s="2433"/>
      <c r="I12" s="1833"/>
    </row>
    <row r="13" spans="1:12" ht="12.75">
      <c r="A13" s="3127"/>
      <c r="B13" s="3064"/>
      <c r="C13" s="3132"/>
      <c r="D13" s="3150"/>
      <c r="E13" s="140" t="s">
        <v>2138</v>
      </c>
      <c r="F13" s="2433"/>
      <c r="G13" s="2433"/>
      <c r="H13" s="2433"/>
      <c r="I13" s="1833"/>
    </row>
    <row r="14" spans="1:12" ht="12.75">
      <c r="A14" s="3127" t="s">
        <v>2139</v>
      </c>
      <c r="B14" s="3064">
        <v>30</v>
      </c>
      <c r="C14" s="3130">
        <v>5</v>
      </c>
      <c r="D14" s="3150">
        <v>5</v>
      </c>
      <c r="E14" s="140" t="s">
        <v>2140</v>
      </c>
      <c r="F14" s="2433"/>
      <c r="G14" s="2433"/>
      <c r="H14" s="2433"/>
      <c r="I14" s="1833"/>
    </row>
    <row r="15" spans="1:12" ht="12.75">
      <c r="A15" s="3127"/>
      <c r="B15" s="3064"/>
      <c r="C15" s="3131"/>
      <c r="D15" s="3150"/>
      <c r="E15" s="140" t="s">
        <v>2141</v>
      </c>
      <c r="F15" s="2433"/>
      <c r="G15" s="2433"/>
      <c r="H15" s="2433"/>
      <c r="I15" s="1833"/>
    </row>
    <row r="16" spans="1:12" ht="12.75">
      <c r="A16" s="3127"/>
      <c r="B16" s="3064"/>
      <c r="C16" s="3132"/>
      <c r="D16" s="3150"/>
      <c r="E16" s="140" t="s">
        <v>2142</v>
      </c>
      <c r="F16" s="2433"/>
      <c r="G16" s="2433"/>
      <c r="H16" s="2433"/>
      <c r="I16" s="1833"/>
    </row>
    <row r="17" spans="1:35" ht="15">
      <c r="A17" s="2434" t="s">
        <v>2143</v>
      </c>
      <c r="B17" s="64"/>
      <c r="C17" s="141">
        <f>SUM(C5:C16)</f>
        <v>5</v>
      </c>
      <c r="D17" s="141">
        <f>SUM(D5:D16)</f>
        <v>5</v>
      </c>
      <c r="E17" s="138"/>
      <c r="F17" s="138"/>
      <c r="G17" s="138"/>
      <c r="H17" s="138"/>
      <c r="I17" s="138"/>
      <c r="K17" s="2432"/>
      <c r="L17" s="2435" t="s">
        <v>2144</v>
      </c>
      <c r="M17" s="2435" t="s">
        <v>2145</v>
      </c>
    </row>
    <row r="18" spans="1:35" ht="15.75" thickBot="1">
      <c r="A18" s="2436" t="s">
        <v>2146</v>
      </c>
      <c r="B18" s="2437"/>
      <c r="C18" s="142">
        <f>ROUND(C17/SUM(C17:D17),2)</f>
        <v>0.5</v>
      </c>
      <c r="D18" s="142">
        <f>1-C18</f>
        <v>0.5</v>
      </c>
      <c r="E18" s="138"/>
      <c r="F18" s="138"/>
      <c r="G18" s="138"/>
      <c r="H18" s="138"/>
      <c r="I18" s="138"/>
      <c r="K18" s="2432" t="s">
        <v>2147</v>
      </c>
      <c r="L18" s="2432">
        <f>IF(C1="",'数据-汇总表'!E3,SUMIF(项目类型,C1,'数据-汇总表'!E17:E26)+SUMIF(项目类型,C1,'数据-汇总表'!I17:I26))</f>
        <v>34338.32</v>
      </c>
      <c r="M18" s="2432">
        <f>IF(C1="",'数据-汇总表'!E3,SUMIF(项目类型,C1,'数据-汇总表'!E17:E26))</f>
        <v>34338.32</v>
      </c>
    </row>
    <row r="19" spans="1:35" ht="15">
      <c r="A19" s="2438" t="s">
        <v>2148</v>
      </c>
      <c r="B19" s="2439" t="s">
        <v>2149</v>
      </c>
      <c r="C19" s="143">
        <f ca="1">SUMIF(INDIRECT("'"&amp;C4&amp;"'"&amp;"!A:A"),结果表!B19,INDIRECT("'"&amp;C4&amp;"'"&amp;"!B:B"))</f>
        <v>49455</v>
      </c>
      <c r="D19" s="144">
        <f ca="1">SUMIF(INDIRECT("'"&amp;D4&amp;"'"&amp;"!A:A"),结果表!B19,INDIRECT("'"&amp;D4&amp;"'"&amp;"!B:B"))</f>
        <v>51736</v>
      </c>
      <c r="E19" s="2438" t="s">
        <v>2150</v>
      </c>
      <c r="F19" s="2439" t="s">
        <v>2149</v>
      </c>
      <c r="G19" s="145">
        <f ca="1">ROUND(C19*$C$18+D19*$D$18,0)</f>
        <v>50596</v>
      </c>
      <c r="H19" s="2440" t="s">
        <v>2151</v>
      </c>
      <c r="I19" s="138"/>
      <c r="K19" s="2432" t="s">
        <v>2152</v>
      </c>
      <c r="L19" s="2432">
        <f>IF(C1="",'数据-汇总表'!D3,SUMIF(项目类型,C1,'数据-汇总表'!D17:D26)+SUMIF(项目类型,C1,'数据-汇总表'!H17:H27))</f>
        <v>16074.03</v>
      </c>
      <c r="M19" s="2432">
        <f>IF(C1="",'数据-汇总表'!D3,SUMIF(项目类型,C1,'数据-汇总表'!D17:D26))</f>
        <v>16074.03</v>
      </c>
    </row>
    <row r="20" spans="1:35" ht="15">
      <c r="A20" s="2441"/>
      <c r="B20" s="1250" t="s">
        <v>2153</v>
      </c>
      <c r="C20" s="146">
        <f ca="1">SUMIF(INDIRECT("'"&amp;C4&amp;"'"&amp;"!A:A"),结果表!B20,INDIRECT("'"&amp;C4&amp;"'"&amp;"!B:B"))</f>
        <v>14402</v>
      </c>
      <c r="D20" s="147">
        <f ca="1">SUMIF(INDIRECT("'"&amp;D4&amp;"'"&amp;"!A:A"),结果表!B20,INDIRECT("'"&amp;D4&amp;"'"&amp;"!B:B"))</f>
        <v>15067</v>
      </c>
      <c r="E20" s="2441"/>
      <c r="F20" s="1250" t="s">
        <v>2153</v>
      </c>
      <c r="G20" s="148">
        <f ca="1">ROUND(C20*$C$18+D20*$D$18,0)</f>
        <v>14735</v>
      </c>
      <c r="H20" s="983" t="s">
        <v>2154</v>
      </c>
      <c r="I20" s="138"/>
    </row>
    <row r="21" spans="1:35" ht="15" customHeight="1" thickBot="1">
      <c r="A21" s="1003"/>
      <c r="B21" s="2442" t="s">
        <v>2155</v>
      </c>
      <c r="C21" s="789">
        <f ca="1">ROUND(C19*10000/L19,0)</f>
        <v>30767</v>
      </c>
      <c r="D21" s="790">
        <f ca="1">ROUND(D19*10000/L19,0)</f>
        <v>32186</v>
      </c>
      <c r="E21" s="1003"/>
      <c r="F21" s="2442" t="s">
        <v>2155</v>
      </c>
      <c r="G21" s="149">
        <f ca="1">ROUND(G19*10000/L19,0)</f>
        <v>31477</v>
      </c>
      <c r="H21" s="2443" t="s">
        <v>2154</v>
      </c>
      <c r="I21" s="138"/>
    </row>
    <row r="22" spans="1:35" ht="15" thickBot="1">
      <c r="A22" s="2284" t="s">
        <v>2156</v>
      </c>
      <c r="B22" s="2444"/>
      <c r="C22" s="2445"/>
      <c r="D22" s="791">
        <f ca="1">IF(C19&lt;D19,D19/C19-1,C19/D19-1)</f>
        <v>4.6122737842483108E-2</v>
      </c>
      <c r="E22" s="138"/>
      <c r="F22" s="138"/>
      <c r="G22" s="138"/>
      <c r="H22" s="138"/>
      <c r="I22" s="138"/>
    </row>
    <row r="23" spans="1:35" ht="13.5" thickBot="1">
      <c r="A23" s="2422"/>
      <c r="B23" s="2422"/>
      <c r="C23" s="2422"/>
      <c r="D23" s="2422"/>
      <c r="E23" s="138"/>
      <c r="F23" s="138"/>
      <c r="G23" s="138"/>
      <c r="H23" s="138"/>
      <c r="I23" s="138"/>
    </row>
    <row r="24" spans="1:35" ht="14.25">
      <c r="A24" s="3121" t="s">
        <v>2157</v>
      </c>
      <c r="B24" s="2439" t="s">
        <v>2149</v>
      </c>
      <c r="C24" s="145">
        <f>IF(B30=0,0,D30)</f>
        <v>0</v>
      </c>
      <c r="D24" s="2446"/>
      <c r="E24" s="138"/>
      <c r="F24" s="138"/>
      <c r="G24" s="138"/>
      <c r="H24" s="138"/>
      <c r="I24" s="138"/>
    </row>
    <row r="25" spans="1:35" ht="14.25">
      <c r="A25" s="3122"/>
      <c r="B25" s="1250" t="s">
        <v>2153</v>
      </c>
      <c r="C25" s="150">
        <f>IF(B30=0,0,C30)</f>
        <v>0</v>
      </c>
      <c r="D25" s="2447"/>
      <c r="E25" s="138"/>
      <c r="F25" s="138"/>
      <c r="G25" s="138"/>
      <c r="H25" s="138"/>
      <c r="I25" s="138"/>
    </row>
    <row r="26" spans="1:35" ht="13.5" customHeight="1">
      <c r="A26" s="2448" t="s">
        <v>2158</v>
      </c>
      <c r="B26" s="151" t="s">
        <v>2159</v>
      </c>
      <c r="C26" s="151" t="s">
        <v>2160</v>
      </c>
      <c r="D26" s="152" t="s">
        <v>2161</v>
      </c>
      <c r="E26" s="138"/>
      <c r="F26" s="138"/>
      <c r="G26" s="138"/>
      <c r="H26" s="138"/>
      <c r="I26" s="138"/>
    </row>
    <row r="27" spans="1:35" ht="14.25">
      <c r="A27" s="2448"/>
      <c r="B27" s="151">
        <v>0</v>
      </c>
      <c r="C27" s="151">
        <v>0</v>
      </c>
      <c r="D27" s="152">
        <f>ROUND(C27*B27/10000,0)</f>
        <v>0</v>
      </c>
      <c r="E27" s="138"/>
      <c r="F27" s="138"/>
      <c r="G27" s="138"/>
      <c r="H27" s="138"/>
      <c r="I27" s="138"/>
    </row>
    <row r="28" spans="1:35" ht="14.25">
      <c r="A28" s="2448"/>
      <c r="B28" s="151"/>
      <c r="C28" s="151"/>
      <c r="D28" s="152"/>
      <c r="E28" s="138"/>
      <c r="F28" s="138"/>
      <c r="G28" s="138"/>
      <c r="H28" s="138"/>
      <c r="I28" s="138"/>
    </row>
    <row r="29" spans="1:35" ht="14.25">
      <c r="A29" s="2448"/>
      <c r="B29" s="151"/>
      <c r="C29" s="151"/>
      <c r="D29" s="152"/>
      <c r="E29" s="138"/>
      <c r="F29" s="138"/>
      <c r="G29" s="138"/>
      <c r="H29" s="138"/>
      <c r="I29" s="138"/>
    </row>
    <row r="30" spans="1:35" ht="14.25">
      <c r="A30" s="151" t="s">
        <v>2162</v>
      </c>
      <c r="B30" s="151"/>
      <c r="C30" s="151"/>
      <c r="D30" s="151"/>
      <c r="E30" s="2929" t="s">
        <v>3038</v>
      </c>
      <c r="F30" s="138"/>
      <c r="G30" s="138"/>
      <c r="H30" s="138"/>
      <c r="I30" s="138"/>
    </row>
    <row r="31" spans="1:35" s="2450" customFormat="1" ht="15" thickBot="1">
      <c r="A31" s="2449"/>
      <c r="B31" s="2449"/>
      <c r="C31" s="2449"/>
      <c r="D31" s="2449"/>
      <c r="E31" s="138"/>
      <c r="F31" s="138"/>
      <c r="G31" s="138"/>
      <c r="H31" s="138"/>
      <c r="I31" s="138"/>
      <c r="J31" s="795"/>
      <c r="K31" s="795"/>
      <c r="L31" s="795"/>
      <c r="M31" s="795"/>
      <c r="N31" s="795"/>
      <c r="O31" s="795"/>
      <c r="P31" s="795"/>
      <c r="Q31" s="795"/>
      <c r="R31" s="795"/>
      <c r="S31" s="795"/>
      <c r="T31" s="795"/>
      <c r="U31" s="795"/>
      <c r="V31" s="795"/>
      <c r="W31" s="795"/>
      <c r="X31" s="795"/>
      <c r="Y31" s="795"/>
      <c r="Z31" s="795"/>
      <c r="AA31" s="2427"/>
      <c r="AB31" s="2427"/>
      <c r="AC31" s="2427"/>
      <c r="AD31" s="2427"/>
      <c r="AE31" s="2427"/>
      <c r="AF31" s="2427"/>
      <c r="AG31" s="2427"/>
      <c r="AH31" s="2427"/>
      <c r="AI31" s="2427"/>
    </row>
    <row r="32" spans="1:35" ht="15.75" thickBot="1">
      <c r="A32" s="2451" t="s">
        <v>2163</v>
      </c>
      <c r="B32" s="2452"/>
      <c r="C32" s="153">
        <f ca="1">IF(D32="总价",G19-C24,G20-C25)</f>
        <v>50596</v>
      </c>
      <c r="D32" s="2453" t="s">
        <v>2164</v>
      </c>
      <c r="E32" s="138"/>
      <c r="F32" s="138"/>
      <c r="G32" s="138"/>
      <c r="H32" s="138"/>
      <c r="I32" s="138"/>
    </row>
    <row r="33" spans="1:15" ht="15">
      <c r="A33" s="960" t="s">
        <v>2165</v>
      </c>
      <c r="B33" s="2454"/>
      <c r="C33" s="2455" t="s">
        <v>4014</v>
      </c>
      <c r="D33" s="2456" t="s">
        <v>3866</v>
      </c>
      <c r="E33" s="2457" t="s">
        <v>2166</v>
      </c>
      <c r="F33" s="2458" t="str">
        <f>IF(D32="楼面单价","取值（单价）","取值（总价）")</f>
        <v>取值（总价）</v>
      </c>
      <c r="G33" s="138"/>
      <c r="H33" s="138"/>
      <c r="I33" s="138"/>
    </row>
    <row r="34" spans="1:15" ht="15">
      <c r="A34" s="2459"/>
      <c r="B34" s="2460" t="s">
        <v>2167</v>
      </c>
      <c r="C34" s="157">
        <f ca="1">IF(C33="自定义",F34,C32-C35)</f>
        <v>25855</v>
      </c>
      <c r="D34" s="1058">
        <f ca="1">IF(C33="自定义",ROUND(C34/C32,3),IF(C33="收益比率",SUMIF(INDIRECT("'"&amp;D33&amp;"'"&amp;"!b:b"),"土地收益比率",INDIRECT("'"&amp;D33&amp;"'"&amp;"!c:c")),SUMIF(INDIRECT("'"&amp;D33&amp;"'"&amp;"!b:b"),"土地成本比率",INDIRECT("'"&amp;D33&amp;"'"&amp;"!c:c"))))</f>
        <v>0.51100000000000001</v>
      </c>
      <c r="E34" s="2461" t="s">
        <v>2168</v>
      </c>
      <c r="F34" s="1738"/>
      <c r="G34" s="138"/>
      <c r="H34" s="138"/>
      <c r="I34" s="138"/>
    </row>
    <row r="35" spans="1:15" ht="15.75" thickBot="1">
      <c r="A35" s="2462"/>
      <c r="B35" s="2463" t="s">
        <v>2169</v>
      </c>
      <c r="C35" s="1444">
        <f ca="1">IF(C33="自定义",F35,ROUND(C32*D35,0))</f>
        <v>24741</v>
      </c>
      <c r="D35" s="1445">
        <f ca="1">IF(C33="自定义",ROUND(C35/C32,3),IF(C33="收益比率",SUMIF(INDIRECT("'"&amp;D33&amp;"'"&amp;"!b:b"),"建筑物收益比率",INDIRECT("'"&amp;D33&amp;"'"&amp;"!c:c")),SUMIF(INDIRECT("'"&amp;D33&amp;"'"&amp;"!b:b"),"建筑物成本比率",INDIRECT("'"&amp;D33&amp;"'"&amp;"!c:c"))))</f>
        <v>0.48899999999999999</v>
      </c>
      <c r="E35" s="2464" t="s">
        <v>2170</v>
      </c>
      <c r="F35" s="163"/>
      <c r="G35" s="138"/>
      <c r="H35" s="138"/>
      <c r="I35" s="138"/>
    </row>
    <row r="36" spans="1:15" ht="15.75" thickBot="1">
      <c r="A36" s="3139" t="s">
        <v>2171</v>
      </c>
      <c r="B36" s="2465" t="s">
        <v>2172</v>
      </c>
      <c r="C36" s="154"/>
      <c r="D36" s="2466"/>
      <c r="E36" s="2467"/>
      <c r="F36" s="2468"/>
      <c r="G36" s="138"/>
      <c r="H36" s="138"/>
      <c r="I36" s="138"/>
    </row>
    <row r="37" spans="1:15" ht="15.75" thickBot="1">
      <c r="A37" s="3140"/>
      <c r="B37" s="2270" t="s">
        <v>2173</v>
      </c>
      <c r="C37" s="156"/>
      <c r="D37" s="1395"/>
      <c r="E37" s="1395"/>
      <c r="F37" s="2468"/>
      <c r="G37" s="138"/>
      <c r="H37" s="138"/>
      <c r="I37" s="138"/>
    </row>
    <row r="38" spans="1:15" ht="15.75" thickBot="1">
      <c r="A38" s="3141"/>
      <c r="B38" s="2469" t="s">
        <v>2174</v>
      </c>
      <c r="C38" s="727"/>
      <c r="D38" s="2470" t="s">
        <v>2175</v>
      </c>
      <c r="E38" s="1395"/>
      <c r="F38" s="2468"/>
      <c r="G38" s="138"/>
      <c r="H38" s="138"/>
      <c r="I38" s="138"/>
    </row>
    <row r="39" spans="1:15" ht="15">
      <c r="A39" s="2441" t="s">
        <v>2176</v>
      </c>
      <c r="B39" s="2471" t="s">
        <v>2177</v>
      </c>
      <c r="C39" s="2472" t="s">
        <v>2178</v>
      </c>
      <c r="D39" s="2472" t="s">
        <v>2179</v>
      </c>
      <c r="E39" s="2473" t="s">
        <v>2180</v>
      </c>
      <c r="F39" s="2468"/>
      <c r="G39" s="138"/>
      <c r="H39" s="138"/>
      <c r="I39" s="138"/>
    </row>
    <row r="40" spans="1:15" ht="14.25">
      <c r="A40" s="2474" t="s">
        <v>2181</v>
      </c>
      <c r="B40" s="158"/>
      <c r="C40" s="159"/>
      <c r="D40" s="159"/>
      <c r="E40" s="160"/>
      <c r="F40" s="2468"/>
      <c r="G40" s="138"/>
      <c r="H40" s="138"/>
      <c r="I40" s="138"/>
    </row>
    <row r="41" spans="1:15" ht="14.25">
      <c r="A41" s="2474" t="s">
        <v>2182</v>
      </c>
      <c r="B41" s="158"/>
      <c r="C41" s="159"/>
      <c r="D41" s="159"/>
      <c r="E41" s="160"/>
      <c r="F41" s="2468"/>
      <c r="G41" s="138"/>
      <c r="H41" s="138"/>
      <c r="I41" s="138"/>
    </row>
    <row r="42" spans="1:15" ht="15" thickBot="1">
      <c r="A42" s="2475"/>
      <c r="B42" s="161"/>
      <c r="C42" s="162"/>
      <c r="D42" s="162"/>
      <c r="E42" s="163"/>
      <c r="F42" s="2468"/>
      <c r="G42" s="138"/>
      <c r="H42" s="138"/>
      <c r="I42" s="138"/>
    </row>
    <row r="43" spans="1:15" ht="12.75">
      <c r="A43" s="2168"/>
      <c r="B43" s="2168"/>
      <c r="C43" s="2168"/>
      <c r="D43" s="2168"/>
      <c r="E43" s="2168"/>
      <c r="F43" s="2476"/>
      <c r="G43" s="2476"/>
      <c r="H43" s="2476"/>
      <c r="I43" s="2477"/>
    </row>
    <row r="44" spans="1:15" ht="18.75">
      <c r="A44" s="2478" t="s">
        <v>2183</v>
      </c>
      <c r="B44" s="2479"/>
      <c r="C44" s="2479"/>
      <c r="D44" s="2480"/>
      <c r="E44" s="2480"/>
      <c r="F44" s="2481"/>
      <c r="G44" s="2481"/>
      <c r="H44" s="2481"/>
      <c r="I44" s="2481"/>
      <c r="J44" s="2482" t="s">
        <v>2184</v>
      </c>
      <c r="K44" s="2483"/>
      <c r="L44" s="2483"/>
      <c r="M44" s="2483"/>
      <c r="N44" s="2483"/>
      <c r="O44" s="2483"/>
    </row>
    <row r="45" spans="1:15" ht="14.25" customHeight="1" thickBot="1">
      <c r="A45" s="3118" t="s">
        <v>2185</v>
      </c>
      <c r="B45" s="3119"/>
      <c r="C45" s="3120"/>
      <c r="D45" s="164">
        <f ca="1">ROUND(H101*F45,0)</f>
        <v>50596</v>
      </c>
      <c r="E45" s="165" t="s">
        <v>2186</v>
      </c>
      <c r="F45" s="166">
        <v>1</v>
      </c>
      <c r="G45" s="167" t="s">
        <v>2187</v>
      </c>
      <c r="H45" s="138"/>
      <c r="I45" s="138"/>
      <c r="J45" s="3178" t="s">
        <v>2188</v>
      </c>
      <c r="K45" s="3178"/>
      <c r="L45" s="3178"/>
      <c r="M45" s="3178"/>
      <c r="N45" s="3178"/>
      <c r="O45" s="3178"/>
    </row>
    <row r="46" spans="1:15" ht="14.25" customHeight="1">
      <c r="A46" s="3115" t="s">
        <v>2189</v>
      </c>
      <c r="B46" s="3116"/>
      <c r="C46" s="3116"/>
      <c r="D46" s="3116"/>
      <c r="E46" s="3116"/>
      <c r="F46" s="3116"/>
      <c r="G46" s="3117"/>
      <c r="H46" s="2484"/>
      <c r="I46" s="168"/>
      <c r="J46" s="1811">
        <v>1</v>
      </c>
      <c r="K46" s="3178" t="s">
        <v>2190</v>
      </c>
      <c r="L46" s="3178"/>
      <c r="M46" s="3198"/>
      <c r="N46" s="3198"/>
      <c r="O46" s="3198"/>
    </row>
    <row r="47" spans="1:15" ht="12" customHeight="1">
      <c r="A47" s="169" t="s">
        <v>2191</v>
      </c>
      <c r="B47" s="170"/>
      <c r="C47" s="171"/>
      <c r="D47" s="172" t="s">
        <v>2192</v>
      </c>
      <c r="E47" s="24" t="s">
        <v>2193</v>
      </c>
      <c r="F47" s="173" t="s">
        <v>2194</v>
      </c>
      <c r="G47" s="174" t="s">
        <v>2195</v>
      </c>
      <c r="H47" s="2484"/>
      <c r="I47" s="168"/>
      <c r="J47" s="1811">
        <v>2</v>
      </c>
      <c r="K47" s="3178" t="s">
        <v>2196</v>
      </c>
      <c r="L47" s="3178"/>
      <c r="M47" s="3199">
        <f>'数据-取费表'!B2</f>
        <v>43689</v>
      </c>
      <c r="N47" s="3199"/>
      <c r="O47" s="3199"/>
    </row>
    <row r="48" spans="1:15" ht="25.5">
      <c r="A48" s="3146" t="s">
        <v>2197</v>
      </c>
      <c r="B48" s="3129"/>
      <c r="C48" s="3129"/>
      <c r="D48" s="140">
        <f>IF(H48="情况1",0,IF(H48="情况2",D52,IF(H48="情况3",D53,IF(H48="情况4",D54))))</f>
        <v>0</v>
      </c>
      <c r="E48" s="1800" t="str">
        <f>IF(H48="情况4","(销售额-原购置价)×税（费）率","销售额×税（费）率")</f>
        <v>销售额×税（费）率</v>
      </c>
      <c r="F48" s="175" t="str">
        <f>IF(H48="情况1","免征",'数据-取费表'!B41)</f>
        <v>免征</v>
      </c>
      <c r="G48" s="2485" t="s">
        <v>2198</v>
      </c>
      <c r="H48" s="2486" t="s">
        <v>2199</v>
      </c>
      <c r="I48" s="2484"/>
      <c r="J48" s="1811">
        <v>3</v>
      </c>
      <c r="K48" s="3178" t="s">
        <v>2200</v>
      </c>
      <c r="L48" s="3178"/>
      <c r="M48" s="3200">
        <f ca="1">H101</f>
        <v>50596</v>
      </c>
      <c r="N48" s="3200"/>
      <c r="O48" s="3200"/>
    </row>
    <row r="49" spans="1:35" ht="25.5" customHeight="1">
      <c r="A49" s="176" t="s">
        <v>2201</v>
      </c>
      <c r="B49" s="3114" t="s">
        <v>2202</v>
      </c>
      <c r="C49" s="3114"/>
      <c r="D49" s="177">
        <v>0</v>
      </c>
      <c r="E49" s="23" t="s">
        <v>2203</v>
      </c>
      <c r="F49" s="28" t="s">
        <v>34</v>
      </c>
      <c r="G49" s="3184"/>
      <c r="H49" s="138"/>
      <c r="I49" s="2487"/>
      <c r="J49" s="1811">
        <v>4</v>
      </c>
      <c r="K49" s="3178" t="str">
        <f>IF(项目基本情况!E8="房地产抵押价值","房地产抵押价值","抵押担保权已注销时的房地产抵押价值")</f>
        <v>抵押担保权已注销时的房地产抵押价值</v>
      </c>
      <c r="L49" s="3178"/>
      <c r="M49" s="3200" t="str">
        <f>IF(项目基本情况!E8="房地产抵押价值",H107,H109)</f>
        <v>——</v>
      </c>
      <c r="N49" s="3200"/>
      <c r="O49" s="3200"/>
    </row>
    <row r="50" spans="1:35" ht="25.5" customHeight="1">
      <c r="A50" s="178"/>
      <c r="B50" s="3114" t="s">
        <v>2204</v>
      </c>
      <c r="C50" s="3114"/>
      <c r="D50" s="179"/>
      <c r="E50" s="31"/>
      <c r="F50" s="180"/>
      <c r="G50" s="3185"/>
      <c r="H50" s="138"/>
      <c r="I50" s="2487"/>
      <c r="J50" s="3178" t="s">
        <v>2205</v>
      </c>
      <c r="K50" s="3178"/>
      <c r="L50" s="3178"/>
      <c r="M50" s="3178"/>
      <c r="N50" s="3178"/>
      <c r="O50" s="3178"/>
    </row>
    <row r="51" spans="1:35" ht="12" customHeight="1">
      <c r="A51" s="181"/>
      <c r="B51" s="3114" t="s">
        <v>2206</v>
      </c>
      <c r="C51" s="3114"/>
      <c r="D51" s="182"/>
      <c r="E51" s="30"/>
      <c r="F51" s="180"/>
      <c r="G51" s="3186"/>
      <c r="H51" s="138"/>
      <c r="I51" s="2487"/>
      <c r="J51" s="2488" t="s">
        <v>2207</v>
      </c>
      <c r="K51" s="3178" t="s">
        <v>2208</v>
      </c>
      <c r="L51" s="3178"/>
      <c r="M51" s="2488" t="s">
        <v>2209</v>
      </c>
      <c r="N51" s="2488" t="s">
        <v>2210</v>
      </c>
      <c r="O51" s="2488" t="s">
        <v>2211</v>
      </c>
    </row>
    <row r="52" spans="1:35" ht="24" customHeight="1">
      <c r="A52" s="183" t="s">
        <v>2212</v>
      </c>
      <c r="B52" s="3114" t="s">
        <v>2213</v>
      </c>
      <c r="C52" s="3114"/>
      <c r="D52" s="182">
        <f ca="1">ROUND(D45*'数据-取费表'!B41/(1+'数据-取费表'!C42),0)</f>
        <v>2698</v>
      </c>
      <c r="E52" s="11" t="s">
        <v>2214</v>
      </c>
      <c r="F52" s="184">
        <f>'数据-取费表'!B41</f>
        <v>5.6000000000000001E-2</v>
      </c>
      <c r="G52" s="2489"/>
      <c r="H52" s="138"/>
      <c r="I52" s="2487"/>
      <c r="J52" s="1811">
        <v>1</v>
      </c>
      <c r="K52" s="3179" t="s">
        <v>2215</v>
      </c>
      <c r="L52" s="3179"/>
      <c r="M52" s="1753">
        <f>D48</f>
        <v>0</v>
      </c>
      <c r="N52" s="1811" t="str">
        <f>E48</f>
        <v>销售额×税（费）率</v>
      </c>
      <c r="O52" s="1754" t="str">
        <f>F48</f>
        <v>免征</v>
      </c>
    </row>
    <row r="53" spans="1:35" ht="12" customHeight="1">
      <c r="A53" s="183" t="s">
        <v>2216</v>
      </c>
      <c r="B53" s="3137" t="s">
        <v>2217</v>
      </c>
      <c r="C53" s="3138"/>
      <c r="D53" s="182">
        <f ca="1">ROUND(D45*'数据-取费表'!B41/(1+'数据-取费表'!C42),0)</f>
        <v>2698</v>
      </c>
      <c r="E53" s="11" t="s">
        <v>2214</v>
      </c>
      <c r="F53" s="184">
        <f>'数据-取费表'!B41</f>
        <v>5.6000000000000001E-2</v>
      </c>
      <c r="G53" s="2489"/>
      <c r="H53" s="138"/>
      <c r="I53" s="2487"/>
      <c r="J53" s="1811">
        <v>2</v>
      </c>
      <c r="K53" s="3179" t="s">
        <v>2218</v>
      </c>
      <c r="L53" s="3179"/>
      <c r="M53" s="1753">
        <f t="shared" ref="M53:O54" ca="1" si="0">D55</f>
        <v>25</v>
      </c>
      <c r="N53" s="1811" t="str">
        <f t="shared" si="0"/>
        <v>销售额×税（费）率</v>
      </c>
      <c r="O53" s="1754">
        <f t="shared" si="0"/>
        <v>5.0000000000000001E-4</v>
      </c>
    </row>
    <row r="54" spans="1:35" ht="12" customHeight="1">
      <c r="A54" s="183" t="s">
        <v>2219</v>
      </c>
      <c r="B54" s="3137" t="s">
        <v>2220</v>
      </c>
      <c r="C54" s="3138"/>
      <c r="D54" s="182">
        <f ca="1">C68</f>
        <v>2698</v>
      </c>
      <c r="E54" s="30" t="s">
        <v>2221</v>
      </c>
      <c r="F54" s="184">
        <f>'数据-取费表'!B41</f>
        <v>5.6000000000000001E-2</v>
      </c>
      <c r="G54" s="2489"/>
      <c r="H54" s="2490"/>
      <c r="I54" s="2487"/>
      <c r="J54" s="1811">
        <v>3</v>
      </c>
      <c r="K54" s="3179" t="s">
        <v>2222</v>
      </c>
      <c r="L54" s="3179"/>
      <c r="M54" s="1753">
        <f t="shared" ca="1" si="0"/>
        <v>28638</v>
      </c>
      <c r="N54" s="1811" t="str">
        <f t="shared" si="0"/>
        <v>增值额×税（费）率</v>
      </c>
      <c r="O54" s="1755" t="str">
        <f t="shared" si="0"/>
        <v>——</v>
      </c>
    </row>
    <row r="55" spans="1:35" ht="24" customHeight="1">
      <c r="A55" s="3128" t="s">
        <v>2223</v>
      </c>
      <c r="B55" s="3129"/>
      <c r="C55" s="3129"/>
      <c r="D55" s="185">
        <f ca="1">IF(H55="个人住宅",0,ROUND(D45*I55,0))</f>
        <v>25</v>
      </c>
      <c r="E55" s="11" t="s">
        <v>2224</v>
      </c>
      <c r="F55" s="184">
        <f>IF(H55="正常",I55,"免征")</f>
        <v>5.0000000000000001E-4</v>
      </c>
      <c r="G55" s="2489"/>
      <c r="H55" s="2486" t="s">
        <v>2225</v>
      </c>
      <c r="I55" s="186">
        <f>'数据-取费表'!B49</f>
        <v>5.0000000000000001E-4</v>
      </c>
      <c r="J55" s="1811" t="str">
        <f>IF(H59="非个人房产","",4)</f>
        <v/>
      </c>
      <c r="K55" s="3179" t="str">
        <f>IF(H59="非个人房产","——","个人所得税")</f>
        <v>——</v>
      </c>
      <c r="L55" s="3179"/>
      <c r="M55" s="1756" t="str">
        <f>D59</f>
        <v>——</v>
      </c>
      <c r="N55" s="1809" t="str">
        <f>E59</f>
        <v>——</v>
      </c>
      <c r="O55" s="1757" t="str">
        <f>F59</f>
        <v>——</v>
      </c>
    </row>
    <row r="56" spans="1:35" ht="24.75">
      <c r="A56" s="3128" t="s">
        <v>2226</v>
      </c>
      <c r="B56" s="3129"/>
      <c r="C56" s="3129"/>
      <c r="D56" s="185">
        <f ca="1">IF(H56="个人住宅",D57,D58)</f>
        <v>28638</v>
      </c>
      <c r="E56" s="11" t="s">
        <v>2227</v>
      </c>
      <c r="F56" s="184" t="str">
        <f>IF(H56="正常",F58,"免征")</f>
        <v>——</v>
      </c>
      <c r="G56" s="2491" t="s">
        <v>2228</v>
      </c>
      <c r="H56" s="2492" t="s">
        <v>2225</v>
      </c>
      <c r="I56" s="2493"/>
      <c r="J56" s="1811" t="str">
        <f>IF(项目基本情况!K6="上海银行",IF(J55="",4,J55+1),"")</f>
        <v/>
      </c>
      <c r="K56" s="3202" t="str">
        <f>IF(项目基本情况!K6="上海银行","其他处置费用","")</f>
        <v/>
      </c>
      <c r="L56" s="3203"/>
      <c r="M56" s="1753" t="str">
        <f>IF(项目基本情况!K6="上海银行",M69,"")</f>
        <v/>
      </c>
      <c r="N56" s="3205" t="str">
        <f>IF(项目基本情况!K6="上海银行","包含处置中涉及的律师、诉讼、拍卖、评估等费用","")</f>
        <v/>
      </c>
      <c r="O56" s="3206"/>
    </row>
    <row r="57" spans="1:35" ht="12.75">
      <c r="A57" s="183" t="s">
        <v>2201</v>
      </c>
      <c r="B57" s="3144" t="s">
        <v>2229</v>
      </c>
      <c r="C57" s="3153"/>
      <c r="D57" s="187">
        <v>0</v>
      </c>
      <c r="E57" s="23" t="s">
        <v>2203</v>
      </c>
      <c r="F57" s="155"/>
      <c r="G57" s="2489"/>
      <c r="H57" s="2493"/>
      <c r="I57" s="2493"/>
      <c r="J57" s="3179">
        <f>IF(AND(J55="",J56=""),4,IF(项目基本情况!K6="上海银行",结果表!J56+1,结果表!J55+1))</f>
        <v>4</v>
      </c>
      <c r="K57" s="3179" t="s">
        <v>2230</v>
      </c>
      <c r="L57" s="2494" t="s">
        <v>2231</v>
      </c>
      <c r="M57" s="1758"/>
      <c r="N57" s="1759">
        <f ca="1">SUMIF(M52:M56,"&lt;9e307")</f>
        <v>28663</v>
      </c>
      <c r="O57" s="2495"/>
      <c r="P57" s="1752" t="e">
        <f ca="1">N57/M49</f>
        <v>#VALUE!</v>
      </c>
    </row>
    <row r="58" spans="1:35" ht="24.75">
      <c r="A58" s="183" t="s">
        <v>2212</v>
      </c>
      <c r="B58" s="3144" t="s">
        <v>2232</v>
      </c>
      <c r="C58" s="3145"/>
      <c r="D58" s="185">
        <f ca="1">IF(H58="转让取得",C81,C97)</f>
        <v>28638</v>
      </c>
      <c r="E58" s="11" t="s">
        <v>2227</v>
      </c>
      <c r="F58" s="24" t="s">
        <v>34</v>
      </c>
      <c r="G58" s="2489"/>
      <c r="H58" s="2492" t="s">
        <v>2233</v>
      </c>
      <c r="I58" s="2493"/>
      <c r="J58" s="3179"/>
      <c r="K58" s="3179"/>
      <c r="L58" s="2494" t="s">
        <v>2234</v>
      </c>
      <c r="M58" s="1760"/>
      <c r="N58" s="2496" t="str">
        <f ca="1">NUMBERSTRING(INT(N57*10000),2)&amp;"元整"</f>
        <v>贰亿捌仟陆佰陆拾叁万元整</v>
      </c>
      <c r="O58" s="2497"/>
    </row>
    <row r="59" spans="1:35" ht="24.75" thickBot="1">
      <c r="A59" s="3182" t="s">
        <v>2235</v>
      </c>
      <c r="B59" s="3183"/>
      <c r="C59" s="3183"/>
      <c r="D59" s="188" t="str">
        <f>IF(H59="非个人房产","——",IF(H59="个人住宅",0,ROUND(D45*I59,0)))</f>
        <v>——</v>
      </c>
      <c r="E59" s="189" t="str">
        <f>IF(H59="非个人房产","——","销售额×税（费）率")</f>
        <v>——</v>
      </c>
      <c r="F59" s="190" t="str">
        <f>IF(H59="非个人房产","——",IF(H59="个人住宅","免征",I59))</f>
        <v>——</v>
      </c>
      <c r="G59" s="2498" t="s">
        <v>2228</v>
      </c>
      <c r="H59" s="2492" t="s">
        <v>2236</v>
      </c>
      <c r="I59" s="191">
        <v>0.01</v>
      </c>
      <c r="J59" s="3180">
        <f>J57+1</f>
        <v>5</v>
      </c>
      <c r="K59" s="3179" t="s">
        <v>2237</v>
      </c>
      <c r="L59" s="1811" t="s">
        <v>2231</v>
      </c>
      <c r="M59" s="1761"/>
      <c r="N59" s="1762" t="e">
        <f ca="1">M49-N57</f>
        <v>#VALUE!</v>
      </c>
      <c r="O59" s="2499"/>
    </row>
    <row r="60" spans="1:35" ht="12" customHeight="1">
      <c r="A60" s="2500"/>
      <c r="B60" s="2422"/>
      <c r="C60" s="2422"/>
      <c r="D60" s="2422"/>
      <c r="E60" s="2169"/>
      <c r="F60" s="2493"/>
      <c r="G60" s="2493"/>
      <c r="H60" s="2501"/>
      <c r="I60" s="138"/>
      <c r="J60" s="3181"/>
      <c r="K60" s="3179"/>
      <c r="L60" s="2494" t="s">
        <v>2234</v>
      </c>
      <c r="M60" s="1760"/>
      <c r="N60" s="2496" t="e">
        <f ca="1">NUMBERSTRING(INT(N59*10000),2)&amp;"元整"</f>
        <v>#VALUE!</v>
      </c>
      <c r="O60" s="2497"/>
    </row>
    <row r="61" spans="1:35" ht="13.5" thickBot="1">
      <c r="A61" s="3126" t="s">
        <v>2238</v>
      </c>
      <c r="B61" s="3126"/>
      <c r="C61" s="3126"/>
      <c r="D61" s="3126"/>
      <c r="E61" s="3126"/>
      <c r="F61" s="2493"/>
      <c r="G61" s="2493"/>
      <c r="H61" s="2501"/>
      <c r="I61" s="138"/>
      <c r="J61" s="1811">
        <f>J59+1</f>
        <v>6</v>
      </c>
      <c r="K61" s="3179" t="s">
        <v>2239</v>
      </c>
      <c r="L61" s="3179"/>
      <c r="M61" s="1763"/>
      <c r="N61" s="1764" t="e">
        <f ca="1">ROUND(N59*10000/'数据-汇总表'!E3,0)</f>
        <v>#VALUE!</v>
      </c>
      <c r="O61" s="2502"/>
    </row>
    <row r="62" spans="1:35" ht="12.75">
      <c r="A62" s="3142" t="s">
        <v>2240</v>
      </c>
      <c r="B62" s="3143"/>
      <c r="C62" s="1803"/>
      <c r="D62" s="1803" t="s">
        <v>2241</v>
      </c>
      <c r="E62" s="192" t="s">
        <v>2242</v>
      </c>
      <c r="F62" s="2493"/>
      <c r="G62" s="2493"/>
      <c r="H62" s="2501"/>
      <c r="I62" s="138"/>
    </row>
    <row r="63" spans="1:35" ht="12.75">
      <c r="A63" s="203" t="s">
        <v>775</v>
      </c>
      <c r="B63" s="193" t="s">
        <v>2243</v>
      </c>
      <c r="C63" s="194">
        <f ca="1">ROUND((C64+C65)/(1+'数据-取费表'!C42),0)</f>
        <v>48187</v>
      </c>
      <c r="D63" s="195"/>
      <c r="E63" s="196"/>
      <c r="F63" s="2493"/>
      <c r="G63" s="2493"/>
      <c r="H63" s="2501"/>
      <c r="I63" s="138"/>
      <c r="J63" s="3204" t="s">
        <v>2244</v>
      </c>
      <c r="K63" s="2503" t="s">
        <v>2245</v>
      </c>
      <c r="L63" s="1751" t="e">
        <f>IF(M49&gt;10000,M49*0.5%,IF(AND(M49&gt;1000,M49&lt;=10000),M49*1%,IF(AND(M49&gt;100,M49&lt;=1000),M49*3%,IF(AND(M49&gt;10,M49&lt;=100),M49*5%,M49*8%))))</f>
        <v>#VALUE!</v>
      </c>
      <c r="M63" s="24" t="e">
        <f>ROUND(L63,1)</f>
        <v>#VALUE!</v>
      </c>
      <c r="Z63" s="2427"/>
      <c r="AI63" s="2428"/>
    </row>
    <row r="64" spans="1:35" ht="14.25" customHeight="1">
      <c r="A64" s="197" t="s">
        <v>770</v>
      </c>
      <c r="B64" s="198" t="s">
        <v>2246</v>
      </c>
      <c r="C64" s="199">
        <f ca="1">D45</f>
        <v>50596</v>
      </c>
      <c r="D64" s="200" t="s">
        <v>32</v>
      </c>
      <c r="E64" s="201"/>
      <c r="F64" s="2493"/>
      <c r="G64" s="2493"/>
      <c r="H64" s="2501"/>
      <c r="I64" s="138"/>
      <c r="J64" s="3204"/>
      <c r="K64" s="2503" t="s">
        <v>2247</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2248</v>
      </c>
      <c r="Z64" s="2427"/>
      <c r="AI64" s="2428"/>
    </row>
    <row r="65" spans="1:35" ht="14.25" customHeight="1">
      <c r="A65" s="197" t="s">
        <v>771</v>
      </c>
      <c r="B65" s="198" t="s">
        <v>2249</v>
      </c>
      <c r="C65" s="202"/>
      <c r="D65" s="200"/>
      <c r="E65" s="201"/>
      <c r="F65" s="2493"/>
      <c r="G65" s="2493"/>
      <c r="H65" s="2501"/>
      <c r="I65" s="138"/>
      <c r="J65" s="3204"/>
      <c r="K65" s="2503" t="s">
        <v>2250</v>
      </c>
      <c r="L65" s="1751" t="e">
        <f>IF(M49&gt;1000,M49*0.1%,IF(AND(M49&gt;500,M49&lt;=1000),M49*0.5%,IF(AND(M49&gt;50,M49&lt;=500),M49*1%,IF(AND(M49&gt;1,M49&lt;=50),M49*1.5%))))</f>
        <v>#VALUE!</v>
      </c>
      <c r="M65" s="24" t="e">
        <f t="shared" si="1"/>
        <v>#VALUE!</v>
      </c>
      <c r="N65" s="138" t="s">
        <v>2248</v>
      </c>
      <c r="Z65" s="2427"/>
      <c r="AI65" s="2428"/>
    </row>
    <row r="66" spans="1:35" ht="14.25" customHeight="1">
      <c r="A66" s="203" t="s">
        <v>772</v>
      </c>
      <c r="B66" s="204" t="s">
        <v>2251</v>
      </c>
      <c r="C66" s="205"/>
      <c r="D66" s="206" t="s">
        <v>32</v>
      </c>
      <c r="E66" s="1775" t="s">
        <v>1367</v>
      </c>
      <c r="F66" s="2493"/>
      <c r="G66" s="2493"/>
      <c r="H66" s="2501"/>
      <c r="I66" s="138"/>
      <c r="J66" s="3204"/>
      <c r="K66" s="2503" t="s">
        <v>2252</v>
      </c>
      <c r="L66" s="1751" t="e">
        <f>M49*0.5%</f>
        <v>#VALUE!</v>
      </c>
      <c r="M66" s="24" t="e">
        <f>IF(L66&gt;0.5,0.5,ROUND(L66,0))</f>
        <v>#VALUE!</v>
      </c>
      <c r="N66" s="138" t="s">
        <v>2253</v>
      </c>
      <c r="Z66" s="2427"/>
      <c r="AI66" s="2428"/>
    </row>
    <row r="67" spans="1:35" ht="14.25" customHeight="1">
      <c r="A67" s="203" t="s">
        <v>773</v>
      </c>
      <c r="B67" s="204" t="s">
        <v>2254</v>
      </c>
      <c r="C67" s="207">
        <f ca="1">C63-C66</f>
        <v>48187</v>
      </c>
      <c r="D67" s="200" t="s">
        <v>32</v>
      </c>
      <c r="E67" s="201"/>
      <c r="F67" s="2493"/>
      <c r="G67" s="2493"/>
      <c r="H67" s="2501"/>
      <c r="I67" s="138"/>
      <c r="J67" s="3204"/>
      <c r="K67" s="2503" t="s">
        <v>2255</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7"/>
      <c r="AI67" s="2428"/>
    </row>
    <row r="68" spans="1:35" ht="14.25" customHeight="1" thickBot="1">
      <c r="A68" s="208" t="s">
        <v>774</v>
      </c>
      <c r="B68" s="209" t="s">
        <v>2256</v>
      </c>
      <c r="C68" s="210">
        <f ca="1">IF(C67&lt;=0,0,ROUND(C67*D68,0))</f>
        <v>2698</v>
      </c>
      <c r="D68" s="211">
        <f>'数据-取费表'!B41</f>
        <v>5.6000000000000001E-2</v>
      </c>
      <c r="E68" s="212"/>
      <c r="F68" s="2493"/>
      <c r="G68" s="2493"/>
      <c r="H68" s="2501"/>
      <c r="I68" s="138"/>
      <c r="J68" s="3204"/>
      <c r="K68" s="2503" t="s">
        <v>2257</v>
      </c>
      <c r="L68" s="1751" t="e">
        <f>IF(M49&gt;10000,M49*0.5%,IF(AND(M49&gt;5000,M49&lt;=10000),M49*1%,IF(AND(M49&gt;1000,M49&lt;=5000),M49*2%,IF(AND(M49&gt;200,M49&lt;=1000),M49*3%,M49*5%))))</f>
        <v>#VALUE!</v>
      </c>
      <c r="M68" s="24" t="e">
        <f>ROUND(L68,1)</f>
        <v>#VALUE!</v>
      </c>
      <c r="Z68" s="2427"/>
      <c r="AI68" s="2428"/>
    </row>
    <row r="69" spans="1:35" s="2450" customFormat="1" ht="16.5" customHeight="1">
      <c r="A69" s="2504"/>
      <c r="B69" s="2505"/>
      <c r="C69" s="2506"/>
      <c r="D69" s="2507"/>
      <c r="E69" s="2508"/>
      <c r="F69" s="2169"/>
      <c r="G69" s="2169"/>
      <c r="H69" s="2168"/>
      <c r="I69" s="2422"/>
      <c r="J69" s="3204"/>
      <c r="K69" s="2503" t="s">
        <v>2258</v>
      </c>
      <c r="L69" s="2509"/>
      <c r="M69" s="24" t="e">
        <f>ROUND(SUM(M63:M68),0)</f>
        <v>#VALUE!</v>
      </c>
      <c r="N69" s="1752" t="e">
        <f>M69/M49</f>
        <v>#VALUE!</v>
      </c>
      <c r="O69" s="795"/>
      <c r="P69" s="795"/>
      <c r="Q69" s="795"/>
      <c r="R69" s="795"/>
      <c r="S69" s="795"/>
      <c r="T69" s="795"/>
      <c r="U69" s="795"/>
      <c r="V69" s="795"/>
      <c r="W69" s="795"/>
      <c r="X69" s="795"/>
      <c r="Y69" s="795"/>
      <c r="Z69" s="2427"/>
      <c r="AA69" s="2427"/>
      <c r="AB69" s="2427"/>
      <c r="AC69" s="2427"/>
      <c r="AD69" s="2427"/>
      <c r="AE69" s="2427"/>
      <c r="AF69" s="2427"/>
      <c r="AG69" s="2427"/>
      <c r="AH69" s="2427"/>
    </row>
    <row r="70" spans="1:35" s="2511" customFormat="1" ht="15" thickBot="1">
      <c r="A70" s="3163" t="s">
        <v>2259</v>
      </c>
      <c r="B70" s="3164"/>
      <c r="C70" s="3164"/>
      <c r="D70" s="3164"/>
      <c r="E70" s="3164"/>
      <c r="F70" s="3164"/>
      <c r="G70" s="3164"/>
      <c r="H70" s="3164"/>
      <c r="I70" s="2510"/>
      <c r="N70" s="2512"/>
      <c r="O70" s="2512"/>
      <c r="P70" s="2512"/>
      <c r="Q70" s="2512"/>
      <c r="R70" s="2512"/>
      <c r="S70" s="2512"/>
      <c r="T70" s="2512"/>
      <c r="U70" s="2512"/>
      <c r="V70" s="2512"/>
      <c r="W70" s="2512"/>
      <c r="X70" s="2512"/>
      <c r="Y70" s="2512"/>
      <c r="Z70" s="2512"/>
      <c r="AA70" s="2513"/>
      <c r="AB70" s="2513"/>
      <c r="AC70" s="2513"/>
      <c r="AD70" s="2513"/>
      <c r="AE70" s="2513"/>
      <c r="AF70" s="2513"/>
      <c r="AG70" s="2513"/>
      <c r="AH70" s="2513"/>
      <c r="AI70" s="2513"/>
    </row>
    <row r="71" spans="1:35" s="2511" customFormat="1" ht="14.25">
      <c r="A71" s="3142" t="s">
        <v>2240</v>
      </c>
      <c r="B71" s="3143"/>
      <c r="C71" s="1803"/>
      <c r="D71" s="1803" t="s">
        <v>2241</v>
      </c>
      <c r="E71" s="213" t="s">
        <v>2242</v>
      </c>
      <c r="F71" s="214"/>
      <c r="G71" s="214"/>
      <c r="H71" s="215"/>
      <c r="I71" s="2514"/>
      <c r="N71" s="2512"/>
      <c r="O71" s="2512"/>
      <c r="P71" s="2512"/>
      <c r="Q71" s="2512"/>
      <c r="R71" s="2512"/>
      <c r="S71" s="2512"/>
      <c r="T71" s="2512"/>
      <c r="U71" s="2512"/>
      <c r="V71" s="2512"/>
      <c r="W71" s="2512"/>
      <c r="X71" s="2512"/>
      <c r="Y71" s="2512"/>
      <c r="Z71" s="2512"/>
      <c r="AA71" s="2513"/>
      <c r="AB71" s="2513"/>
      <c r="AC71" s="2513"/>
      <c r="AD71" s="2513"/>
      <c r="AE71" s="2513"/>
      <c r="AF71" s="2513"/>
      <c r="AG71" s="2513"/>
      <c r="AH71" s="2513"/>
      <c r="AI71" s="2513"/>
    </row>
    <row r="72" spans="1:35" s="2511" customFormat="1" ht="14.25">
      <c r="A72" s="203" t="s">
        <v>775</v>
      </c>
      <c r="B72" s="204" t="s">
        <v>2260</v>
      </c>
      <c r="C72" s="207">
        <f ca="1">ROUND(D45/(1+'数据-取费表'!C42),0)</f>
        <v>48187</v>
      </c>
      <c r="D72" s="200" t="s">
        <v>32</v>
      </c>
      <c r="E72" s="1802"/>
      <c r="F72" s="1796"/>
      <c r="G72" s="1796"/>
      <c r="H72" s="216"/>
      <c r="I72" s="2514"/>
      <c r="N72" s="2512"/>
      <c r="O72" s="2512"/>
      <c r="P72" s="2512"/>
      <c r="Q72" s="2512"/>
      <c r="R72" s="2512"/>
      <c r="S72" s="2512"/>
      <c r="T72" s="2512"/>
      <c r="U72" s="2512"/>
      <c r="V72" s="2512"/>
      <c r="W72" s="2512"/>
      <c r="X72" s="2512"/>
      <c r="Y72" s="2512"/>
      <c r="Z72" s="2512"/>
      <c r="AA72" s="2513"/>
      <c r="AB72" s="2513"/>
      <c r="AC72" s="2513"/>
      <c r="AD72" s="2513"/>
      <c r="AE72" s="2513"/>
      <c r="AF72" s="2513"/>
      <c r="AG72" s="2513"/>
      <c r="AH72" s="2513"/>
      <c r="AI72" s="2513"/>
    </row>
    <row r="73" spans="1:35" s="2511" customFormat="1" ht="14.25">
      <c r="A73" s="203" t="s">
        <v>772</v>
      </c>
      <c r="B73" s="173" t="s">
        <v>2261</v>
      </c>
      <c r="C73" s="207">
        <f ca="1">C74+C78</f>
        <v>289</v>
      </c>
      <c r="D73" s="200" t="s">
        <v>32</v>
      </c>
      <c r="E73" s="1802"/>
      <c r="F73" s="1796"/>
      <c r="G73" s="1796"/>
      <c r="H73" s="216"/>
      <c r="I73" s="2514"/>
      <c r="J73" s="2512"/>
      <c r="K73" s="2512"/>
      <c r="L73" s="2512"/>
      <c r="M73" s="2512"/>
      <c r="N73" s="2512"/>
      <c r="O73" s="2512"/>
      <c r="P73" s="2512"/>
      <c r="Q73" s="2512"/>
      <c r="R73" s="2512"/>
      <c r="S73" s="2512"/>
      <c r="T73" s="2512"/>
      <c r="U73" s="2512"/>
      <c r="V73" s="2512"/>
      <c r="W73" s="2512"/>
      <c r="X73" s="2512"/>
      <c r="Y73" s="2512"/>
      <c r="Z73" s="2512"/>
      <c r="AA73" s="2513"/>
      <c r="AB73" s="2513"/>
      <c r="AC73" s="2513"/>
      <c r="AD73" s="2513"/>
      <c r="AE73" s="2513"/>
      <c r="AF73" s="2513"/>
      <c r="AG73" s="2513"/>
      <c r="AH73" s="2513"/>
      <c r="AI73" s="2513"/>
    </row>
    <row r="74" spans="1:35" s="2511" customFormat="1" ht="24">
      <c r="A74" s="217" t="s">
        <v>770</v>
      </c>
      <c r="B74" s="198" t="s">
        <v>2262</v>
      </c>
      <c r="C74" s="200">
        <f>ROUND(IF(G77="2016年5月1日后购买",C75/(1+'数据-取费表'!C42)+C76+C77,C75+C76+C77),0)</f>
        <v>0</v>
      </c>
      <c r="D74" s="200" t="s">
        <v>32</v>
      </c>
      <c r="E74" s="1802"/>
      <c r="F74" s="1796"/>
      <c r="G74" s="1796"/>
      <c r="H74" s="216"/>
      <c r="I74" s="2514"/>
      <c r="J74" s="2512"/>
      <c r="K74" s="2512"/>
      <c r="L74" s="2512"/>
      <c r="M74" s="2512"/>
      <c r="N74" s="2512"/>
      <c r="O74" s="2512"/>
      <c r="P74" s="2512"/>
      <c r="Q74" s="2512"/>
      <c r="R74" s="2512"/>
      <c r="S74" s="2512"/>
      <c r="T74" s="2512"/>
      <c r="U74" s="2512"/>
      <c r="V74" s="2512"/>
      <c r="W74" s="2512"/>
      <c r="X74" s="2512"/>
      <c r="Y74" s="2512"/>
      <c r="Z74" s="2512"/>
      <c r="AA74" s="2513"/>
      <c r="AB74" s="2513"/>
      <c r="AC74" s="2513"/>
      <c r="AD74" s="2513"/>
      <c r="AE74" s="2513"/>
      <c r="AF74" s="2513"/>
      <c r="AG74" s="2513"/>
      <c r="AH74" s="2513"/>
      <c r="AI74" s="2513"/>
    </row>
    <row r="75" spans="1:35" s="2511" customFormat="1" ht="14.25">
      <c r="A75" s="217" t="s">
        <v>776</v>
      </c>
      <c r="B75" s="198" t="s">
        <v>2263</v>
      </c>
      <c r="C75" s="218"/>
      <c r="D75" s="200" t="s">
        <v>32</v>
      </c>
      <c r="E75" s="219" t="s">
        <v>2264</v>
      </c>
      <c r="F75" s="2515" t="s">
        <v>2265</v>
      </c>
      <c r="G75" s="219" t="s">
        <v>2266</v>
      </c>
      <c r="H75" s="220"/>
      <c r="I75" s="2516"/>
      <c r="J75" s="2512"/>
      <c r="K75" s="2512"/>
      <c r="L75" s="2512"/>
      <c r="M75" s="2512"/>
      <c r="N75" s="2512"/>
      <c r="O75" s="2512"/>
      <c r="P75" s="2512"/>
      <c r="Q75" s="2512"/>
      <c r="R75" s="2512"/>
      <c r="S75" s="2512"/>
      <c r="T75" s="2512"/>
      <c r="U75" s="2512"/>
      <c r="V75" s="2512"/>
      <c r="W75" s="2512"/>
      <c r="X75" s="2512"/>
      <c r="Y75" s="2512"/>
      <c r="Z75" s="2512"/>
      <c r="AA75" s="2513"/>
      <c r="AB75" s="2513"/>
      <c r="AC75" s="2513"/>
      <c r="AD75" s="2513"/>
      <c r="AE75" s="2513"/>
      <c r="AF75" s="2513"/>
      <c r="AG75" s="2513"/>
      <c r="AH75" s="2513"/>
      <c r="AI75" s="2513"/>
    </row>
    <row r="76" spans="1:35" s="2511" customFormat="1" ht="24.75" customHeight="1">
      <c r="A76" s="217" t="s">
        <v>777</v>
      </c>
      <c r="B76" s="221" t="s">
        <v>2267</v>
      </c>
      <c r="C76" s="200">
        <f>IF(F75="购房发票",ROUND(C75*H75*D76,0),0)</f>
        <v>0</v>
      </c>
      <c r="D76" s="222">
        <v>0.05</v>
      </c>
      <c r="E76" s="3137" t="s">
        <v>2268</v>
      </c>
      <c r="F76" s="3114"/>
      <c r="G76" s="3114"/>
      <c r="H76" s="3162"/>
      <c r="I76" s="2514"/>
      <c r="J76" s="2512"/>
      <c r="K76" s="2512"/>
      <c r="L76" s="2512"/>
      <c r="M76" s="2512"/>
      <c r="N76" s="2512"/>
      <c r="O76" s="2512"/>
      <c r="P76" s="2512"/>
      <c r="Q76" s="2512"/>
      <c r="R76" s="2512"/>
      <c r="S76" s="2512"/>
      <c r="T76" s="2512"/>
      <c r="U76" s="2512"/>
      <c r="V76" s="2512"/>
      <c r="W76" s="2512"/>
      <c r="X76" s="2512"/>
      <c r="Y76" s="2512"/>
      <c r="Z76" s="2512"/>
      <c r="AA76" s="2513"/>
      <c r="AB76" s="2513"/>
      <c r="AC76" s="2513"/>
      <c r="AD76" s="2513"/>
      <c r="AE76" s="2513"/>
      <c r="AF76" s="2513"/>
      <c r="AG76" s="2513"/>
      <c r="AH76" s="2513"/>
      <c r="AI76" s="2513"/>
    </row>
    <row r="77" spans="1:35" s="2511" customFormat="1" ht="24.75" customHeight="1">
      <c r="A77" s="217" t="s">
        <v>778</v>
      </c>
      <c r="B77" s="198" t="s">
        <v>2269</v>
      </c>
      <c r="C77" s="200">
        <f>ROUND(IF(G77="个人住宅",0,IF(G77="2016年5月1日前购买",C75*D77,C75*D77/(1+'数据-取费表'!C42))),0)</f>
        <v>0</v>
      </c>
      <c r="D77" s="223">
        <f>'数据-取费表'!B48+'数据-取费表'!B49</f>
        <v>4.0500000000000001E-2</v>
      </c>
      <c r="E77" s="15" t="s">
        <v>2270</v>
      </c>
      <c r="F77" s="224"/>
      <c r="G77" s="2517" t="s">
        <v>2271</v>
      </c>
      <c r="H77" s="1807" t="str">
        <f>IF(G77="个人买卖住房","免征印花税"," ")</f>
        <v xml:space="preserve"> </v>
      </c>
      <c r="I77" s="2514"/>
      <c r="J77" s="2512"/>
      <c r="K77" s="2512"/>
      <c r="L77" s="2512"/>
      <c r="M77" s="2512"/>
      <c r="N77" s="2512"/>
      <c r="O77" s="2512"/>
      <c r="P77" s="2512"/>
      <c r="Q77" s="2512"/>
      <c r="R77" s="2512"/>
      <c r="S77" s="2512"/>
      <c r="T77" s="2512"/>
      <c r="U77" s="2512"/>
      <c r="V77" s="2512"/>
      <c r="W77" s="2512"/>
      <c r="X77" s="2512"/>
      <c r="Y77" s="2512"/>
      <c r="Z77" s="2512"/>
      <c r="AA77" s="2513"/>
      <c r="AB77" s="2513"/>
      <c r="AC77" s="2513"/>
      <c r="AD77" s="2513"/>
      <c r="AE77" s="2513"/>
      <c r="AF77" s="2513"/>
      <c r="AG77" s="2513"/>
      <c r="AH77" s="2513"/>
      <c r="AI77" s="2513"/>
    </row>
    <row r="78" spans="1:35" s="2511" customFormat="1" ht="24.75" customHeight="1">
      <c r="A78" s="217" t="s">
        <v>771</v>
      </c>
      <c r="B78" s="198" t="s">
        <v>2272</v>
      </c>
      <c r="C78" s="225">
        <f ca="1">ROUND(D45*D78/(1+'数据-取费表'!C42),0)</f>
        <v>289</v>
      </c>
      <c r="D78" s="226">
        <f>'数据-取费表'!B43</f>
        <v>6.000000000000001E-3</v>
      </c>
      <c r="E78" s="3123" t="s">
        <v>2273</v>
      </c>
      <c r="F78" s="3124"/>
      <c r="G78" s="3124"/>
      <c r="H78" s="3133"/>
      <c r="I78" s="2518"/>
      <c r="J78" s="2512"/>
      <c r="K78" s="2512"/>
      <c r="L78" s="2512"/>
      <c r="M78" s="2512"/>
      <c r="N78" s="2512"/>
      <c r="O78" s="2512"/>
      <c r="P78" s="2512"/>
      <c r="Q78" s="2512"/>
      <c r="R78" s="2512"/>
      <c r="S78" s="2512"/>
      <c r="T78" s="2512"/>
      <c r="U78" s="2512"/>
      <c r="V78" s="2512"/>
      <c r="W78" s="2512"/>
      <c r="X78" s="2512"/>
      <c r="Y78" s="2512"/>
      <c r="Z78" s="2512"/>
      <c r="AA78" s="2513"/>
      <c r="AB78" s="2513"/>
      <c r="AC78" s="2513"/>
      <c r="AD78" s="2513"/>
      <c r="AE78" s="2513"/>
      <c r="AF78" s="2513"/>
      <c r="AG78" s="2513"/>
      <c r="AH78" s="2513"/>
      <c r="AI78" s="2513"/>
    </row>
    <row r="79" spans="1:35" s="2511" customFormat="1" ht="14.25">
      <c r="A79" s="2519" t="s">
        <v>779</v>
      </c>
      <c r="B79" s="204" t="s">
        <v>2274</v>
      </c>
      <c r="C79" s="207">
        <f ca="1">C72-C73</f>
        <v>47898</v>
      </c>
      <c r="D79" s="200" t="s">
        <v>32</v>
      </c>
      <c r="E79" s="1802"/>
      <c r="F79" s="1796"/>
      <c r="G79" s="1796"/>
      <c r="H79" s="216"/>
      <c r="I79" s="2514"/>
      <c r="J79" s="2512"/>
      <c r="K79" s="2512"/>
      <c r="L79" s="2512"/>
      <c r="M79" s="2512"/>
      <c r="N79" s="2512"/>
      <c r="O79" s="2512"/>
      <c r="P79" s="2512"/>
      <c r="Q79" s="2512"/>
      <c r="R79" s="2512"/>
      <c r="S79" s="2512"/>
      <c r="T79" s="2512"/>
      <c r="U79" s="2512"/>
      <c r="V79" s="2512"/>
      <c r="W79" s="2512"/>
      <c r="X79" s="2512"/>
      <c r="Y79" s="2512"/>
      <c r="Z79" s="2512"/>
      <c r="AA79" s="2513"/>
      <c r="AB79" s="2513"/>
      <c r="AC79" s="2513"/>
      <c r="AD79" s="2513"/>
      <c r="AE79" s="2513"/>
      <c r="AF79" s="2513"/>
      <c r="AG79" s="2513"/>
      <c r="AH79" s="2513"/>
      <c r="AI79" s="2513"/>
    </row>
    <row r="80" spans="1:35" s="2511" customFormat="1" ht="24">
      <c r="A80" s="2519" t="s">
        <v>780</v>
      </c>
      <c r="B80" s="204" t="s">
        <v>2275</v>
      </c>
      <c r="C80" s="227">
        <f ca="1">IF(C79&lt;=0,0,C79/C73)</f>
        <v>165.73702422145328</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4"/>
      <c r="J80" s="2512"/>
      <c r="K80" s="2512"/>
      <c r="L80" s="2512"/>
      <c r="M80" s="2512"/>
      <c r="N80" s="2512"/>
      <c r="O80" s="2512"/>
      <c r="P80" s="2512"/>
      <c r="Q80" s="2512"/>
      <c r="R80" s="2512"/>
      <c r="S80" s="2512"/>
      <c r="T80" s="2512"/>
      <c r="U80" s="2512"/>
      <c r="V80" s="2512"/>
      <c r="W80" s="2512"/>
      <c r="X80" s="2512"/>
      <c r="Y80" s="2512"/>
      <c r="Z80" s="2512"/>
      <c r="AA80" s="2513"/>
      <c r="AB80" s="2513"/>
      <c r="AC80" s="2513"/>
      <c r="AD80" s="2513"/>
      <c r="AE80" s="2513"/>
      <c r="AF80" s="2513"/>
      <c r="AG80" s="2513"/>
      <c r="AH80" s="2513"/>
      <c r="AI80" s="2513"/>
    </row>
    <row r="81" spans="1:35" s="2511" customFormat="1" ht="24.75" thickBot="1">
      <c r="A81" s="2520" t="s">
        <v>781</v>
      </c>
      <c r="B81" s="209" t="s">
        <v>2276</v>
      </c>
      <c r="C81" s="228">
        <f ca="1">ROUND(IF(C79&lt;=0,0,IF(C80&gt;=200%,C79*60%-C73*35%,IF(C80&gt;=100%,C79*50%-C73*15%,IF(C80&gt;=50%,C79*40%-C73*5%,IF(C80&lt;50%,C79*30%,0))))),0)</f>
        <v>28638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4"/>
      <c r="J81" s="2512"/>
      <c r="K81" s="2512"/>
      <c r="L81" s="2512"/>
      <c r="M81" s="2512"/>
      <c r="N81" s="2512"/>
      <c r="O81" s="2512"/>
      <c r="P81" s="2512"/>
      <c r="Q81" s="2512"/>
      <c r="R81" s="2512"/>
      <c r="S81" s="2512"/>
      <c r="T81" s="2512"/>
      <c r="U81" s="2512"/>
      <c r="V81" s="2512"/>
      <c r="W81" s="2512"/>
      <c r="X81" s="2512"/>
      <c r="Y81" s="2512"/>
      <c r="Z81" s="2512"/>
      <c r="AA81" s="2513"/>
      <c r="AB81" s="2513"/>
      <c r="AC81" s="2513"/>
      <c r="AD81" s="2513"/>
      <c r="AE81" s="2513"/>
      <c r="AF81" s="2513"/>
      <c r="AG81" s="2513"/>
      <c r="AH81" s="2513"/>
      <c r="AI81" s="2513"/>
    </row>
    <row r="82" spans="1:35" s="2511" customFormat="1" ht="7.5" customHeight="1">
      <c r="A82" s="733"/>
      <c r="B82" s="734"/>
      <c r="C82" s="7"/>
      <c r="D82" s="7"/>
      <c r="E82" s="734"/>
      <c r="F82" s="734"/>
      <c r="G82" s="734"/>
      <c r="H82" s="735"/>
      <c r="I82" s="2518"/>
      <c r="J82" s="2512"/>
      <c r="K82" s="2512"/>
      <c r="L82" s="2512"/>
      <c r="M82" s="2512"/>
      <c r="N82" s="2512"/>
      <c r="O82" s="2512"/>
      <c r="P82" s="2512"/>
      <c r="Q82" s="2512"/>
      <c r="R82" s="2512"/>
      <c r="S82" s="2512"/>
      <c r="T82" s="2512"/>
      <c r="U82" s="2512"/>
      <c r="V82" s="2512"/>
      <c r="W82" s="2512"/>
      <c r="X82" s="2512"/>
      <c r="Y82" s="2512"/>
      <c r="Z82" s="2512"/>
      <c r="AA82" s="2513"/>
      <c r="AB82" s="2513"/>
      <c r="AC82" s="2513"/>
      <c r="AD82" s="2513"/>
      <c r="AE82" s="2513"/>
      <c r="AF82" s="2513"/>
      <c r="AG82" s="2513"/>
      <c r="AH82" s="2513"/>
      <c r="AI82" s="2513"/>
    </row>
    <row r="83" spans="1:35" s="2511" customFormat="1" ht="15" thickBot="1">
      <c r="A83" s="3163" t="s">
        <v>2277</v>
      </c>
      <c r="B83" s="3164"/>
      <c r="C83" s="3164"/>
      <c r="D83" s="3164"/>
      <c r="E83" s="3164"/>
      <c r="F83" s="3164"/>
      <c r="G83" s="3164"/>
      <c r="H83" s="3164"/>
      <c r="I83" s="2516"/>
      <c r="J83" s="2512"/>
      <c r="K83" s="2512"/>
      <c r="L83" s="2512"/>
      <c r="M83" s="2512"/>
      <c r="N83" s="2512"/>
      <c r="O83" s="2512"/>
      <c r="P83" s="2512"/>
      <c r="Q83" s="2512"/>
      <c r="R83" s="2512"/>
      <c r="S83" s="2512"/>
      <c r="T83" s="2512"/>
      <c r="U83" s="2512"/>
      <c r="V83" s="2512"/>
      <c r="W83" s="2512"/>
      <c r="X83" s="2512"/>
      <c r="Y83" s="2512"/>
      <c r="Z83" s="2512"/>
      <c r="AA83" s="2513"/>
      <c r="AB83" s="2513"/>
      <c r="AC83" s="2513"/>
      <c r="AD83" s="2513"/>
      <c r="AE83" s="2513"/>
      <c r="AF83" s="2513"/>
      <c r="AG83" s="2513"/>
      <c r="AH83" s="2513"/>
      <c r="AI83" s="2513"/>
    </row>
    <row r="84" spans="1:35" s="2511" customFormat="1" ht="14.25">
      <c r="A84" s="3142" t="s">
        <v>2240</v>
      </c>
      <c r="B84" s="3143"/>
      <c r="C84" s="1803"/>
      <c r="D84" s="1803" t="s">
        <v>2241</v>
      </c>
      <c r="E84" s="213" t="s">
        <v>2242</v>
      </c>
      <c r="F84" s="214"/>
      <c r="G84" s="214"/>
      <c r="H84" s="233"/>
      <c r="I84" s="2516"/>
      <c r="J84" s="2512"/>
      <c r="K84" s="2512"/>
      <c r="L84" s="2512"/>
      <c r="M84" s="2512"/>
      <c r="N84" s="2512"/>
      <c r="O84" s="2512"/>
      <c r="P84" s="2512"/>
      <c r="Q84" s="2512"/>
      <c r="R84" s="2512"/>
      <c r="S84" s="2512"/>
      <c r="T84" s="2512"/>
      <c r="U84" s="2512"/>
      <c r="V84" s="2512"/>
      <c r="W84" s="2512"/>
      <c r="X84" s="2512"/>
      <c r="Y84" s="2512"/>
      <c r="Z84" s="2512"/>
      <c r="AA84" s="2513"/>
      <c r="AB84" s="2513"/>
      <c r="AC84" s="2513"/>
      <c r="AD84" s="2513"/>
      <c r="AE84" s="2513"/>
      <c r="AF84" s="2513"/>
      <c r="AG84" s="2513"/>
      <c r="AH84" s="2513"/>
      <c r="AI84" s="2513"/>
    </row>
    <row r="85" spans="1:35" s="2511" customFormat="1" ht="14.25">
      <c r="A85" s="203" t="s">
        <v>775</v>
      </c>
      <c r="B85" s="204" t="s">
        <v>2260</v>
      </c>
      <c r="C85" s="207">
        <f ca="1">ROUND(D45/(1+'数据-取费表'!C42),0)</f>
        <v>48187</v>
      </c>
      <c r="D85" s="200" t="s">
        <v>32</v>
      </c>
      <c r="E85" s="1802"/>
      <c r="F85" s="1796"/>
      <c r="G85" s="1796"/>
      <c r="H85" s="234"/>
      <c r="I85" s="2516"/>
      <c r="J85" s="2512"/>
      <c r="K85" s="2512"/>
      <c r="L85" s="2512"/>
      <c r="M85" s="2512"/>
      <c r="N85" s="2512"/>
      <c r="O85" s="2512"/>
      <c r="P85" s="2512"/>
      <c r="Q85" s="2512"/>
      <c r="R85" s="2512"/>
      <c r="S85" s="2512"/>
      <c r="T85" s="2512"/>
      <c r="U85" s="2512"/>
      <c r="V85" s="2512"/>
      <c r="W85" s="2512"/>
      <c r="X85" s="2512"/>
      <c r="Y85" s="2512"/>
      <c r="Z85" s="2512"/>
      <c r="AA85" s="2513"/>
      <c r="AB85" s="2513"/>
      <c r="AC85" s="2513"/>
      <c r="AD85" s="2513"/>
      <c r="AE85" s="2513"/>
      <c r="AF85" s="2513"/>
      <c r="AG85" s="2513"/>
      <c r="AH85" s="2513"/>
      <c r="AI85" s="2513"/>
    </row>
    <row r="86" spans="1:35" s="2511" customFormat="1" ht="14.25">
      <c r="A86" s="203" t="s">
        <v>772</v>
      </c>
      <c r="B86" s="173" t="s">
        <v>2261</v>
      </c>
      <c r="C86" s="207">
        <f ca="1">IF(H88="仅含出让金",C87+C90+C91+C92+C93+C94,C87+C91+C92+C93+C94)</f>
        <v>289</v>
      </c>
      <c r="D86" s="235"/>
      <c r="E86" s="1802"/>
      <c r="F86" s="1796"/>
      <c r="G86" s="1796"/>
      <c r="H86" s="234"/>
      <c r="I86" s="2516"/>
      <c r="J86" s="2512"/>
      <c r="K86" s="2512"/>
      <c r="L86" s="2512"/>
      <c r="M86" s="2512"/>
      <c r="N86" s="2512"/>
      <c r="O86" s="2512"/>
      <c r="P86" s="2512"/>
      <c r="Q86" s="2512"/>
      <c r="R86" s="2512"/>
      <c r="S86" s="2512"/>
      <c r="T86" s="2512"/>
      <c r="U86" s="2512"/>
      <c r="V86" s="2512"/>
      <c r="W86" s="2512"/>
      <c r="X86" s="2512"/>
      <c r="Y86" s="2512"/>
      <c r="Z86" s="2512"/>
      <c r="AA86" s="2513"/>
      <c r="AB86" s="2513"/>
      <c r="AC86" s="2513"/>
      <c r="AD86" s="2513"/>
      <c r="AE86" s="2513"/>
      <c r="AF86" s="2513"/>
      <c r="AG86" s="2513"/>
      <c r="AH86" s="2513"/>
      <c r="AI86" s="2513"/>
    </row>
    <row r="87" spans="1:35" s="2511" customFormat="1" ht="14.25">
      <c r="A87" s="217" t="s">
        <v>770</v>
      </c>
      <c r="B87" s="198" t="s">
        <v>2278</v>
      </c>
      <c r="C87" s="225">
        <f>C88+C89</f>
        <v>0</v>
      </c>
      <c r="D87" s="226"/>
      <c r="E87" s="1798"/>
      <c r="F87" s="1799"/>
      <c r="G87" s="1799"/>
      <c r="H87" s="1801"/>
      <c r="I87" s="2516"/>
      <c r="J87" s="2512"/>
      <c r="K87" s="2512"/>
      <c r="L87" s="2512"/>
      <c r="M87" s="2512"/>
      <c r="N87" s="2512"/>
      <c r="O87" s="2512"/>
      <c r="P87" s="2512"/>
      <c r="Q87" s="2512"/>
      <c r="R87" s="2512"/>
      <c r="S87" s="2512"/>
      <c r="T87" s="2512"/>
      <c r="U87" s="2512"/>
      <c r="V87" s="2512"/>
      <c r="W87" s="2512"/>
      <c r="X87" s="2512"/>
      <c r="Y87" s="2512"/>
      <c r="Z87" s="2512"/>
      <c r="AA87" s="2513"/>
      <c r="AB87" s="2513"/>
      <c r="AC87" s="2513"/>
      <c r="AD87" s="2513"/>
      <c r="AE87" s="2513"/>
      <c r="AF87" s="2513"/>
      <c r="AG87" s="2513"/>
      <c r="AH87" s="2513"/>
      <c r="AI87" s="2513"/>
    </row>
    <row r="88" spans="1:35" s="2511" customFormat="1" ht="14.25">
      <c r="A88" s="217" t="s">
        <v>776</v>
      </c>
      <c r="B88" s="198" t="s">
        <v>2279</v>
      </c>
      <c r="C88" s="236"/>
      <c r="D88" s="226"/>
      <c r="E88" s="237" t="s">
        <v>2280</v>
      </c>
      <c r="F88" s="1799"/>
      <c r="G88" s="238" t="s">
        <v>2281</v>
      </c>
      <c r="H88" s="2521"/>
      <c r="I88" s="2516"/>
      <c r="J88" s="2512"/>
      <c r="K88" s="2512"/>
      <c r="L88" s="2512"/>
      <c r="M88" s="2512"/>
      <c r="N88" s="2512"/>
      <c r="O88" s="2512"/>
      <c r="P88" s="2512"/>
      <c r="Q88" s="2512"/>
      <c r="R88" s="2512"/>
      <c r="S88" s="2512"/>
      <c r="T88" s="2512"/>
      <c r="U88" s="2512"/>
      <c r="V88" s="2512"/>
      <c r="W88" s="2512"/>
      <c r="X88" s="2512"/>
      <c r="Y88" s="2512"/>
      <c r="Z88" s="2512"/>
      <c r="AA88" s="2513"/>
      <c r="AB88" s="2513"/>
      <c r="AC88" s="2513"/>
      <c r="AD88" s="2513"/>
      <c r="AE88" s="2513"/>
      <c r="AF88" s="2513"/>
      <c r="AG88" s="2513"/>
      <c r="AH88" s="2513"/>
      <c r="AI88" s="2513"/>
    </row>
    <row r="89" spans="1:35" s="2511" customFormat="1" ht="14.25">
      <c r="A89" s="217" t="s">
        <v>777</v>
      </c>
      <c r="B89" s="198" t="s">
        <v>2269</v>
      </c>
      <c r="C89" s="225">
        <f>ROUND(C88*D89,0)</f>
        <v>0</v>
      </c>
      <c r="D89" s="226">
        <f>'数据-取费表'!B48+'数据-取费表'!B49</f>
        <v>4.0500000000000001E-2</v>
      </c>
      <c r="E89" s="237" t="s">
        <v>2282</v>
      </c>
      <c r="F89" s="1799"/>
      <c r="G89" s="1799"/>
      <c r="H89" s="1801"/>
      <c r="I89" s="2516"/>
      <c r="J89" s="2512"/>
      <c r="K89" s="2512"/>
      <c r="L89" s="2512"/>
      <c r="M89" s="2512"/>
      <c r="N89" s="2512"/>
      <c r="O89" s="2512"/>
      <c r="P89" s="2512"/>
      <c r="Q89" s="2512"/>
      <c r="R89" s="2512"/>
      <c r="S89" s="2512"/>
      <c r="T89" s="2512"/>
      <c r="U89" s="2512"/>
      <c r="V89" s="2512"/>
      <c r="W89" s="2512"/>
      <c r="X89" s="2512"/>
      <c r="Y89" s="2512"/>
      <c r="Z89" s="2512"/>
      <c r="AA89" s="2513"/>
      <c r="AB89" s="2513"/>
      <c r="AC89" s="2513"/>
      <c r="AD89" s="2513"/>
      <c r="AE89" s="2513"/>
      <c r="AF89" s="2513"/>
      <c r="AG89" s="2513"/>
      <c r="AH89" s="2513"/>
      <c r="AI89" s="2513"/>
    </row>
    <row r="90" spans="1:35" s="2511" customFormat="1" ht="14.25">
      <c r="A90" s="217" t="s">
        <v>771</v>
      </c>
      <c r="B90" s="198" t="s">
        <v>2283</v>
      </c>
      <c r="C90" s="236"/>
      <c r="D90" s="226"/>
      <c r="E90" s="237" t="str">
        <f>IF(H88="-","土地取得成本中已包含该笔费用"," ")</f>
        <v xml:space="preserve"> </v>
      </c>
      <c r="F90" s="1799"/>
      <c r="G90" s="1799"/>
      <c r="H90" s="1801"/>
      <c r="I90" s="2516"/>
      <c r="J90" s="2512"/>
      <c r="K90" s="2512"/>
      <c r="L90" s="2512"/>
      <c r="M90" s="2512"/>
      <c r="N90" s="2512"/>
      <c r="O90" s="2512"/>
      <c r="P90" s="2512"/>
      <c r="Q90" s="2512"/>
      <c r="R90" s="2512"/>
      <c r="S90" s="2512"/>
      <c r="T90" s="2512"/>
      <c r="U90" s="2512"/>
      <c r="V90" s="2512"/>
      <c r="W90" s="2512"/>
      <c r="X90" s="2512"/>
      <c r="Y90" s="2512"/>
      <c r="Z90" s="2512"/>
      <c r="AA90" s="2513"/>
      <c r="AB90" s="2513"/>
      <c r="AC90" s="2513"/>
      <c r="AD90" s="2513"/>
      <c r="AE90" s="2513"/>
      <c r="AF90" s="2513"/>
      <c r="AG90" s="2513"/>
      <c r="AH90" s="2513"/>
      <c r="AI90" s="2513"/>
    </row>
    <row r="91" spans="1:35" s="2511" customFormat="1" ht="27.75" customHeight="1">
      <c r="A91" s="217" t="s">
        <v>2284</v>
      </c>
      <c r="B91" s="198" t="s">
        <v>2285</v>
      </c>
      <c r="C91" s="225">
        <f>IF(H91="——",成本法!C33,I91)</f>
        <v>0</v>
      </c>
      <c r="D91" s="226"/>
      <c r="E91" s="3123" t="s">
        <v>2286</v>
      </c>
      <c r="F91" s="3124"/>
      <c r="G91" s="3124"/>
      <c r="H91" s="2522" t="s">
        <v>2287</v>
      </c>
      <c r="I91" s="2523"/>
      <c r="J91" s="2512"/>
      <c r="K91" s="2512"/>
      <c r="L91" s="2512"/>
      <c r="M91" s="2512"/>
      <c r="N91" s="2512"/>
      <c r="O91" s="2512"/>
      <c r="P91" s="2512"/>
      <c r="Q91" s="2512"/>
      <c r="R91" s="2512"/>
      <c r="S91" s="2512"/>
      <c r="T91" s="2512"/>
      <c r="U91" s="2512"/>
      <c r="V91" s="2512"/>
      <c r="W91" s="2512"/>
      <c r="X91" s="2512"/>
      <c r="Y91" s="2512"/>
      <c r="Z91" s="2512"/>
      <c r="AA91" s="2513"/>
      <c r="AB91" s="2513"/>
      <c r="AC91" s="2513"/>
      <c r="AD91" s="2513"/>
      <c r="AE91" s="2513"/>
      <c r="AF91" s="2513"/>
      <c r="AG91" s="2513"/>
      <c r="AH91" s="2513"/>
      <c r="AI91" s="2513"/>
    </row>
    <row r="92" spans="1:35" s="2511" customFormat="1" ht="25.5" customHeight="1">
      <c r="A92" s="217" t="s">
        <v>2288</v>
      </c>
      <c r="B92" s="198" t="s">
        <v>2289</v>
      </c>
      <c r="C92" s="225">
        <f>ROUND((C87+C90+C91)*D92,0)</f>
        <v>0</v>
      </c>
      <c r="D92" s="226">
        <v>0.1</v>
      </c>
      <c r="E92" s="3123" t="s">
        <v>2290</v>
      </c>
      <c r="F92" s="3124"/>
      <c r="G92" s="3124"/>
      <c r="H92" s="3133"/>
      <c r="I92" s="2516"/>
      <c r="J92" s="2512"/>
      <c r="K92" s="2512"/>
      <c r="L92" s="2512"/>
      <c r="M92" s="2512"/>
      <c r="N92" s="2512"/>
      <c r="O92" s="2512"/>
      <c r="P92" s="2512"/>
      <c r="Q92" s="2512"/>
      <c r="R92" s="2512"/>
      <c r="S92" s="2512"/>
      <c r="T92" s="2512"/>
      <c r="U92" s="2512"/>
      <c r="V92" s="2512"/>
      <c r="W92" s="2512"/>
      <c r="X92" s="2512"/>
      <c r="Y92" s="2512"/>
      <c r="Z92" s="2512"/>
      <c r="AA92" s="2513"/>
      <c r="AB92" s="2513"/>
      <c r="AC92" s="2513"/>
      <c r="AD92" s="2513"/>
      <c r="AE92" s="2513"/>
      <c r="AF92" s="2513"/>
      <c r="AG92" s="2513"/>
      <c r="AH92" s="2513"/>
      <c r="AI92" s="2513"/>
    </row>
    <row r="93" spans="1:35" s="2511" customFormat="1" ht="25.5" customHeight="1">
      <c r="A93" s="217" t="s">
        <v>2291</v>
      </c>
      <c r="B93" s="198" t="s">
        <v>2272</v>
      </c>
      <c r="C93" s="225">
        <f ca="1">ROUND(D45*D93/(1+'数据-取费表'!C42),0)</f>
        <v>289</v>
      </c>
      <c r="D93" s="226">
        <f>'数据-取费表'!B43</f>
        <v>6.000000000000001E-3</v>
      </c>
      <c r="E93" s="3123" t="s">
        <v>2273</v>
      </c>
      <c r="F93" s="3124"/>
      <c r="G93" s="3124"/>
      <c r="H93" s="3133"/>
      <c r="I93" s="2516"/>
      <c r="J93" s="2512"/>
      <c r="K93" s="2512"/>
      <c r="L93" s="2512"/>
      <c r="M93" s="2512"/>
      <c r="N93" s="2512"/>
      <c r="O93" s="2512"/>
      <c r="P93" s="2512"/>
      <c r="Q93" s="2512"/>
      <c r="R93" s="2512"/>
      <c r="S93" s="2512"/>
      <c r="T93" s="2512"/>
      <c r="U93" s="2512"/>
      <c r="V93" s="2512"/>
      <c r="W93" s="2512"/>
      <c r="X93" s="2512"/>
      <c r="Y93" s="2512"/>
      <c r="Z93" s="2512"/>
      <c r="AA93" s="2513"/>
      <c r="AB93" s="2513"/>
      <c r="AC93" s="2513"/>
      <c r="AD93" s="2513"/>
      <c r="AE93" s="2513"/>
      <c r="AF93" s="2513"/>
      <c r="AG93" s="2513"/>
      <c r="AH93" s="2513"/>
      <c r="AI93" s="2513"/>
    </row>
    <row r="94" spans="1:35" s="2511" customFormat="1" ht="36.75" customHeight="1">
      <c r="A94" s="217" t="s">
        <v>2292</v>
      </c>
      <c r="B94" s="198" t="s">
        <v>2293</v>
      </c>
      <c r="C94" s="236">
        <f>ROUND((C87+C90+C91)*D94,0)</f>
        <v>0</v>
      </c>
      <c r="D94" s="226">
        <v>0.2</v>
      </c>
      <c r="E94" s="3134" t="s">
        <v>2294</v>
      </c>
      <c r="F94" s="3135"/>
      <c r="G94" s="3135"/>
      <c r="H94" s="3136"/>
      <c r="I94" s="2516"/>
      <c r="J94" s="2512"/>
      <c r="K94" s="2512"/>
      <c r="L94" s="2512"/>
      <c r="M94" s="2512"/>
      <c r="N94" s="2512"/>
      <c r="O94" s="2512"/>
      <c r="P94" s="2512"/>
      <c r="Q94" s="2512"/>
      <c r="R94" s="2512"/>
      <c r="S94" s="2512"/>
      <c r="T94" s="2512"/>
      <c r="U94" s="2512"/>
      <c r="V94" s="2512"/>
      <c r="W94" s="2512"/>
      <c r="X94" s="2512"/>
      <c r="Y94" s="2512"/>
      <c r="Z94" s="2512"/>
      <c r="AA94" s="2513"/>
      <c r="AB94" s="2513"/>
      <c r="AC94" s="2513"/>
      <c r="AD94" s="2513"/>
      <c r="AE94" s="2513"/>
      <c r="AF94" s="2513"/>
      <c r="AG94" s="2513"/>
      <c r="AH94" s="2513"/>
      <c r="AI94" s="2513"/>
    </row>
    <row r="95" spans="1:35" s="2511" customFormat="1" ht="14.25">
      <c r="A95" s="2519" t="s">
        <v>779</v>
      </c>
      <c r="B95" s="204" t="s">
        <v>2274</v>
      </c>
      <c r="C95" s="207">
        <f ca="1">ROUND(C85-C86,0)</f>
        <v>47898</v>
      </c>
      <c r="D95" s="200" t="s">
        <v>32</v>
      </c>
      <c r="E95" s="1802"/>
      <c r="F95" s="1796"/>
      <c r="G95" s="1796"/>
      <c r="H95" s="234"/>
      <c r="I95" s="2516"/>
      <c r="J95" s="2512"/>
      <c r="K95" s="2512"/>
      <c r="L95" s="2512"/>
      <c r="M95" s="2512"/>
      <c r="N95" s="2512"/>
      <c r="O95" s="2512"/>
      <c r="P95" s="2512"/>
      <c r="Q95" s="2512"/>
      <c r="R95" s="2512"/>
      <c r="S95" s="2512"/>
      <c r="T95" s="2512"/>
      <c r="U95" s="2512"/>
      <c r="V95" s="2512"/>
      <c r="W95" s="2512"/>
      <c r="X95" s="2512"/>
      <c r="Y95" s="2512"/>
      <c r="Z95" s="2512"/>
      <c r="AA95" s="2513"/>
      <c r="AB95" s="2513"/>
      <c r="AC95" s="2513"/>
      <c r="AD95" s="2513"/>
      <c r="AE95" s="2513"/>
      <c r="AF95" s="2513"/>
      <c r="AG95" s="2513"/>
      <c r="AH95" s="2513"/>
      <c r="AI95" s="2513"/>
    </row>
    <row r="96" spans="1:35" s="2511" customFormat="1" ht="24">
      <c r="A96" s="2519" t="s">
        <v>780</v>
      </c>
      <c r="B96" s="204" t="s">
        <v>2275</v>
      </c>
      <c r="C96" s="227">
        <f ca="1">IF(C95&lt;=0,0,C95/C86)</f>
        <v>165.73702422145328</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6"/>
      <c r="J96" s="2512"/>
      <c r="K96" s="2512"/>
      <c r="L96" s="2512"/>
      <c r="M96" s="2512"/>
      <c r="N96" s="2512"/>
      <c r="O96" s="2512"/>
      <c r="P96" s="2512"/>
      <c r="Q96" s="2512"/>
      <c r="R96" s="2512"/>
      <c r="S96" s="2512"/>
      <c r="T96" s="2512"/>
      <c r="U96" s="2512"/>
      <c r="V96" s="2512"/>
      <c r="W96" s="2512"/>
      <c r="X96" s="2512"/>
      <c r="Y96" s="2512"/>
      <c r="Z96" s="2512"/>
      <c r="AA96" s="2513"/>
      <c r="AB96" s="2513"/>
      <c r="AC96" s="2513"/>
      <c r="AD96" s="2513"/>
      <c r="AE96" s="2513"/>
      <c r="AF96" s="2513"/>
      <c r="AG96" s="2513"/>
      <c r="AH96" s="2513"/>
      <c r="AI96" s="2513"/>
    </row>
    <row r="97" spans="1:35" s="2511" customFormat="1" ht="24.75" thickBot="1">
      <c r="A97" s="2520" t="s">
        <v>781</v>
      </c>
      <c r="B97" s="209" t="s">
        <v>2276</v>
      </c>
      <c r="C97" s="228">
        <f ca="1">ROUND(IF(C95&lt;=0,0,IF(C96&gt;=200%,C95*60%-C86*35%,IF(C96&gt;=100%,C95*50%-C86*15%,IF(C96&gt;=50%,C95*40%-C86*5%,IF(C96&lt;50%,C95*30%,0))))),0)</f>
        <v>28638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6"/>
      <c r="J97" s="2512"/>
      <c r="K97" s="2512"/>
      <c r="L97" s="2512"/>
      <c r="M97" s="2512"/>
      <c r="N97" s="2512"/>
      <c r="O97" s="2512"/>
      <c r="P97" s="2512"/>
      <c r="Q97" s="2512"/>
      <c r="R97" s="2512"/>
      <c r="S97" s="2512"/>
      <c r="T97" s="2512"/>
      <c r="U97" s="2512"/>
      <c r="V97" s="2512"/>
      <c r="W97" s="2512"/>
      <c r="X97" s="2512"/>
      <c r="Y97" s="2512"/>
      <c r="Z97" s="2512"/>
      <c r="AA97" s="2513"/>
      <c r="AB97" s="2513"/>
      <c r="AC97" s="2513"/>
      <c r="AD97" s="2513"/>
      <c r="AE97" s="2513"/>
      <c r="AF97" s="2513"/>
      <c r="AG97" s="2513"/>
      <c r="AH97" s="2513"/>
      <c r="AI97" s="2513"/>
    </row>
    <row r="98" spans="1:35" ht="21.75" customHeight="1">
      <c r="A98" s="2500"/>
      <c r="B98" s="2422"/>
      <c r="C98" s="2422"/>
      <c r="D98" s="2422"/>
      <c r="E98" s="2169"/>
      <c r="F98" s="2169"/>
      <c r="G98" s="2169"/>
      <c r="H98" s="2168"/>
      <c r="I98" s="138"/>
    </row>
    <row r="99" spans="1:35" ht="21.75" customHeight="1" thickBot="1">
      <c r="A99" s="2478" t="s">
        <v>2295</v>
      </c>
      <c r="B99" s="2422"/>
      <c r="C99" s="2422"/>
      <c r="D99" s="2422"/>
      <c r="E99" s="2169"/>
      <c r="F99" s="2169"/>
      <c r="G99" s="2169"/>
      <c r="H99" s="2168"/>
      <c r="I99" s="138"/>
    </row>
    <row r="100" spans="1:35" ht="18.75" customHeight="1">
      <c r="A100" s="3108" t="s">
        <v>2296</v>
      </c>
      <c r="B100" s="3109"/>
      <c r="C100" s="3109"/>
      <c r="D100" s="3125"/>
      <c r="E100" s="3109" t="s">
        <v>2297</v>
      </c>
      <c r="F100" s="3109"/>
      <c r="G100" s="3109"/>
      <c r="H100" s="3125"/>
      <c r="I100" s="138"/>
    </row>
    <row r="101" spans="1:35" ht="18.75" customHeight="1">
      <c r="A101" s="3187" t="s">
        <v>2298</v>
      </c>
      <c r="B101" s="3188"/>
      <c r="C101" s="736" t="str">
        <f>C4</f>
        <v>成本法</v>
      </c>
      <c r="D101" s="737" t="str">
        <f>D4</f>
        <v>假设开发法</v>
      </c>
      <c r="E101" s="3201" t="s">
        <v>2299</v>
      </c>
      <c r="F101" s="3155"/>
      <c r="G101" s="2524" t="s">
        <v>2300</v>
      </c>
      <c r="H101" s="1048">
        <f ca="1">H118</f>
        <v>50596</v>
      </c>
      <c r="I101" s="138"/>
    </row>
    <row r="102" spans="1:35" ht="18.75" customHeight="1">
      <c r="A102" s="3157" t="s">
        <v>2301</v>
      </c>
      <c r="B102" s="2524" t="s">
        <v>2300</v>
      </c>
      <c r="C102" s="736">
        <f ca="1">C19</f>
        <v>49455</v>
      </c>
      <c r="D102" s="737">
        <f ca="1">D19</f>
        <v>51736</v>
      </c>
      <c r="E102" s="3201"/>
      <c r="F102" s="3155"/>
      <c r="G102" s="2524" t="s">
        <v>2302</v>
      </c>
      <c r="H102" s="371">
        <f ca="1">I118</f>
        <v>14735</v>
      </c>
      <c r="I102" s="138"/>
    </row>
    <row r="103" spans="1:35" ht="42.75" customHeight="1">
      <c r="A103" s="3157"/>
      <c r="B103" s="2524" t="s">
        <v>2302</v>
      </c>
      <c r="C103" s="738">
        <f ca="1">C20</f>
        <v>14402</v>
      </c>
      <c r="D103" s="739">
        <f ca="1">D20</f>
        <v>15067</v>
      </c>
      <c r="E103" s="3196" t="s">
        <v>2303</v>
      </c>
      <c r="F103" s="3197"/>
      <c r="G103" s="2525" t="s">
        <v>2304</v>
      </c>
      <c r="H103" s="1048">
        <f>IF(D36="正常操作",H104+H105+H106,H105+H106)</f>
        <v>0</v>
      </c>
      <c r="I103" s="138"/>
    </row>
    <row r="104" spans="1:35" ht="18.75" customHeight="1">
      <c r="A104" s="3157" t="s">
        <v>2305</v>
      </c>
      <c r="B104" s="2526" t="s">
        <v>2300</v>
      </c>
      <c r="C104" s="740">
        <f ca="1">H118</f>
        <v>50596</v>
      </c>
      <c r="D104" s="741"/>
      <c r="E104" s="2270" t="s">
        <v>2306</v>
      </c>
      <c r="F104" s="2261"/>
      <c r="G104" s="2525" t="s">
        <v>2304</v>
      </c>
      <c r="H104" s="1049">
        <f>IF(D36="同一抵押权人同一抵押物续贷",C36&amp;"（未扣减，详见特别提示）",C36)</f>
        <v>0</v>
      </c>
      <c r="I104" s="138"/>
    </row>
    <row r="105" spans="1:35" ht="18.75" customHeight="1" thickBot="1">
      <c r="A105" s="3158"/>
      <c r="B105" s="2527" t="s">
        <v>2302</v>
      </c>
      <c r="C105" s="742">
        <f ca="1">I118</f>
        <v>14735</v>
      </c>
      <c r="D105" s="743"/>
      <c r="E105" s="2270" t="s">
        <v>2307</v>
      </c>
      <c r="F105" s="2261"/>
      <c r="G105" s="2525" t="s">
        <v>2304</v>
      </c>
      <c r="H105" s="1049">
        <f>C37</f>
        <v>0</v>
      </c>
      <c r="I105" s="138"/>
    </row>
    <row r="106" spans="1:35" ht="18.75" customHeight="1">
      <c r="A106" s="2422" t="s">
        <v>2308</v>
      </c>
      <c r="B106" s="2422"/>
      <c r="C106" s="2422"/>
      <c r="D106" s="2422"/>
      <c r="E106" s="2528" t="s">
        <v>2309</v>
      </c>
      <c r="F106" s="2261"/>
      <c r="G106" s="2525" t="s">
        <v>2304</v>
      </c>
      <c r="H106" s="1049">
        <f>C38</f>
        <v>0</v>
      </c>
      <c r="I106" s="138"/>
    </row>
    <row r="107" spans="1:35" ht="18.75" customHeight="1">
      <c r="A107" s="138"/>
      <c r="B107" s="138"/>
      <c r="C107" s="138"/>
      <c r="D107" s="138"/>
      <c r="E107" s="3154" t="str">
        <f>IF(项目基本情况!E8="已注销","——","3.房地产抵押价值")</f>
        <v>3.房地产抵押价值</v>
      </c>
      <c r="F107" s="3155"/>
      <c r="G107" s="2524" t="s">
        <v>2300</v>
      </c>
      <c r="H107" s="1048">
        <f ca="1">IF(E107="——","——",H101-H103)</f>
        <v>50596</v>
      </c>
      <c r="I107" s="138"/>
    </row>
    <row r="108" spans="1:35" ht="18.75" customHeight="1">
      <c r="A108" s="138"/>
      <c r="B108" s="138"/>
      <c r="C108" s="138"/>
      <c r="D108" s="138"/>
      <c r="E108" s="3154"/>
      <c r="F108" s="3155"/>
      <c r="G108" s="2524" t="s">
        <v>2302</v>
      </c>
      <c r="H108" s="371">
        <f ca="1">ROUND(H107*10000/'数据-汇总表'!E3,0)</f>
        <v>14735</v>
      </c>
      <c r="I108" s="138"/>
    </row>
    <row r="109" spans="1:35" ht="18.75" customHeight="1">
      <c r="A109" s="138"/>
      <c r="B109" s="138"/>
      <c r="C109" s="138"/>
      <c r="D109" s="138"/>
      <c r="E109" s="3154" t="str">
        <f>IF(项目基本情况!E8="已注销及未注销","4.抵押担保权已注销时的房地产抵押价值",IF(项目基本情况!E8="已注销","3.抵押担保权已注销时的房地产抵押价值","——"))</f>
        <v>——</v>
      </c>
      <c r="F109" s="3155"/>
      <c r="G109" s="2524" t="s">
        <v>2300</v>
      </c>
      <c r="H109" s="348" t="str">
        <f>IF(E109="——","——",H101-H105-H106)</f>
        <v>——</v>
      </c>
      <c r="I109" s="138"/>
    </row>
    <row r="110" spans="1:35" ht="18.75" customHeight="1">
      <c r="A110" s="138"/>
      <c r="B110" s="138"/>
      <c r="C110" s="138"/>
      <c r="D110" s="138"/>
      <c r="E110" s="3154"/>
      <c r="F110" s="3155"/>
      <c r="G110" s="2524" t="s">
        <v>2302</v>
      </c>
      <c r="H110" s="371" t="str">
        <f>IF(H109="——","——",ROUND(H109*10000/'数据-汇总表'!E3,0))</f>
        <v>——</v>
      </c>
      <c r="I110" s="138"/>
    </row>
    <row r="111" spans="1:35" ht="18.75" customHeight="1">
      <c r="A111" s="138"/>
      <c r="B111" s="138"/>
      <c r="C111" s="138"/>
      <c r="D111" s="138"/>
      <c r="E111" s="3189" t="str">
        <f>IF(项目基本情况!E9="抵押净值",IF(OR(项目基本情况!E8="已注销",项目基本情况!E8="房地产抵押价值"),"4.抵押净值","5.抵押净值"),"——")</f>
        <v>——</v>
      </c>
      <c r="F111" s="3190"/>
      <c r="G111" s="2524" t="s">
        <v>2300</v>
      </c>
      <c r="H111" s="1048" t="str">
        <f>IF(E111="——","——",N59)</f>
        <v>——</v>
      </c>
      <c r="I111" s="138"/>
    </row>
    <row r="112" spans="1:35" ht="18.75" customHeight="1" thickBot="1">
      <c r="A112" s="138"/>
      <c r="B112" s="138"/>
      <c r="C112" s="138"/>
      <c r="D112" s="138"/>
      <c r="E112" s="3191"/>
      <c r="F112" s="3192"/>
      <c r="G112" s="2529" t="s">
        <v>2302</v>
      </c>
      <c r="H112" s="790" t="str">
        <f>IF(E111="——","——",N61)</f>
        <v>——</v>
      </c>
      <c r="I112" s="138"/>
    </row>
    <row r="113" spans="1:11" ht="18.75" customHeight="1">
      <c r="A113" s="138"/>
      <c r="B113" s="138"/>
      <c r="C113" s="138"/>
      <c r="D113" s="138"/>
      <c r="E113" s="3159" t="s">
        <v>2308</v>
      </c>
      <c r="F113" s="3159"/>
      <c r="G113" s="3159"/>
      <c r="H113" s="3159"/>
      <c r="I113" s="138"/>
    </row>
    <row r="114" spans="1:11" ht="3.75" customHeight="1">
      <c r="A114" s="2422"/>
      <c r="B114" s="2422"/>
      <c r="C114" s="2422"/>
      <c r="D114" s="2422"/>
      <c r="E114" s="2500"/>
      <c r="F114" s="2500"/>
      <c r="G114" s="2500"/>
      <c r="H114" s="2500"/>
      <c r="I114" s="2422"/>
    </row>
    <row r="115" spans="1:11" ht="18.75" customHeight="1">
      <c r="A115" s="3172" t="s">
        <v>2310</v>
      </c>
      <c r="B115" s="3173"/>
      <c r="C115" s="3173"/>
      <c r="D115" s="3173"/>
      <c r="E115" s="3173"/>
      <c r="F115" s="3173"/>
      <c r="G115" s="3173"/>
      <c r="H115" s="3173"/>
      <c r="I115" s="3174"/>
    </row>
    <row r="116" spans="1:11" ht="27" customHeight="1">
      <c r="A116" s="3064" t="s">
        <v>2311</v>
      </c>
      <c r="B116" s="3160" t="s">
        <v>2312</v>
      </c>
      <c r="C116" s="3160" t="s">
        <v>2313</v>
      </c>
      <c r="D116" s="3176" t="s">
        <v>2314</v>
      </c>
      <c r="E116" s="3177"/>
      <c r="F116" s="3168" t="s">
        <v>2315</v>
      </c>
      <c r="G116" s="3168"/>
      <c r="H116" s="3064" t="s">
        <v>2316</v>
      </c>
      <c r="I116" s="3064"/>
    </row>
    <row r="117" spans="1:11" ht="18.75" customHeight="1">
      <c r="A117" s="3064"/>
      <c r="B117" s="3161"/>
      <c r="C117" s="3161"/>
      <c r="D117" s="1797" t="s">
        <v>2317</v>
      </c>
      <c r="E117" s="1797" t="s">
        <v>2318</v>
      </c>
      <c r="F117" s="1797" t="s">
        <v>2317</v>
      </c>
      <c r="G117" s="1797" t="s">
        <v>2319</v>
      </c>
      <c r="H117" s="1797" t="s">
        <v>2317</v>
      </c>
      <c r="I117" s="1797" t="s">
        <v>2319</v>
      </c>
    </row>
    <row r="118" spans="1:11" ht="24.75" customHeight="1">
      <c r="A118" s="2530" t="str">
        <f>项目基本情况!S2</f>
        <v>出让国有建设用地使用权及在建建筑物房地产</v>
      </c>
      <c r="B118" s="1797">
        <f>M18</f>
        <v>34338.32</v>
      </c>
      <c r="C118" s="1797">
        <f>M19</f>
        <v>16074.03</v>
      </c>
      <c r="D118" s="1797">
        <f ca="1">ROUND(IF(D32="总价",C34,E118*B118/10000),0)</f>
        <v>25855</v>
      </c>
      <c r="E118" s="1797">
        <f ca="1">ROUND(IF(C33="自定义",IF(D32="楼面单价",C34,D118*10000/B118),I118-G118),0)</f>
        <v>7530</v>
      </c>
      <c r="F118" s="1797">
        <f ca="1">ROUND(IF(D32="总价",C35,G118*B118/10000),0)</f>
        <v>24741</v>
      </c>
      <c r="G118" s="1797">
        <f ca="1">ROUND(IF(D32="楼面单价",C35,F118*10000/B118),0)</f>
        <v>7205</v>
      </c>
      <c r="H118" s="1797">
        <f ca="1">ROUND(IF(D32="总价",C32,I118*B118/10000),0)</f>
        <v>50596</v>
      </c>
      <c r="I118" s="1797">
        <f ca="1">ROUND(IF(D32="楼面单价",C32,H118*10000/B118),0)</f>
        <v>14735</v>
      </c>
    </row>
    <row r="119" spans="1:11" ht="18.75" customHeight="1">
      <c r="A119" s="3064" t="s">
        <v>2320</v>
      </c>
      <c r="B119" s="3064"/>
      <c r="C119" s="3064"/>
      <c r="D119" s="3165" t="str">
        <f ca="1">NUMBERSTRING(INT(D118*10000),2)&amp;"元整"</f>
        <v>贰亿伍仟捌佰伍拾伍万元整</v>
      </c>
      <c r="E119" s="3167"/>
      <c r="F119" s="3165" t="str">
        <f ca="1">NUMBERSTRING(INT(F118*10000),2)&amp;"元整"</f>
        <v>贰亿肆仟柒佰肆拾壹万元整</v>
      </c>
      <c r="G119" s="3167"/>
      <c r="H119" s="3165" t="str">
        <f ca="1">NUMBERSTRING(INT(H118*10000),2)&amp;"元整"</f>
        <v>伍亿零伍佰玖拾陆万元整</v>
      </c>
      <c r="I119" s="3167"/>
    </row>
    <row r="120" spans="1:11" ht="18.75" customHeight="1">
      <c r="A120" s="3193" t="str">
        <f>IF(项目基本情况!B9="房地产市场价值","",MID(E103,3,LEN(E103)-2))</f>
        <v>估价师知悉的法定优先受偿款</v>
      </c>
      <c r="B120" s="3194"/>
      <c r="C120" s="3195"/>
      <c r="D120" s="3193">
        <f>H103</f>
        <v>0</v>
      </c>
      <c r="E120" s="3194"/>
      <c r="F120" s="3194"/>
      <c r="G120" s="3194"/>
      <c r="H120" s="3194"/>
      <c r="I120" s="3195"/>
      <c r="K120" s="2427" t="str">
        <f>IF(D120=0,"故，本次评估不存在"&amp;A120,"故，本次评估"&amp;A120&amp;"为人民币"&amp;D120&amp;"万元整。")</f>
        <v>故，本次评估不存在估价师知悉的法定优先受偿款</v>
      </c>
    </row>
    <row r="121" spans="1:11" ht="18.75" customHeight="1">
      <c r="A121" s="3169" t="s">
        <v>2320</v>
      </c>
      <c r="B121" s="3170"/>
      <c r="C121" s="3171"/>
      <c r="D121" s="3165" t="str">
        <f>IF(D120=0,"零元整",NUMBERSTRING(INT(D120*10000),2)&amp;"元整")</f>
        <v>零元整</v>
      </c>
      <c r="E121" s="3166"/>
      <c r="F121" s="3166"/>
      <c r="G121" s="3166"/>
      <c r="H121" s="3166"/>
      <c r="I121" s="3167"/>
    </row>
    <row r="122" spans="1:11" ht="18.75" customHeight="1">
      <c r="A122" s="3156" t="str">
        <f>IF(项目基本情况!B9="房地产市场价值","",MID(E107,3,LEN(E107)-2))</f>
        <v>房地产抵押价值</v>
      </c>
      <c r="B122" s="3156"/>
      <c r="C122" s="3156"/>
      <c r="D122" s="3193">
        <f ca="1">H107</f>
        <v>50596</v>
      </c>
      <c r="E122" s="3194"/>
      <c r="F122" s="3194"/>
      <c r="G122" s="3194"/>
      <c r="H122" s="3194"/>
      <c r="I122" s="3195"/>
    </row>
    <row r="123" spans="1:11" ht="18.75" customHeight="1">
      <c r="A123" s="3064" t="s">
        <v>2320</v>
      </c>
      <c r="B123" s="3064"/>
      <c r="C123" s="3064"/>
      <c r="D123" s="3165" t="str">
        <f ca="1">NUMBERSTRING(INT(D122*10000),2)&amp;"元整"</f>
        <v>伍亿零伍佰玖拾陆万元整</v>
      </c>
      <c r="E123" s="3166"/>
      <c r="F123" s="3166"/>
      <c r="G123" s="3166"/>
      <c r="H123" s="3166"/>
      <c r="I123" s="3167"/>
    </row>
    <row r="124" spans="1:11" ht="18.75" customHeight="1">
      <c r="A124" s="3156" t="str">
        <f>IF(项目基本情况!B9="房地产市场价值","",MID(E109,3,LEN(E109)-2))</f>
        <v/>
      </c>
      <c r="B124" s="3156"/>
      <c r="C124" s="3156"/>
      <c r="D124" s="3193" t="str">
        <f>H109</f>
        <v>——</v>
      </c>
      <c r="E124" s="3194"/>
      <c r="F124" s="3194"/>
      <c r="G124" s="3194"/>
      <c r="H124" s="3194"/>
      <c r="I124" s="3195"/>
    </row>
    <row r="125" spans="1:11" ht="18.75" customHeight="1">
      <c r="A125" s="3064" t="s">
        <v>2320</v>
      </c>
      <c r="B125" s="3064"/>
      <c r="C125" s="3064"/>
      <c r="D125" s="3165" t="e">
        <f>NUMBERSTRING(INT(D124*10000),2)&amp;"元整"</f>
        <v>#VALUE!</v>
      </c>
      <c r="E125" s="3166"/>
      <c r="F125" s="3166"/>
      <c r="G125" s="3166"/>
      <c r="H125" s="3166"/>
      <c r="I125" s="3167"/>
    </row>
    <row r="126" spans="1:11" ht="18.75" customHeight="1">
      <c r="A126" s="3156" t="str">
        <f>IF(项目基本情况!B9="房地产市场价值","",MID(E111,3,LEN(E111)-2))</f>
        <v/>
      </c>
      <c r="B126" s="3156"/>
      <c r="C126" s="3156"/>
      <c r="D126" s="3193" t="str">
        <f>H111</f>
        <v>——</v>
      </c>
      <c r="E126" s="3194"/>
      <c r="F126" s="3194"/>
      <c r="G126" s="3194"/>
      <c r="H126" s="3194"/>
      <c r="I126" s="3195"/>
    </row>
    <row r="127" spans="1:11" ht="18.75" customHeight="1">
      <c r="A127" s="3064" t="s">
        <v>2320</v>
      </c>
      <c r="B127" s="3064"/>
      <c r="C127" s="3064"/>
      <c r="D127" s="3165" t="e">
        <f>NUMBERSTRING(INT(D126*10000),2)&amp;"元整"</f>
        <v>#VALUE!</v>
      </c>
      <c r="E127" s="3166"/>
      <c r="F127" s="3166"/>
      <c r="G127" s="3166"/>
      <c r="H127" s="3166"/>
      <c r="I127" s="3167"/>
    </row>
    <row r="128" spans="1:11" ht="21.75" customHeight="1">
      <c r="A128" s="3175" t="s">
        <v>2321</v>
      </c>
      <c r="B128" s="3175"/>
      <c r="C128" s="3175"/>
      <c r="D128" s="3175"/>
      <c r="E128" s="3175"/>
      <c r="F128" s="3175"/>
      <c r="G128" s="3175"/>
      <c r="H128" s="3175"/>
      <c r="I128" s="3175"/>
    </row>
    <row r="129" spans="1:35" ht="21.75" customHeight="1">
      <c r="A129" s="2531" t="s">
        <v>2322</v>
      </c>
      <c r="B129" s="2532"/>
      <c r="C129" s="2533" t="s">
        <v>2323</v>
      </c>
      <c r="D129" s="2534"/>
      <c r="E129" s="2534"/>
      <c r="F129" s="2534"/>
      <c r="G129" s="2534"/>
      <c r="H129" s="2535"/>
      <c r="I129" s="2536"/>
    </row>
    <row r="130" spans="1:35" ht="21.75" customHeight="1">
      <c r="A130" s="2537">
        <v>1</v>
      </c>
      <c r="B130" s="2538"/>
      <c r="C130" s="2538"/>
      <c r="D130" s="2539"/>
      <c r="E130" s="2539"/>
      <c r="F130" s="2539"/>
      <c r="G130" s="2539"/>
      <c r="H130" s="2540"/>
      <c r="I130" s="2541"/>
    </row>
    <row r="131" spans="1:35" ht="21.75" customHeight="1">
      <c r="A131" s="2537">
        <v>2</v>
      </c>
      <c r="B131" s="2538"/>
      <c r="C131" s="2538"/>
      <c r="D131" s="2539"/>
      <c r="E131" s="2539"/>
      <c r="F131" s="2539"/>
      <c r="G131" s="2539"/>
      <c r="H131" s="2540"/>
      <c r="I131" s="2541"/>
    </row>
    <row r="132" spans="1:35" ht="21.75" customHeight="1">
      <c r="A132" s="2537">
        <v>3</v>
      </c>
      <c r="B132" s="2538"/>
      <c r="C132" s="2538"/>
      <c r="D132" s="2539"/>
      <c r="E132" s="2539"/>
      <c r="F132" s="2539"/>
      <c r="G132" s="2539"/>
      <c r="H132" s="2540"/>
      <c r="I132" s="2541"/>
    </row>
    <row r="133" spans="1:35" ht="21.75" customHeight="1">
      <c r="A133" s="2542"/>
      <c r="B133" s="2543"/>
      <c r="C133" s="2543"/>
      <c r="D133" s="2544"/>
      <c r="E133" s="2544"/>
      <c r="F133" s="2544"/>
      <c r="G133" s="2544"/>
      <c r="H133" s="2545"/>
      <c r="I133" s="2546"/>
    </row>
    <row r="134" spans="1:35" ht="21.75" customHeight="1">
      <c r="A134" s="2538"/>
      <c r="B134" s="2538"/>
      <c r="C134" s="2538"/>
      <c r="D134" s="2539"/>
      <c r="E134" s="2539"/>
      <c r="F134" s="2539"/>
      <c r="G134" s="2539"/>
      <c r="H134" s="2540"/>
      <c r="I134" s="795"/>
    </row>
    <row r="135" spans="1:35" ht="21.75" customHeight="1">
      <c r="A135" s="795"/>
      <c r="B135" s="795"/>
      <c r="C135" s="795"/>
      <c r="D135" s="795"/>
      <c r="E135" s="795"/>
      <c r="F135" s="2547" t="s">
        <v>2324</v>
      </c>
      <c r="G135" s="2548"/>
      <c r="H135" s="2548"/>
      <c r="I135" s="2549" t="s">
        <v>2325</v>
      </c>
    </row>
    <row r="136" spans="1:35" ht="21.75" customHeight="1">
      <c r="A136" s="795"/>
      <c r="B136" s="2550" t="s">
        <v>2326</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8"/>
      <c r="C138" s="2548"/>
      <c r="D138" s="2548"/>
      <c r="E138" s="2548"/>
      <c r="F138" s="2548"/>
      <c r="G138" s="2548"/>
      <c r="H138" s="2548"/>
      <c r="I138" s="2549" t="s">
        <v>2327</v>
      </c>
    </row>
    <row r="139" spans="1:35" ht="21.75" customHeight="1">
      <c r="A139" s="795"/>
      <c r="B139" s="2550" t="s">
        <v>2328</v>
      </c>
      <c r="C139" s="795"/>
      <c r="D139" s="795"/>
      <c r="E139" s="795"/>
      <c r="F139" s="795"/>
      <c r="G139" s="795"/>
      <c r="H139" s="795"/>
      <c r="I139" s="795"/>
    </row>
    <row r="140" spans="1:35" ht="21.75" customHeight="1">
      <c r="A140" s="795"/>
      <c r="B140" s="2550"/>
      <c r="C140" s="795"/>
      <c r="D140" s="795"/>
      <c r="E140" s="795"/>
      <c r="F140" s="795"/>
      <c r="G140" s="795"/>
      <c r="H140" s="795"/>
      <c r="I140" s="795"/>
    </row>
    <row r="141" spans="1:35" ht="21.75" customHeight="1">
      <c r="A141" s="795"/>
      <c r="B141" s="2548"/>
      <c r="C141" s="2548"/>
      <c r="D141" s="2548"/>
      <c r="E141" s="2548"/>
      <c r="F141" s="2548"/>
      <c r="G141" s="2548"/>
      <c r="H141" s="2548"/>
      <c r="I141" s="2549" t="s">
        <v>2327</v>
      </c>
    </row>
    <row r="142" spans="1:35" ht="21.75" customHeight="1">
      <c r="A142" s="795"/>
      <c r="B142" s="2550"/>
      <c r="C142" s="2551"/>
      <c r="D142" s="2552"/>
      <c r="E142" s="2552"/>
      <c r="F142" s="2344"/>
      <c r="G142" s="795"/>
      <c r="H142" s="795"/>
      <c r="I142" s="795"/>
    </row>
    <row r="143" spans="1:35" s="139" customFormat="1" ht="21.75" customHeight="1">
      <c r="A143" s="795"/>
      <c r="B143" s="2550"/>
      <c r="C143" s="2551"/>
      <c r="D143" s="2552"/>
      <c r="E143" s="2552"/>
      <c r="F143" s="2344"/>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7"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7"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7"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7"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7"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7"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7"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7"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7"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7"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7"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7"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7"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7"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7"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7"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7"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7"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7"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7"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7"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7"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7"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7"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7"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7"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7"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7"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7"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7"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7"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7"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7"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7"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7"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7"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7"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7"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7"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7"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7"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7"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7"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7"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7"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7"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7"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7"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7"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7"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7"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7"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7"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7"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7"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7"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7"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7"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7"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7"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7"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7"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7"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7"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7"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7"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7"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7"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7"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7"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7"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7"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7"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7"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7"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7"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7"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7"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7"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7"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7"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7"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7"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7"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7"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7"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7"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7"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7"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7"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7"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7"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7"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7"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7"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7"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7"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7"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7"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7"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7"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7"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7"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7"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020" t="str">
        <f>项目基本情况!B1</f>
        <v>出让国有建设用地使用权及在建建筑物预评估</v>
      </c>
      <c r="C37" s="3020"/>
      <c r="D37" s="3020"/>
      <c r="E37" s="3020"/>
      <c r="F37" s="3020"/>
      <c r="G37" s="3020"/>
      <c r="H37" s="3020"/>
      <c r="I37" s="3020"/>
    </row>
    <row r="38" spans="1:9">
      <c r="A38" s="1019"/>
      <c r="B38" s="1019"/>
    </row>
    <row r="39" spans="1:9">
      <c r="A39" s="1017" t="s">
        <v>818</v>
      </c>
      <c r="B39" s="1017" t="s">
        <v>820</v>
      </c>
    </row>
    <row r="40" spans="1:9">
      <c r="A40" s="1017"/>
      <c r="B40" s="1944">
        <f>项目基本情况!B5</f>
        <v>0</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吴薇（注册号：1419970001)、郑燚（注册号：1120070131)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J37" sqref="J37"/>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2329</v>
      </c>
      <c r="B1" s="1939"/>
      <c r="C1" s="242"/>
      <c r="D1" s="242"/>
      <c r="E1" s="242"/>
      <c r="F1" s="242"/>
      <c r="G1" s="1382">
        <f>MATCH(B1,'数据-取费表'!A6:A16,0)+5</f>
        <v>7</v>
      </c>
    </row>
    <row r="2" spans="1:9" s="244" customFormat="1" ht="18" customHeight="1">
      <c r="A2" s="245" t="s">
        <v>2330</v>
      </c>
      <c r="B2" s="246">
        <f ca="1">IF(D2="——",C52,C52-E2)</f>
        <v>49455</v>
      </c>
      <c r="C2" s="243" t="s">
        <v>2331</v>
      </c>
      <c r="D2" s="2553" t="s">
        <v>70</v>
      </c>
      <c r="E2" s="1443" t="e">
        <f ca="1">SUMIF(INDIRECT("'"&amp;G2&amp;"'"&amp;"!A:A"),"承租人权益价值",INDIRECT("'"&amp;G2&amp;"'"&amp;"!c:c"))</f>
        <v>#REF!</v>
      </c>
      <c r="F2" s="2554" t="s">
        <v>2331</v>
      </c>
      <c r="G2" s="2555"/>
    </row>
    <row r="3" spans="1:9" s="244" customFormat="1" ht="18" customHeight="1" thickBot="1">
      <c r="A3" s="247" t="s">
        <v>2332</v>
      </c>
      <c r="B3" s="248">
        <f ca="1">ROUND(B2*10000/(IF(B1="",'数据-汇总表'!E3,INDIRECT("'数据-取费表'!k"&amp;$G$1))),0)</f>
        <v>14402</v>
      </c>
      <c r="C3" s="243" t="s">
        <v>2333</v>
      </c>
      <c r="D3" s="243"/>
      <c r="E3" s="243"/>
      <c r="F3" s="243"/>
      <c r="G3" s="243"/>
    </row>
    <row r="4" spans="1:9" s="252" customFormat="1" ht="15.75">
      <c r="A4" s="249" t="s">
        <v>2334</v>
      </c>
      <c r="B4" s="250"/>
      <c r="C4" s="250"/>
      <c r="D4" s="250"/>
      <c r="E4" s="250"/>
      <c r="F4" s="250"/>
      <c r="G4" s="251"/>
    </row>
    <row r="5" spans="1:9" s="258" customFormat="1" ht="13.5" customHeight="1">
      <c r="A5" s="299" t="s">
        <v>2335</v>
      </c>
      <c r="B5" s="254" t="s">
        <v>2336</v>
      </c>
      <c r="C5" s="255">
        <f ca="1">C6+C7+C8</f>
        <v>15186</v>
      </c>
      <c r="D5" s="255" t="s">
        <v>2337</v>
      </c>
      <c r="E5" s="256" t="s">
        <v>2338</v>
      </c>
      <c r="F5" s="256" t="s">
        <v>2339</v>
      </c>
      <c r="G5" s="257"/>
    </row>
    <row r="6" spans="1:9" s="258" customFormat="1" ht="13.5" customHeight="1">
      <c r="A6" s="952" t="s">
        <v>2340</v>
      </c>
      <c r="B6" s="259" t="s">
        <v>2341</v>
      </c>
      <c r="C6" s="260">
        <f>'土地比较法-住宅、综合'!B2</f>
        <v>13869</v>
      </c>
      <c r="D6" s="261"/>
      <c r="E6" s="262"/>
      <c r="F6" s="262"/>
      <c r="G6" s="263"/>
    </row>
    <row r="7" spans="1:9" s="258" customFormat="1" ht="13.5" customHeight="1">
      <c r="A7" s="952" t="s">
        <v>2342</v>
      </c>
      <c r="B7" s="259" t="s">
        <v>2343</v>
      </c>
      <c r="C7" s="264">
        <f>ROUND(C6*F7,0)</f>
        <v>562</v>
      </c>
      <c r="D7" s="264"/>
      <c r="E7" s="262"/>
      <c r="F7" s="265">
        <f>'数据-取费表'!B48+'数据-取费表'!B49</f>
        <v>4.0500000000000001E-2</v>
      </c>
      <c r="G7" s="263"/>
    </row>
    <row r="8" spans="1:9" s="267" customFormat="1">
      <c r="A8" s="952" t="s">
        <v>2344</v>
      </c>
      <c r="B8" s="259" t="s">
        <v>2345</v>
      </c>
      <c r="C8" s="264">
        <f ca="1">IF(G8="已包含在土地购买价格中","0",IF(B1="",'数据-取费表'!B29,IF(G9="全部缴纳",C9+C10,H9)))</f>
        <v>755</v>
      </c>
      <c r="D8" s="266"/>
      <c r="E8" s="264"/>
      <c r="F8" s="265"/>
      <c r="G8" s="2556" t="s">
        <v>3864</v>
      </c>
    </row>
    <row r="9" spans="1:9" s="258" customFormat="1" ht="13.5" customHeight="1">
      <c r="A9" s="953" t="s">
        <v>800</v>
      </c>
      <c r="B9" s="268" t="s">
        <v>2346</v>
      </c>
      <c r="C9" s="269">
        <f ca="1">ROUND(D9*E9/10000,0)</f>
        <v>755</v>
      </c>
      <c r="D9" s="1035">
        <f ca="1">IF(B1="",'数据-汇总表'!E5,IF(INDIRECT("'数据-取费表'!c"&amp;$G$1)="住宅",INDIRECT("'数据-取费表'!k"&amp;$G$1),0))</f>
        <v>34338.32</v>
      </c>
      <c r="E9" s="269">
        <f>'数据-取费表'!B27</f>
        <v>220</v>
      </c>
      <c r="F9" s="265"/>
      <c r="G9" s="2557"/>
      <c r="H9" s="1393"/>
      <c r="I9" s="2558" t="s">
        <v>2347</v>
      </c>
    </row>
    <row r="10" spans="1:9" s="258" customFormat="1" ht="13.5" customHeight="1">
      <c r="A10" s="953" t="s">
        <v>801</v>
      </c>
      <c r="B10" s="268" t="s">
        <v>2348</v>
      </c>
      <c r="C10" s="269">
        <f ca="1">ROUND(D10*E10/10000,0)</f>
        <v>0</v>
      </c>
      <c r="D10" s="1035">
        <f ca="1">IF(B1="",'数据-汇总表'!E6,IF(INDIRECT("'数据-取费表'!c"&amp;$G$1)="住宅",INDIRECT("'数据-取费表'!s"&amp;$G$1),INDIRECT("'数据-取费表'!k"&amp;$G$1)+INDIRECT("'数据-取费表'!s"&amp;$G$1)))</f>
        <v>0</v>
      </c>
      <c r="E10" s="269">
        <f>'数据-取费表'!B28</f>
        <v>220</v>
      </c>
      <c r="F10" s="265"/>
      <c r="G10" s="270"/>
    </row>
    <row r="11" spans="1:9" s="258" customFormat="1" ht="13.5" hidden="1" customHeight="1">
      <c r="A11" s="271" t="s">
        <v>7</v>
      </c>
      <c r="B11" s="259" t="s">
        <v>2349</v>
      </c>
      <c r="C11" s="255"/>
      <c r="D11" s="1037"/>
      <c r="E11" s="262"/>
      <c r="F11" s="262"/>
      <c r="G11" s="263"/>
    </row>
    <row r="12" spans="1:9" s="258" customFormat="1" ht="13.5" hidden="1" customHeight="1">
      <c r="A12" s="271" t="s">
        <v>8</v>
      </c>
      <c r="B12" s="259" t="s">
        <v>2350</v>
      </c>
      <c r="C12" s="255">
        <v>0</v>
      </c>
      <c r="D12" s="1037"/>
      <c r="E12" s="272"/>
      <c r="F12" s="265">
        <v>3.0499999999999999E-2</v>
      </c>
      <c r="G12" s="263"/>
    </row>
    <row r="13" spans="1:9" s="258" customFormat="1" ht="13.5" hidden="1" customHeight="1">
      <c r="A13" s="271" t="s">
        <v>9</v>
      </c>
      <c r="B13" s="259" t="s">
        <v>2351</v>
      </c>
      <c r="C13" s="255"/>
      <c r="D13" s="1037"/>
      <c r="E13" s="262"/>
      <c r="F13" s="262"/>
      <c r="G13" s="263"/>
    </row>
    <row r="14" spans="1:9" s="258" customFormat="1" ht="13.5" hidden="1" customHeight="1">
      <c r="A14" s="271" t="s">
        <v>10</v>
      </c>
      <c r="B14" s="259" t="s">
        <v>2352</v>
      </c>
      <c r="C14" s="255"/>
      <c r="D14" s="1037"/>
      <c r="E14" s="262"/>
      <c r="F14" s="262"/>
      <c r="G14" s="263" t="s">
        <v>2353</v>
      </c>
    </row>
    <row r="15" spans="1:9" s="258" customFormat="1" ht="13.5" hidden="1" customHeight="1">
      <c r="A15" s="271" t="s">
        <v>11</v>
      </c>
      <c r="B15" s="259" t="s">
        <v>2354</v>
      </c>
      <c r="C15" s="264"/>
      <c r="D15" s="1037"/>
      <c r="E15" s="262"/>
      <c r="F15" s="262"/>
      <c r="G15" s="263" t="s">
        <v>2355</v>
      </c>
    </row>
    <row r="16" spans="1:9" s="258" customFormat="1" ht="13.5" hidden="1" customHeight="1">
      <c r="A16" s="271" t="s">
        <v>12</v>
      </c>
      <c r="B16" s="259" t="s">
        <v>2352</v>
      </c>
      <c r="C16" s="264"/>
      <c r="D16" s="1037"/>
      <c r="E16" s="262"/>
      <c r="F16" s="262"/>
      <c r="G16" s="263"/>
    </row>
    <row r="17" spans="1:8" s="258" customFormat="1" ht="13.5" hidden="1" customHeight="1">
      <c r="A17" s="271" t="s">
        <v>13</v>
      </c>
      <c r="B17" s="259" t="s">
        <v>2356</v>
      </c>
      <c r="C17" s="273"/>
      <c r="D17" s="1038"/>
      <c r="E17" s="273"/>
      <c r="F17" s="273"/>
      <c r="G17" s="263" t="s">
        <v>2355</v>
      </c>
    </row>
    <row r="18" spans="1:8" s="258" customFormat="1" ht="13.5" hidden="1" customHeight="1">
      <c r="A18" s="271" t="s">
        <v>14</v>
      </c>
      <c r="B18" s="259" t="s">
        <v>2357</v>
      </c>
      <c r="C18" s="264">
        <v>0</v>
      </c>
      <c r="D18" s="1037"/>
      <c r="E18" s="262"/>
      <c r="F18" s="265">
        <v>3.0499999999999999E-2</v>
      </c>
      <c r="G18" s="263" t="s">
        <v>2358</v>
      </c>
    </row>
    <row r="19" spans="1:8" s="267" customFormat="1" ht="13.5" customHeight="1">
      <c r="A19" s="299" t="s">
        <v>2359</v>
      </c>
      <c r="B19" s="254" t="s">
        <v>2360</v>
      </c>
      <c r="C19" s="255" t="str">
        <f>IF(G19="已包含在土地取得成本中","0",ROUND(D19*E19/10000,0))</f>
        <v>0</v>
      </c>
      <c r="D19" s="1039">
        <f ca="1">D9+D10</f>
        <v>34338.32</v>
      </c>
      <c r="E19" s="255">
        <f>'数据-取费表'!B31</f>
        <v>200</v>
      </c>
      <c r="F19" s="275"/>
      <c r="G19" s="2556" t="s">
        <v>3865</v>
      </c>
    </row>
    <row r="20" spans="1:8" s="258" customFormat="1" ht="13.5" customHeight="1">
      <c r="A20" s="299" t="s">
        <v>2361</v>
      </c>
      <c r="B20" s="254" t="s">
        <v>2362</v>
      </c>
      <c r="C20" s="276">
        <f ca="1">ROUND((C5+C19)*F20,0)</f>
        <v>456</v>
      </c>
      <c r="D20" s="276"/>
      <c r="E20" s="276"/>
      <c r="F20" s="277">
        <f>'数据-取费表'!B37</f>
        <v>0.03</v>
      </c>
      <c r="G20" s="278" t="s">
        <v>2363</v>
      </c>
    </row>
    <row r="21" spans="1:8" s="258" customFormat="1" ht="13.5" customHeight="1">
      <c r="A21" s="299" t="s">
        <v>2364</v>
      </c>
      <c r="B21" s="254" t="s">
        <v>2365</v>
      </c>
      <c r="C21" s="279">
        <f>F21</f>
        <v>0.03</v>
      </c>
      <c r="D21" s="280" t="s">
        <v>2366</v>
      </c>
      <c r="E21" s="276"/>
      <c r="F21" s="277">
        <f>'数据-取费表'!B38</f>
        <v>0.03</v>
      </c>
      <c r="G21" s="278" t="s">
        <v>2367</v>
      </c>
    </row>
    <row r="22" spans="1:8" s="258" customFormat="1" ht="13.5" customHeight="1">
      <c r="A22" s="299" t="s">
        <v>2368</v>
      </c>
      <c r="B22" s="254" t="s">
        <v>2369</v>
      </c>
      <c r="C22" s="1357">
        <f ca="1">ROUND(SUM(C23:C25),0)</f>
        <v>2138</v>
      </c>
      <c r="D22" s="279">
        <f ca="1">C26</f>
        <v>2E-3</v>
      </c>
      <c r="E22" s="280" t="s">
        <v>2366</v>
      </c>
      <c r="F22" s="281">
        <f ca="1">'数据-取费表'!B40</f>
        <v>4.7500000000000001E-2</v>
      </c>
      <c r="G22" s="278" t="str">
        <f>IF('数据-取费表'!B22&lt;=1,"单利计息","复利计息")</f>
        <v>复利计息</v>
      </c>
      <c r="H22" s="258">
        <v>4000</v>
      </c>
    </row>
    <row r="23" spans="1:8" s="258" customFormat="1" ht="13.5" customHeight="1">
      <c r="A23" s="954" t="s">
        <v>2370</v>
      </c>
      <c r="B23" s="259" t="s">
        <v>2371</v>
      </c>
      <c r="C23" s="1358">
        <f ca="1">ROUND(IF('数据-取费表'!B22&lt;=1,C5*F22*'数据-取费表'!B23,C5*(POWER((1+F22),'数据-取费表'!B23)-1)),0)</f>
        <v>2107</v>
      </c>
      <c r="D23" s="282"/>
      <c r="E23" s="282"/>
      <c r="F23" s="283"/>
      <c r="G23" s="284" t="s">
        <v>2372</v>
      </c>
    </row>
    <row r="24" spans="1:8" s="258" customFormat="1" ht="13.5" customHeight="1">
      <c r="A24" s="954" t="s">
        <v>2373</v>
      </c>
      <c r="B24" s="259" t="s">
        <v>2374</v>
      </c>
      <c r="C24" s="1358">
        <f ca="1">ROUND(IF('数据-取费表'!B22&lt;=1,C19*F22*('数据-取费表'!B19/2+'数据-取费表'!B21),C19*(POWER((1+F22),('数据-取费表'!B19/2+'数据-取费表'!B21))-1)),0)</f>
        <v>0</v>
      </c>
      <c r="D24" s="282"/>
      <c r="E24" s="282"/>
      <c r="F24" s="283"/>
      <c r="G24" s="284" t="s">
        <v>2375</v>
      </c>
    </row>
    <row r="25" spans="1:8" s="258" customFormat="1" ht="24">
      <c r="A25" s="954" t="s">
        <v>2376</v>
      </c>
      <c r="B25" s="259" t="s">
        <v>2377</v>
      </c>
      <c r="C25" s="1358">
        <f ca="1">ROUND(IF('数据-取费表'!B22&lt;=1,C20*F22*'数据-取费表'!B23/2,C20*(POWER((1+F22),'数据-取费表'!B23/2)-1)),0)</f>
        <v>31</v>
      </c>
      <c r="D25" s="282"/>
      <c r="E25" s="285"/>
      <c r="F25" s="283"/>
      <c r="G25" s="286" t="s">
        <v>2378</v>
      </c>
    </row>
    <row r="26" spans="1:8" s="258" customFormat="1">
      <c r="A26" s="954" t="s">
        <v>795</v>
      </c>
      <c r="B26" s="259" t="s">
        <v>2379</v>
      </c>
      <c r="C26" s="282">
        <f ca="1">ROUND(IF('数据-取费表'!B22&lt;=1,F21*F22*'数据-取费表'!B23/2,F21*(POWER((1+F22),'数据-取费表'!B23/2)-1)),4)</f>
        <v>2E-3</v>
      </c>
      <c r="D26" s="282"/>
      <c r="E26" s="285"/>
      <c r="F26" s="283"/>
      <c r="G26" s="287"/>
    </row>
    <row r="27" spans="1:8" s="258" customFormat="1" ht="24.75">
      <c r="A27" s="299" t="s">
        <v>2380</v>
      </c>
      <c r="B27" s="288" t="s">
        <v>2381</v>
      </c>
      <c r="C27" s="289">
        <f ca="1">C28</f>
        <v>5110</v>
      </c>
      <c r="D27" s="279">
        <f ca="1">C29</f>
        <v>9.7999999999999997E-3</v>
      </c>
      <c r="E27" s="280" t="s">
        <v>2382</v>
      </c>
      <c r="F27" s="290">
        <f ca="1">IF(B1="",'数据-取费表'!Q16,INDIRECT("'数据-取费表'!q"&amp;$G$1))</f>
        <v>0.35</v>
      </c>
      <c r="G27" s="291" t="s">
        <v>2383</v>
      </c>
    </row>
    <row r="28" spans="1:8" s="258" customFormat="1" ht="13.5" customHeight="1">
      <c r="A28" s="954" t="s">
        <v>791</v>
      </c>
      <c r="B28" s="292" t="s">
        <v>2384</v>
      </c>
      <c r="C28" s="293">
        <f ca="1">ROUND((C5+C19+C20)*F27*'数据-取费表'!B21/'数据-取费表'!B20,0)</f>
        <v>5110</v>
      </c>
      <c r="D28" s="279"/>
      <c r="E28" s="280"/>
      <c r="F28" s="290"/>
      <c r="G28" s="291"/>
    </row>
    <row r="29" spans="1:8" s="258" customFormat="1" ht="13.5" customHeight="1">
      <c r="A29" s="954" t="s">
        <v>792</v>
      </c>
      <c r="B29" s="292" t="s">
        <v>2385</v>
      </c>
      <c r="C29" s="282">
        <f ca="1">ROUND(C21*F27*'数据-取费表'!B21/'数据-取费表'!B20,4)</f>
        <v>9.7999999999999997E-3</v>
      </c>
      <c r="D29" s="279"/>
      <c r="E29" s="280"/>
      <c r="F29" s="290"/>
      <c r="G29" s="291"/>
    </row>
    <row r="30" spans="1:8" s="258" customFormat="1" ht="13.5" customHeight="1">
      <c r="A30" s="299" t="s">
        <v>2386</v>
      </c>
      <c r="B30" s="254" t="s">
        <v>2387</v>
      </c>
      <c r="C30" s="279">
        <f>ROUND(F30/(1+'数据-取费表'!C42),4)</f>
        <v>5.33E-2</v>
      </c>
      <c r="D30" s="280" t="s">
        <v>2382</v>
      </c>
      <c r="E30" s="285"/>
      <c r="F30" s="281">
        <f>'数据-取费表'!B41</f>
        <v>5.6000000000000001E-2</v>
      </c>
      <c r="G30" s="278" t="s">
        <v>2388</v>
      </c>
    </row>
    <row r="31" spans="1:8" ht="16.5" customHeight="1">
      <c r="A31" s="253">
        <v>1</v>
      </c>
      <c r="B31" s="254" t="s">
        <v>2389</v>
      </c>
      <c r="C31" s="255">
        <f ca="1">ROUND((C5+C19+C20+C22+C27)/(1-C21-D22-D27-C30),0)</f>
        <v>25296</v>
      </c>
      <c r="D31" s="274"/>
      <c r="E31" s="255"/>
      <c r="F31" s="294"/>
      <c r="G31" s="278" t="s">
        <v>2390</v>
      </c>
    </row>
    <row r="32" spans="1:8" s="252" customFormat="1" ht="15.75">
      <c r="A32" s="296" t="s">
        <v>2391</v>
      </c>
      <c r="B32" s="297"/>
      <c r="C32" s="297"/>
      <c r="D32" s="297"/>
      <c r="E32" s="297"/>
      <c r="F32" s="297"/>
      <c r="G32" s="298"/>
    </row>
    <row r="33" spans="1:7" s="258" customFormat="1" ht="13.5" customHeight="1">
      <c r="A33" s="299" t="s">
        <v>782</v>
      </c>
      <c r="B33" s="254" t="s">
        <v>2392</v>
      </c>
      <c r="C33" s="300">
        <f ca="1">SUM(C34:C38)</f>
        <v>14966</v>
      </c>
      <c r="D33" s="276"/>
      <c r="E33" s="256"/>
      <c r="F33" s="285"/>
      <c r="G33" s="278"/>
    </row>
    <row r="34" spans="1:7" s="302" customFormat="1" ht="13.5" customHeight="1">
      <c r="A34" s="954" t="s">
        <v>791</v>
      </c>
      <c r="B34" s="259" t="s">
        <v>2393</v>
      </c>
      <c r="C34" s="264">
        <f ca="1">IF(B1="",IF(F34=100%,'数据-取费表'!M16,'数据-取费表'!O16),IF(F34=100%,INDIRECT("'数据-取费表'!m"&amp;$G$1)+INDIRECT("'数据-取费表'!t"&amp;$G$1),INDIRECT("'数据-取费表'!o"&amp;$G$1)+INDIRECT("'数据-取费表'!aq"&amp;$G$1)))</f>
        <v>13134</v>
      </c>
      <c r="D34" s="261"/>
      <c r="E34" s="264"/>
      <c r="F34" s="301">
        <f ca="1">IF('数据-取费表'!B24=0,1,IF(B1="",'数据-取费表'!N16,INDIRECT("'数据-取费表'!n"&amp;$G$1)))</f>
        <v>0.85</v>
      </c>
      <c r="G34" s="263" t="s">
        <v>2394</v>
      </c>
    </row>
    <row r="35" spans="1:7" ht="13.5" customHeight="1">
      <c r="A35" s="954" t="s">
        <v>796</v>
      </c>
      <c r="B35" s="259" t="s">
        <v>2395</v>
      </c>
      <c r="C35" s="264">
        <f ca="1">ROUND(C34*F35,0)</f>
        <v>394</v>
      </c>
      <c r="D35" s="264"/>
      <c r="E35" s="264"/>
      <c r="F35" s="303">
        <f>'数据-取费表'!B33</f>
        <v>0.03</v>
      </c>
      <c r="G35" s="263" t="s">
        <v>2396</v>
      </c>
    </row>
    <row r="36" spans="1:7" ht="24">
      <c r="A36" s="954" t="s">
        <v>797</v>
      </c>
      <c r="B36" s="259" t="s">
        <v>2397</v>
      </c>
      <c r="C36" s="264">
        <f ca="1">ROUND(IF(B1="",SUMIF('数据-取费表'!C:C,"住宅",IF(F34=100%,'数据-取费表'!M:M,'数据-取费表'!O:O))*F36,IF(INDIRECT("'数据-取费表'!c"&amp;$G$1)="住宅",IF(F34=100%,INDIRECT("'数据-取费表'!m"&amp;$G$1)*F36,INDIRECT("'数据-取费表'!o"&amp;$G$1)*F36),0)),0)</f>
        <v>657</v>
      </c>
      <c r="D36" s="264"/>
      <c r="E36" s="264"/>
      <c r="F36" s="303">
        <f>'数据-取费表'!B34</f>
        <v>0.05</v>
      </c>
      <c r="G36" s="304" t="s">
        <v>2398</v>
      </c>
    </row>
    <row r="37" spans="1:7" s="302" customFormat="1" ht="13.5" customHeight="1">
      <c r="A37" s="954" t="s">
        <v>798</v>
      </c>
      <c r="B37" s="259" t="s">
        <v>2399</v>
      </c>
      <c r="C37" s="293">
        <f ca="1">ROUND(E37*D37*F34/10000,0)</f>
        <v>584</v>
      </c>
      <c r="D37" s="261">
        <f ca="1">D19</f>
        <v>34338.32</v>
      </c>
      <c r="E37" s="293">
        <f>'数据-取费表'!B35</f>
        <v>200</v>
      </c>
      <c r="F37" s="303"/>
      <c r="G37" s="305" t="s">
        <v>2400</v>
      </c>
    </row>
    <row r="38" spans="1:7" ht="13.5" customHeight="1">
      <c r="A38" s="954" t="s">
        <v>799</v>
      </c>
      <c r="B38" s="259" t="s">
        <v>2401</v>
      </c>
      <c r="C38" s="264">
        <f ca="1">ROUND(C34*F38,0)</f>
        <v>197</v>
      </c>
      <c r="D38" s="264"/>
      <c r="E38" s="264"/>
      <c r="F38" s="303">
        <f>'数据-取费表'!B36</f>
        <v>1.4999999999999999E-2</v>
      </c>
      <c r="G38" s="263" t="s">
        <v>2396</v>
      </c>
    </row>
    <row r="39" spans="1:7" s="258" customFormat="1" ht="13.5" customHeight="1">
      <c r="A39" s="299" t="s">
        <v>2402</v>
      </c>
      <c r="B39" s="254" t="s">
        <v>2403</v>
      </c>
      <c r="C39" s="276">
        <f ca="1">ROUND(C33*F20,0)</f>
        <v>449</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1035</v>
      </c>
      <c r="D41" s="279">
        <f ca="1">C44</f>
        <v>2E-3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ROUND(IF('数据-取费表'!B22&lt;=1,C33*F22*'数据-取费表'!B21/2,C33*(POWER((1+F22),'数据-取费表'!B21/2)-1)),0)</f>
        <v>1005</v>
      </c>
      <c r="D42" s="282"/>
      <c r="E42" s="282"/>
      <c r="F42" s="283"/>
      <c r="G42" s="3207" t="s">
        <v>2412</v>
      </c>
    </row>
    <row r="43" spans="1:7" ht="13.5" customHeight="1">
      <c r="A43" s="954" t="s">
        <v>792</v>
      </c>
      <c r="B43" s="259" t="s">
        <v>2413</v>
      </c>
      <c r="C43" s="282">
        <f ca="1">ROUND(IF('数据-取费表'!B22&lt;=1,C39*F22*'数据-取费表'!B21/2,C39*(POWER((1+F22),'数据-取费表'!B21/2)-1)),0)</f>
        <v>30</v>
      </c>
      <c r="D43" s="282"/>
      <c r="E43" s="282"/>
      <c r="F43" s="283"/>
      <c r="G43" s="3208"/>
    </row>
    <row r="44" spans="1:7" ht="13.5" customHeight="1">
      <c r="A44" s="954" t="s">
        <v>793</v>
      </c>
      <c r="B44" s="259" t="s">
        <v>2414</v>
      </c>
      <c r="C44" s="282">
        <f ca="1">ROUND(IF('数据-取费表'!B22&lt;=1,C40*F22*'数据-取费表'!B21/2,C40*(POWER((1+F22),'数据-取费表'!B21/2)-1)),4)</f>
        <v>2E-3</v>
      </c>
      <c r="D44" s="282"/>
      <c r="E44" s="282"/>
      <c r="F44" s="283"/>
      <c r="G44" s="3209"/>
    </row>
    <row r="45" spans="1:7" s="258" customFormat="1" ht="13.5" customHeight="1">
      <c r="A45" s="299" t="s">
        <v>2415</v>
      </c>
      <c r="B45" s="288" t="s">
        <v>2381</v>
      </c>
      <c r="C45" s="289">
        <f ca="1">C46</f>
        <v>5395</v>
      </c>
      <c r="D45" s="279">
        <f ca="1">C47</f>
        <v>1.0500000000000001E-2</v>
      </c>
      <c r="E45" s="280" t="s">
        <v>2407</v>
      </c>
      <c r="F45" s="290"/>
      <c r="G45" s="291" t="s">
        <v>2416</v>
      </c>
    </row>
    <row r="46" spans="1:7" s="258" customFormat="1" ht="13.5" customHeight="1">
      <c r="A46" s="954" t="s">
        <v>791</v>
      </c>
      <c r="B46" s="292" t="s">
        <v>2417</v>
      </c>
      <c r="C46" s="293">
        <f ca="1">ROUND((C33+C39)*F27,0)</f>
        <v>5395</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1730">
        <f>ROUND(F30/(1+'数据-取费表'!C42),4)</f>
        <v>5.33E-2</v>
      </c>
      <c r="D48" s="280" t="s">
        <v>2407</v>
      </c>
      <c r="E48" s="276"/>
      <c r="F48" s="281"/>
      <c r="G48" s="278" t="s">
        <v>2420</v>
      </c>
    </row>
    <row r="49" spans="1:7" ht="16.5" customHeight="1">
      <c r="A49" s="299" t="s">
        <v>2386</v>
      </c>
      <c r="B49" s="254" t="s">
        <v>2421</v>
      </c>
      <c r="C49" s="276">
        <f ca="1">ROUND((C33+C39+C41+C45)/(1-C40-D41-D45-C48),0)</f>
        <v>24159</v>
      </c>
      <c r="D49" s="276"/>
      <c r="E49" s="276"/>
      <c r="F49" s="308"/>
      <c r="G49" s="278" t="s">
        <v>2422</v>
      </c>
    </row>
    <row r="50" spans="1:7" s="302" customFormat="1" ht="24">
      <c r="A50" s="299" t="s">
        <v>2423</v>
      </c>
      <c r="B50" s="254" t="s">
        <v>2424</v>
      </c>
      <c r="C50" s="276"/>
      <c r="D50" s="276"/>
      <c r="E50" s="276"/>
      <c r="F50" s="308">
        <f>IF('数据-取费表'!B24=0,'数据-取费表'!N16,1)</f>
        <v>1</v>
      </c>
      <c r="G50" s="291" t="s">
        <v>2425</v>
      </c>
    </row>
    <row r="51" spans="1:7" ht="16.5" customHeight="1">
      <c r="A51" s="299" t="s">
        <v>2426</v>
      </c>
      <c r="B51" s="254" t="s">
        <v>2427</v>
      </c>
      <c r="C51" s="276">
        <f ca="1">ROUND(C49*F50,0)</f>
        <v>24159</v>
      </c>
      <c r="D51" s="276"/>
      <c r="E51" s="276"/>
      <c r="F51" s="308"/>
      <c r="G51" s="278" t="s">
        <v>2428</v>
      </c>
    </row>
    <row r="52" spans="1:7" s="252" customFormat="1" ht="16.5" thickBot="1">
      <c r="A52" s="309" t="s">
        <v>2429</v>
      </c>
      <c r="B52" s="310"/>
      <c r="C52" s="311">
        <f ca="1">C31+C51</f>
        <v>49455</v>
      </c>
      <c r="D52" s="310"/>
      <c r="E52" s="310"/>
      <c r="F52" s="310"/>
      <c r="G52" s="312"/>
    </row>
    <row r="55" spans="1:7" ht="15">
      <c r="B55" s="314" t="s">
        <v>2430</v>
      </c>
      <c r="C55" s="315"/>
    </row>
    <row r="56" spans="1:7">
      <c r="B56" s="317" t="s">
        <v>1509</v>
      </c>
      <c r="C56" s="319">
        <f ca="1">1-C57</f>
        <v>0.51100000000000001</v>
      </c>
    </row>
    <row r="57" spans="1:7">
      <c r="B57" s="317" t="s">
        <v>1510</v>
      </c>
      <c r="C57" s="318">
        <f ca="1">ROUND(C51/C52,3)</f>
        <v>0.48899999999999999</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2329</v>
      </c>
      <c r="B1" s="1939"/>
      <c r="C1" s="2559" t="s">
        <v>2431</v>
      </c>
      <c r="D1" s="242"/>
      <c r="E1" s="242"/>
      <c r="F1" s="242"/>
      <c r="G1" s="1382">
        <f>MATCH(B1,'数据-取费表'!A6:A16,0)+5</f>
        <v>7</v>
      </c>
      <c r="H1" s="1285" t="str">
        <f>IF(ISERROR(FIND("住宅",B1)),"非住宅","住宅")</f>
        <v>非住宅</v>
      </c>
    </row>
    <row r="2" spans="1:8" s="244" customFormat="1" ht="18" customHeight="1">
      <c r="A2" s="245" t="s">
        <v>2330</v>
      </c>
      <c r="B2" s="246">
        <f ca="1">ROUND(IF(D2="——",C52/10000,C52/10000-E2),0)</f>
        <v>30989</v>
      </c>
      <c r="C2" s="243" t="s">
        <v>2331</v>
      </c>
      <c r="D2" s="2553" t="s">
        <v>70</v>
      </c>
      <c r="E2" s="1443" t="e">
        <f ca="1">SUMIF(INDIRECT("'"&amp;G2&amp;"'"&amp;"!A:A"),"承租人权益价值",INDIRECT("'"&amp;G2&amp;"'"&amp;"!c:c"))</f>
        <v>#REF!</v>
      </c>
      <c r="F2" s="2554" t="s">
        <v>2331</v>
      </c>
      <c r="G2" s="2555"/>
    </row>
    <row r="3" spans="1:8" s="244" customFormat="1" ht="18" customHeight="1" thickBot="1">
      <c r="A3" s="247" t="s">
        <v>2332</v>
      </c>
      <c r="B3" s="248">
        <f ca="1">ROUND(B2*10000/(IF(B1="",'数据-汇总表'!E3,INDIRECT("'数据-取费表'!k"&amp;$G$1))),0)</f>
        <v>9025</v>
      </c>
      <c r="C3" s="243" t="s">
        <v>2333</v>
      </c>
      <c r="D3" s="243"/>
      <c r="E3" s="243"/>
      <c r="F3" s="243"/>
      <c r="G3" s="243"/>
    </row>
    <row r="4" spans="1:8" s="252" customFormat="1" ht="15.75">
      <c r="A4" s="249" t="s">
        <v>2334</v>
      </c>
      <c r="B4" s="250"/>
      <c r="C4" s="250"/>
      <c r="D4" s="250"/>
      <c r="E4" s="250"/>
      <c r="F4" s="250"/>
      <c r="G4" s="251"/>
    </row>
    <row r="5" spans="1:8" s="258" customFormat="1" ht="13.5" customHeight="1">
      <c r="A5" s="299" t="s">
        <v>2335</v>
      </c>
      <c r="B5" s="254" t="s">
        <v>2336</v>
      </c>
      <c r="C5" s="255">
        <f ca="1">C6+C7+C8</f>
        <v>7554430</v>
      </c>
      <c r="D5" s="255" t="s">
        <v>2337</v>
      </c>
      <c r="E5" s="256" t="s">
        <v>2338</v>
      </c>
      <c r="F5" s="256" t="s">
        <v>2339</v>
      </c>
      <c r="G5" s="257"/>
    </row>
    <row r="6" spans="1:8" s="258" customFormat="1" ht="13.5" customHeight="1">
      <c r="A6" s="952" t="s">
        <v>2340</v>
      </c>
      <c r="B6" s="259" t="s">
        <v>2341</v>
      </c>
      <c r="C6" s="260"/>
      <c r="D6" s="261"/>
      <c r="E6" s="262"/>
      <c r="F6" s="262"/>
      <c r="G6" s="263"/>
    </row>
    <row r="7" spans="1:8" s="258" customFormat="1" ht="13.5" customHeight="1">
      <c r="A7" s="952" t="s">
        <v>2342</v>
      </c>
      <c r="B7" s="259" t="s">
        <v>2343</v>
      </c>
      <c r="C7" s="264">
        <f>ROUND(C6*F7,0)</f>
        <v>0</v>
      </c>
      <c r="D7" s="264"/>
      <c r="E7" s="262"/>
      <c r="F7" s="265">
        <f>'数据-取费表'!B48+'数据-取费表'!B49</f>
        <v>4.0500000000000001E-2</v>
      </c>
      <c r="G7" s="263"/>
    </row>
    <row r="8" spans="1:8" s="267" customFormat="1">
      <c r="A8" s="952" t="s">
        <v>2344</v>
      </c>
      <c r="B8" s="259" t="s">
        <v>2345</v>
      </c>
      <c r="C8" s="264">
        <f ca="1">IF(G8="已包含在土地购买价格中",0,C9+C10)</f>
        <v>7554430</v>
      </c>
      <c r="D8" s="266"/>
      <c r="E8" s="264"/>
      <c r="F8" s="265"/>
      <c r="G8" s="2556"/>
    </row>
    <row r="9" spans="1:8" s="258" customFormat="1" ht="13.5" customHeight="1">
      <c r="A9" s="953" t="s">
        <v>800</v>
      </c>
      <c r="B9" s="268" t="s">
        <v>2346</v>
      </c>
      <c r="C9" s="269">
        <f ca="1">ROUND(D9*E9,0)</f>
        <v>7554430</v>
      </c>
      <c r="D9" s="1035">
        <f ca="1">IF(B1="",'数据-汇总表'!E5,IF(INDIRECT("'数据-取费表'!c"&amp;$G$1)="住宅",INDIRECT("'数据-取费表'!k"&amp;$G$1),0))</f>
        <v>34338.32</v>
      </c>
      <c r="E9" s="269">
        <f>'数据-取费表'!B27</f>
        <v>220</v>
      </c>
      <c r="F9" s="265"/>
      <c r="G9" s="270"/>
    </row>
    <row r="10" spans="1:8" s="258" customFormat="1" ht="13.5" customHeight="1">
      <c r="A10" s="953" t="s">
        <v>801</v>
      </c>
      <c r="B10" s="268" t="s">
        <v>2348</v>
      </c>
      <c r="C10" s="269">
        <f ca="1">ROUND(D10*E10,0)</f>
        <v>0</v>
      </c>
      <c r="D10" s="1035">
        <f ca="1">IF(B1="",'数据-汇总表'!E6,IF(INDIRECT("'数据-取费表'!c"&amp;$G$1)="住宅",INDIRECT("'数据-取费表'!s"&amp;$G$1),INDIRECT("'数据-取费表'!k"&amp;$G$1)+INDIRECT("'数据-取费表'!s"&amp;$G$1)))</f>
        <v>0</v>
      </c>
      <c r="E10" s="269">
        <f>'数据-取费表'!B28</f>
        <v>220</v>
      </c>
      <c r="F10" s="265"/>
      <c r="G10" s="270"/>
    </row>
    <row r="11" spans="1:8" s="258" customFormat="1" ht="13.5" hidden="1" customHeight="1">
      <c r="A11" s="271" t="s">
        <v>7</v>
      </c>
      <c r="B11" s="259" t="s">
        <v>2349</v>
      </c>
      <c r="C11" s="255"/>
      <c r="D11" s="1037"/>
      <c r="E11" s="262"/>
      <c r="F11" s="262"/>
      <c r="G11" s="263"/>
    </row>
    <row r="12" spans="1:8" s="258" customFormat="1" ht="13.5" hidden="1" customHeight="1">
      <c r="A12" s="271" t="s">
        <v>8</v>
      </c>
      <c r="B12" s="259" t="s">
        <v>2432</v>
      </c>
      <c r="C12" s="255">
        <v>0</v>
      </c>
      <c r="D12" s="1037"/>
      <c r="E12" s="272"/>
      <c r="F12" s="265">
        <v>3.0499999999999999E-2</v>
      </c>
      <c r="G12" s="263"/>
    </row>
    <row r="13" spans="1:8" s="258" customFormat="1" ht="13.5" hidden="1" customHeight="1">
      <c r="A13" s="271" t="s">
        <v>9</v>
      </c>
      <c r="B13" s="259" t="s">
        <v>2433</v>
      </c>
      <c r="C13" s="255"/>
      <c r="D13" s="1037"/>
      <c r="E13" s="262"/>
      <c r="F13" s="262"/>
      <c r="G13" s="263"/>
    </row>
    <row r="14" spans="1:8" s="258" customFormat="1" ht="13.5" hidden="1" customHeight="1">
      <c r="A14" s="271" t="s">
        <v>10</v>
      </c>
      <c r="B14" s="259" t="s">
        <v>2345</v>
      </c>
      <c r="C14" s="255"/>
      <c r="D14" s="1037"/>
      <c r="E14" s="262"/>
      <c r="F14" s="262"/>
      <c r="G14" s="263" t="s">
        <v>2434</v>
      </c>
    </row>
    <row r="15" spans="1:8" s="258" customFormat="1" ht="13.5" hidden="1" customHeight="1">
      <c r="A15" s="271" t="s">
        <v>11</v>
      </c>
      <c r="B15" s="259" t="s">
        <v>2435</v>
      </c>
      <c r="C15" s="264"/>
      <c r="D15" s="1037"/>
      <c r="E15" s="262"/>
      <c r="F15" s="262"/>
      <c r="G15" s="263" t="s">
        <v>2436</v>
      </c>
    </row>
    <row r="16" spans="1:8" s="258" customFormat="1" ht="13.5" hidden="1" customHeight="1">
      <c r="A16" s="271" t="s">
        <v>12</v>
      </c>
      <c r="B16" s="259" t="s">
        <v>2345</v>
      </c>
      <c r="C16" s="264"/>
      <c r="D16" s="1037"/>
      <c r="E16" s="262"/>
      <c r="F16" s="262"/>
      <c r="G16" s="263"/>
    </row>
    <row r="17" spans="1:7" s="258" customFormat="1" ht="13.5" hidden="1" customHeight="1">
      <c r="A17" s="271" t="s">
        <v>13</v>
      </c>
      <c r="B17" s="259" t="s">
        <v>2437</v>
      </c>
      <c r="C17" s="273"/>
      <c r="D17" s="1038"/>
      <c r="E17" s="273"/>
      <c r="F17" s="273"/>
      <c r="G17" s="263" t="s">
        <v>2436</v>
      </c>
    </row>
    <row r="18" spans="1:7" s="258" customFormat="1" ht="13.5" hidden="1" customHeight="1">
      <c r="A18" s="271" t="s">
        <v>14</v>
      </c>
      <c r="B18" s="259" t="s">
        <v>2438</v>
      </c>
      <c r="C18" s="264">
        <v>0</v>
      </c>
      <c r="D18" s="1037"/>
      <c r="E18" s="262"/>
      <c r="F18" s="265">
        <v>3.0499999999999999E-2</v>
      </c>
      <c r="G18" s="263" t="s">
        <v>2439</v>
      </c>
    </row>
    <row r="19" spans="1:7" s="267" customFormat="1" ht="13.5" customHeight="1">
      <c r="A19" s="299" t="s">
        <v>2440</v>
      </c>
      <c r="B19" s="254" t="s">
        <v>2441</v>
      </c>
      <c r="C19" s="255">
        <f ca="1">IF(G19="已包含在土地取得成本中","0",ROUND(D19*E19,0))</f>
        <v>6867664</v>
      </c>
      <c r="D19" s="1039">
        <f ca="1">D9+D10</f>
        <v>34338.32</v>
      </c>
      <c r="E19" s="255">
        <f>'数据-取费表'!B31</f>
        <v>200</v>
      </c>
      <c r="F19" s="275"/>
      <c r="G19" s="2556"/>
    </row>
    <row r="20" spans="1:7" s="258" customFormat="1" ht="13.5" customHeight="1">
      <c r="A20" s="299" t="s">
        <v>2442</v>
      </c>
      <c r="B20" s="254" t="s">
        <v>2443</v>
      </c>
      <c r="C20" s="276">
        <f ca="1">ROUND((C5+C19)*F20,0)</f>
        <v>432663</v>
      </c>
      <c r="D20" s="276"/>
      <c r="E20" s="276"/>
      <c r="F20" s="277">
        <f>'数据-取费表'!B37</f>
        <v>0.03</v>
      </c>
      <c r="G20" s="278" t="s">
        <v>2444</v>
      </c>
    </row>
    <row r="21" spans="1:7" s="258" customFormat="1" ht="13.5" customHeight="1">
      <c r="A21" s="299" t="s">
        <v>2445</v>
      </c>
      <c r="B21" s="254" t="s">
        <v>2446</v>
      </c>
      <c r="C21" s="279">
        <f>F21</f>
        <v>0.03</v>
      </c>
      <c r="D21" s="280" t="s">
        <v>2447</v>
      </c>
      <c r="E21" s="276"/>
      <c r="F21" s="277">
        <f>'数据-取费表'!B38</f>
        <v>0.03</v>
      </c>
      <c r="G21" s="278" t="s">
        <v>2448</v>
      </c>
    </row>
    <row r="22" spans="1:7" s="258" customFormat="1" ht="13.5" customHeight="1">
      <c r="A22" s="299" t="s">
        <v>2449</v>
      </c>
      <c r="B22" s="254" t="s">
        <v>2450</v>
      </c>
      <c r="C22" s="1383">
        <f ca="1">ROUND(SUM(C23:C25),0)</f>
        <v>2185504</v>
      </c>
      <c r="D22" s="279">
        <f ca="1">C26</f>
        <v>2.2000000000000001E-3</v>
      </c>
      <c r="E22" s="280" t="s">
        <v>2447</v>
      </c>
      <c r="F22" s="281">
        <f ca="1">'数据-取费表'!B40</f>
        <v>4.7500000000000001E-2</v>
      </c>
      <c r="G22" s="278" t="str">
        <f>IF('数据-取费表'!B22&lt;=1,"单利计息","复利计息")</f>
        <v>复利计息</v>
      </c>
    </row>
    <row r="23" spans="1:7" s="258" customFormat="1" ht="13.5" customHeight="1">
      <c r="A23" s="954" t="s">
        <v>2340</v>
      </c>
      <c r="B23" s="259" t="s">
        <v>2451</v>
      </c>
      <c r="C23" s="1384">
        <f ca="1">ROUND(IF('数据-取费表'!B22&lt;=1,C5*F22*'数据-取费表'!B22,C5*(POWER((1+F22),'数据-取费表'!B22)-1)),0)</f>
        <v>1128450</v>
      </c>
      <c r="D23" s="282"/>
      <c r="E23" s="282"/>
      <c r="F23" s="283"/>
      <c r="G23" s="284" t="s">
        <v>2452</v>
      </c>
    </row>
    <row r="24" spans="1:7" s="258" customFormat="1" ht="13.5" customHeight="1">
      <c r="A24" s="954" t="s">
        <v>2342</v>
      </c>
      <c r="B24" s="259" t="s">
        <v>2453</v>
      </c>
      <c r="C24" s="1384">
        <f ca="1">ROUND(IF('数据-取费表'!B22&lt;=1,C19*F22*('数据-取费表'!B19/2+'数据-取费表'!B20),C19*(POWER((1+F22),('数据-取费表'!B19/2+'数据-取费表'!B20))-1)),0)</f>
        <v>1025864</v>
      </c>
      <c r="D24" s="282"/>
      <c r="E24" s="282"/>
      <c r="F24" s="283"/>
      <c r="G24" s="284" t="s">
        <v>2454</v>
      </c>
    </row>
    <row r="25" spans="1:7" s="258" customFormat="1" ht="24">
      <c r="A25" s="954" t="s">
        <v>2344</v>
      </c>
      <c r="B25" s="259" t="s">
        <v>2455</v>
      </c>
      <c r="C25" s="1384">
        <f ca="1">ROUND(IF('数据-取费表'!B22&lt;=1,C20*F22*'数据-取费表'!B22/2,C20*(POWER((1+F22),'数据-取费表'!B22/2)-1)),0)</f>
        <v>31190</v>
      </c>
      <c r="D25" s="282"/>
      <c r="E25" s="285"/>
      <c r="F25" s="283"/>
      <c r="G25" s="286" t="s">
        <v>2456</v>
      </c>
    </row>
    <row r="26" spans="1:7" s="258" customFormat="1">
      <c r="A26" s="954" t="s">
        <v>795</v>
      </c>
      <c r="B26" s="259" t="s">
        <v>2379</v>
      </c>
      <c r="C26" s="282">
        <f ca="1">ROUND(IF('数据-取费表'!B22&lt;=1,F21*F22*'数据-取费表'!B22/2,F21*(POWER((1+F22),'数据-取费表'!B22/2)-1)),4)</f>
        <v>2.2000000000000001E-3</v>
      </c>
      <c r="D26" s="282"/>
      <c r="E26" s="285"/>
      <c r="F26" s="283"/>
      <c r="G26" s="287"/>
    </row>
    <row r="27" spans="1:7" s="258" customFormat="1" ht="24.75">
      <c r="A27" s="299" t="s">
        <v>2380</v>
      </c>
      <c r="B27" s="288" t="s">
        <v>2381</v>
      </c>
      <c r="C27" s="289">
        <f ca="1">C28</f>
        <v>5199165</v>
      </c>
      <c r="D27" s="279">
        <f ca="1">C29</f>
        <v>1.0500000000000001E-2</v>
      </c>
      <c r="E27" s="280" t="s">
        <v>2382</v>
      </c>
      <c r="F27" s="290">
        <f ca="1">IF(B1="",'数据-取费表'!Q16,INDIRECT("'数据-取费表'!q"&amp;$G$1))</f>
        <v>0.35</v>
      </c>
      <c r="G27" s="291" t="s">
        <v>2383</v>
      </c>
    </row>
    <row r="28" spans="1:7" s="258" customFormat="1" ht="13.5" customHeight="1">
      <c r="A28" s="954" t="s">
        <v>791</v>
      </c>
      <c r="B28" s="292" t="s">
        <v>2384</v>
      </c>
      <c r="C28" s="293">
        <f ca="1">ROUND((C5+C19+C20)*F27,0)</f>
        <v>5199165</v>
      </c>
      <c r="D28" s="279"/>
      <c r="E28" s="280"/>
      <c r="F28" s="290"/>
      <c r="G28" s="291"/>
    </row>
    <row r="29" spans="1:7" s="258" customFormat="1" ht="13.5" customHeight="1">
      <c r="A29" s="954" t="s">
        <v>792</v>
      </c>
      <c r="B29" s="292" t="s">
        <v>2385</v>
      </c>
      <c r="C29" s="282">
        <f ca="1">ROUND(C21*F27,4)</f>
        <v>1.0500000000000001E-2</v>
      </c>
      <c r="D29" s="279"/>
      <c r="E29" s="280"/>
      <c r="F29" s="290"/>
      <c r="G29" s="291"/>
    </row>
    <row r="30" spans="1:7" s="258" customFormat="1" ht="13.5" customHeight="1">
      <c r="A30" s="299" t="s">
        <v>2386</v>
      </c>
      <c r="B30" s="254" t="s">
        <v>2387</v>
      </c>
      <c r="C30" s="279">
        <f>ROUND(F30/(1+'数据-取费表'!C42),4)</f>
        <v>5.33E-2</v>
      </c>
      <c r="D30" s="280" t="s">
        <v>2382</v>
      </c>
      <c r="E30" s="285"/>
      <c r="F30" s="281">
        <f>'数据-取费表'!B41</f>
        <v>5.6000000000000001E-2</v>
      </c>
      <c r="G30" s="278" t="s">
        <v>2388</v>
      </c>
    </row>
    <row r="31" spans="1:7" ht="16.5" customHeight="1">
      <c r="A31" s="253">
        <v>1</v>
      </c>
      <c r="B31" s="254" t="s">
        <v>2389</v>
      </c>
      <c r="C31" s="255">
        <f ca="1">ROUND((C5+C19+C20+C22+C27)/(1-C21-D22-D27-C30),0)</f>
        <v>24601135</v>
      </c>
      <c r="D31" s="274"/>
      <c r="E31" s="255"/>
      <c r="F31" s="294"/>
      <c r="G31" s="278" t="s">
        <v>2390</v>
      </c>
    </row>
    <row r="32" spans="1:7" s="252" customFormat="1" ht="15.75">
      <c r="A32" s="296" t="s">
        <v>2457</v>
      </c>
      <c r="B32" s="297"/>
      <c r="C32" s="297"/>
      <c r="D32" s="297"/>
      <c r="E32" s="297"/>
      <c r="F32" s="297"/>
      <c r="G32" s="298"/>
    </row>
    <row r="33" spans="1:7" s="258" customFormat="1" ht="13.5" customHeight="1">
      <c r="A33" s="299" t="s">
        <v>782</v>
      </c>
      <c r="B33" s="254" t="s">
        <v>2458</v>
      </c>
      <c r="C33" s="300">
        <f ca="1">SUM(C34:C38)</f>
        <v>176069736</v>
      </c>
      <c r="D33" s="276"/>
      <c r="E33" s="256"/>
      <c r="F33" s="285"/>
      <c r="G33" s="278"/>
    </row>
    <row r="34" spans="1:7" s="302" customFormat="1" ht="13.5" customHeight="1">
      <c r="A34" s="954" t="s">
        <v>791</v>
      </c>
      <c r="B34" s="259" t="s">
        <v>2393</v>
      </c>
      <c r="C34" s="264">
        <f ca="1">ROUND(IF(B1="",SUMPRODUCT('数据-取费表'!K6:K14,'数据-取费表'!L6:L14),INDIRECT("'数据-取费表'!l"&amp;$G$1)*INDIRECT("'数据-取费表'!k"&amp;$G$1)+'数据-取费表'!L14*INDIRECT("'数据-取费表'!S"&amp;$G$1)),0)</f>
        <v>154522440</v>
      </c>
      <c r="D34" s="261"/>
      <c r="E34" s="264"/>
      <c r="F34" s="301"/>
      <c r="G34" s="263"/>
    </row>
    <row r="35" spans="1:7" ht="13.5" customHeight="1">
      <c r="A35" s="954" t="s">
        <v>796</v>
      </c>
      <c r="B35" s="259" t="s">
        <v>2395</v>
      </c>
      <c r="C35" s="264">
        <f ca="1">ROUND(C34*F35,0)</f>
        <v>4635673</v>
      </c>
      <c r="D35" s="264"/>
      <c r="E35" s="264"/>
      <c r="F35" s="303">
        <f>'数据-取费表'!B33</f>
        <v>0.03</v>
      </c>
      <c r="G35" s="263" t="s">
        <v>2396</v>
      </c>
    </row>
    <row r="36" spans="1:7" ht="24">
      <c r="A36" s="954" t="s">
        <v>797</v>
      </c>
      <c r="B36" s="259" t="s">
        <v>2397</v>
      </c>
      <c r="C36" s="264">
        <f ca="1">ROUND(IF(B1="",SUM('数据-取费表'!AP6:AP13)*F36,IF(INDIRECT("'数据-取费表'!c"&amp;$G$1)="住宅",INDIRECT("'数据-取费表'!k"&amp;$G$1)*INDIRECT("'数据-取费表'!l"&amp;$G$1)*F36,0)),0)</f>
        <v>7726122</v>
      </c>
      <c r="D36" s="264"/>
      <c r="E36" s="264"/>
      <c r="F36" s="303">
        <f>'数据-取费表'!B34</f>
        <v>0.05</v>
      </c>
      <c r="G36" s="304" t="s">
        <v>2398</v>
      </c>
    </row>
    <row r="37" spans="1:7" s="302" customFormat="1" ht="13.5" customHeight="1">
      <c r="A37" s="954" t="s">
        <v>798</v>
      </c>
      <c r="B37" s="259" t="s">
        <v>2399</v>
      </c>
      <c r="C37" s="293">
        <f ca="1">ROUND(E37*D37,0)</f>
        <v>6867664</v>
      </c>
      <c r="D37" s="261">
        <f ca="1">D19</f>
        <v>34338.32</v>
      </c>
      <c r="E37" s="293">
        <f>'数据-取费表'!B35</f>
        <v>200</v>
      </c>
      <c r="F37" s="303"/>
      <c r="G37" s="305"/>
    </row>
    <row r="38" spans="1:7" ht="13.5" customHeight="1">
      <c r="A38" s="954" t="s">
        <v>799</v>
      </c>
      <c r="B38" s="259" t="s">
        <v>2401</v>
      </c>
      <c r="C38" s="264">
        <f ca="1">ROUND(C34*F38,0)</f>
        <v>2317837</v>
      </c>
      <c r="D38" s="264"/>
      <c r="E38" s="264"/>
      <c r="F38" s="303">
        <f>'数据-取费表'!B36</f>
        <v>1.4999999999999999E-2</v>
      </c>
      <c r="G38" s="263" t="s">
        <v>2396</v>
      </c>
    </row>
    <row r="39" spans="1:7" s="258" customFormat="1" ht="13.5" customHeight="1">
      <c r="A39" s="299" t="s">
        <v>2402</v>
      </c>
      <c r="B39" s="254" t="s">
        <v>2403</v>
      </c>
      <c r="C39" s="276">
        <f ca="1">ROUND(C33*F20,0)</f>
        <v>5282092</v>
      </c>
      <c r="D39" s="276"/>
      <c r="E39" s="276"/>
      <c r="F39" s="277"/>
      <c r="G39" s="278" t="s">
        <v>2404</v>
      </c>
    </row>
    <row r="40" spans="1:7" s="258" customFormat="1" ht="13.5" customHeight="1">
      <c r="A40" s="299" t="s">
        <v>2405</v>
      </c>
      <c r="B40" s="254" t="s">
        <v>2406</v>
      </c>
      <c r="C40" s="1730">
        <f>F21</f>
        <v>0.03</v>
      </c>
      <c r="D40" s="280" t="s">
        <v>2407</v>
      </c>
      <c r="E40" s="276"/>
      <c r="F40" s="277"/>
      <c r="G40" s="278" t="s">
        <v>2408</v>
      </c>
    </row>
    <row r="41" spans="1:7" s="258" customFormat="1" ht="13.5" customHeight="1">
      <c r="A41" s="299" t="s">
        <v>2409</v>
      </c>
      <c r="B41" s="254" t="s">
        <v>2410</v>
      </c>
      <c r="C41" s="276">
        <f ca="1">ROUND(SUM(C42:C43),0)</f>
        <v>13073564</v>
      </c>
      <c r="D41" s="279">
        <f ca="1">C44</f>
        <v>2.2000000000000001E-3</v>
      </c>
      <c r="E41" s="280" t="s">
        <v>2407</v>
      </c>
      <c r="F41" s="281"/>
      <c r="G41" s="278" t="str">
        <f>IF('数据-取费表'!B22&lt;=1,"单利计息","复利计息")</f>
        <v>复利计息</v>
      </c>
    </row>
    <row r="42" spans="1:7" ht="13.5" customHeight="1">
      <c r="A42" s="954" t="s">
        <v>791</v>
      </c>
      <c r="B42" s="259" t="s">
        <v>2411</v>
      </c>
      <c r="C42" s="282">
        <f ca="1">ROUND(IF('数据-取费表'!B22&lt;=1,C33*F22*'数据-取费表'!B20/2,C33*(POWER((1+F22),'数据-取费表'!B20/2)-1)),0)</f>
        <v>12692781</v>
      </c>
      <c r="D42" s="282"/>
      <c r="E42" s="282"/>
      <c r="F42" s="283"/>
      <c r="G42" s="3207" t="s">
        <v>2459</v>
      </c>
    </row>
    <row r="43" spans="1:7" ht="13.5" customHeight="1">
      <c r="A43" s="954" t="s">
        <v>792</v>
      </c>
      <c r="B43" s="259" t="s">
        <v>2413</v>
      </c>
      <c r="C43" s="282">
        <f ca="1">ROUND(IF('数据-取费表'!B22&lt;=1,C39*F22*'数据-取费表'!B20/2,C39*(POWER((1+F22),'数据-取费表'!B20/2)-1)),0)</f>
        <v>380783</v>
      </c>
      <c r="D43" s="282"/>
      <c r="E43" s="282"/>
      <c r="F43" s="283"/>
      <c r="G43" s="3208"/>
    </row>
    <row r="44" spans="1:7" ht="13.5" customHeight="1">
      <c r="A44" s="954" t="s">
        <v>793</v>
      </c>
      <c r="B44" s="259" t="s">
        <v>2414</v>
      </c>
      <c r="C44" s="282">
        <f ca="1">ROUND(IF('数据-取费表'!B22&lt;=1,C40*F22*'数据-取费表'!B20/2,C40*(POWER((1+F22),'数据-取费表'!B20/2)-1)),4)</f>
        <v>2.2000000000000001E-3</v>
      </c>
      <c r="D44" s="282"/>
      <c r="E44" s="282"/>
      <c r="F44" s="283"/>
      <c r="G44" s="3209"/>
    </row>
    <row r="45" spans="1:7" s="258" customFormat="1" ht="13.5" customHeight="1">
      <c r="A45" s="299" t="s">
        <v>2415</v>
      </c>
      <c r="B45" s="288" t="s">
        <v>2381</v>
      </c>
      <c r="C45" s="289">
        <f ca="1">C46</f>
        <v>63473140</v>
      </c>
      <c r="D45" s="279">
        <f ca="1">C47</f>
        <v>1.0500000000000001E-2</v>
      </c>
      <c r="E45" s="280" t="s">
        <v>2407</v>
      </c>
      <c r="F45" s="290"/>
      <c r="G45" s="291" t="s">
        <v>2416</v>
      </c>
    </row>
    <row r="46" spans="1:7" s="258" customFormat="1" ht="13.5" customHeight="1">
      <c r="A46" s="954" t="s">
        <v>791</v>
      </c>
      <c r="B46" s="292" t="s">
        <v>2417</v>
      </c>
      <c r="C46" s="293">
        <f ca="1">ROUND((C33+C39)*F27,0)</f>
        <v>63473140</v>
      </c>
      <c r="D46" s="307"/>
      <c r="E46" s="280"/>
      <c r="F46" s="290"/>
      <c r="G46" s="291"/>
    </row>
    <row r="47" spans="1:7" s="258" customFormat="1" ht="13.5" customHeight="1">
      <c r="A47" s="954" t="s">
        <v>792</v>
      </c>
      <c r="B47" s="292" t="s">
        <v>2418</v>
      </c>
      <c r="C47" s="282">
        <f ca="1">ROUND(C40*F27,4)</f>
        <v>1.0500000000000001E-2</v>
      </c>
      <c r="D47" s="307"/>
      <c r="E47" s="280"/>
      <c r="F47" s="290"/>
      <c r="G47" s="291"/>
    </row>
    <row r="48" spans="1:7" s="258" customFormat="1" ht="13.5" customHeight="1">
      <c r="A48" s="299" t="s">
        <v>2380</v>
      </c>
      <c r="B48" s="254" t="s">
        <v>2419</v>
      </c>
      <c r="C48" s="306">
        <f>ROUND(F30/(1+'数据-取费表'!C42),4)</f>
        <v>5.33E-2</v>
      </c>
      <c r="D48" s="280" t="s">
        <v>2407</v>
      </c>
      <c r="E48" s="276"/>
      <c r="F48" s="281"/>
      <c r="G48" s="278" t="s">
        <v>2420</v>
      </c>
    </row>
    <row r="49" spans="1:7" ht="16.5" customHeight="1">
      <c r="A49" s="299" t="s">
        <v>2386</v>
      </c>
      <c r="B49" s="254" t="s">
        <v>2460</v>
      </c>
      <c r="C49" s="276">
        <f ca="1">ROUND((C33+C39+C41+C45)/(1-C40-D41-D45-C48),0)</f>
        <v>285285987</v>
      </c>
      <c r="D49" s="276"/>
      <c r="E49" s="276"/>
      <c r="F49" s="308"/>
      <c r="G49" s="278" t="s">
        <v>2422</v>
      </c>
    </row>
    <row r="50" spans="1:7" s="302" customFormat="1">
      <c r="A50" s="299" t="s">
        <v>2423</v>
      </c>
      <c r="B50" s="254" t="s">
        <v>2424</v>
      </c>
      <c r="C50" s="276"/>
      <c r="D50" s="276"/>
      <c r="E50" s="276"/>
      <c r="F50" s="308">
        <f>IF('数据-取费表'!B24=0,'数据-取费表'!N16,1)</f>
        <v>1</v>
      </c>
      <c r="G50" s="291"/>
    </row>
    <row r="51" spans="1:7" ht="16.5" customHeight="1">
      <c r="A51" s="299" t="s">
        <v>2426</v>
      </c>
      <c r="B51" s="254" t="s">
        <v>2461</v>
      </c>
      <c r="C51" s="276">
        <f ca="1">ROUND(C49*F50,0)</f>
        <v>285285987</v>
      </c>
      <c r="D51" s="276"/>
      <c r="E51" s="276"/>
      <c r="F51" s="308"/>
      <c r="G51" s="278" t="s">
        <v>2428</v>
      </c>
    </row>
    <row r="52" spans="1:7" s="252" customFormat="1" ht="16.5" thickBot="1">
      <c r="A52" s="309" t="s">
        <v>2429</v>
      </c>
      <c r="B52" s="310"/>
      <c r="C52" s="311">
        <f ca="1">C31+C51</f>
        <v>309887122</v>
      </c>
      <c r="D52" s="310"/>
      <c r="E52" s="310"/>
      <c r="F52" s="310"/>
      <c r="G52" s="312"/>
    </row>
    <row r="55" spans="1:7" ht="15">
      <c r="B55" s="314" t="s">
        <v>2430</v>
      </c>
      <c r="C55" s="315"/>
    </row>
    <row r="56" spans="1:7">
      <c r="B56" s="317" t="s">
        <v>1509</v>
      </c>
      <c r="C56" s="319">
        <f ca="1">1-C57</f>
        <v>7.8999999999999959E-2</v>
      </c>
    </row>
    <row r="57" spans="1:7">
      <c r="B57" s="317" t="s">
        <v>1510</v>
      </c>
      <c r="C57" s="318">
        <f ca="1">ROUND(C51/C52,3)</f>
        <v>0.92100000000000004</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4" zoomScale="80" zoomScaleNormal="80" workbookViewId="0">
      <selection activeCell="M52" sqref="M52"/>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6.8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2744</v>
      </c>
      <c r="B1" s="395"/>
      <c r="C1" s="396" t="s">
        <v>2745</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2330</v>
      </c>
      <c r="B2" s="671">
        <f>F66</f>
        <v>13869</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2332</v>
      </c>
      <c r="B3" s="609">
        <f>ROUND(IF(D3="",B2*10000/'数据-汇总表'!E3,B2*10000/D3),0)</f>
        <v>4039</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5" t="s">
        <v>2648</v>
      </c>
      <c r="AC4" s="3224" t="s">
        <v>2649</v>
      </c>
    </row>
    <row r="5" spans="1:30" ht="15">
      <c r="A5" s="404"/>
      <c r="B5" s="405"/>
      <c r="C5" s="3244" t="s">
        <v>2542</v>
      </c>
      <c r="D5" s="3245"/>
      <c r="E5" s="3251" t="str">
        <f>商业!A2</f>
        <v>海口市博义盐灶棚改项目B-08地块</v>
      </c>
      <c r="F5" s="3252"/>
      <c r="G5" s="3244" t="str">
        <f>商业!A3</f>
        <v>海甸岛沿江西路南侧</v>
      </c>
      <c r="H5" s="3245"/>
      <c r="I5" s="3244" t="str">
        <f>商业!A17</f>
        <v>海口市滨海大道西侧、新港经六街以东</v>
      </c>
      <c r="J5" s="3245"/>
      <c r="K5" s="610"/>
      <c r="L5" s="1133"/>
      <c r="M5" s="1134"/>
      <c r="N5" s="1134"/>
      <c r="O5" s="1134"/>
      <c r="P5" s="3232"/>
      <c r="Q5" s="3233"/>
      <c r="R5" s="3238"/>
      <c r="S5" s="3239"/>
      <c r="T5" s="3238"/>
      <c r="U5" s="3239"/>
      <c r="V5" s="3223"/>
      <c r="W5" s="3223"/>
      <c r="X5" s="1815"/>
      <c r="Y5" s="3238"/>
      <c r="Z5" s="3239"/>
      <c r="AA5" s="3225"/>
      <c r="AB5" s="3225"/>
      <c r="AC5" s="3225"/>
    </row>
    <row r="6" spans="1:30" ht="15.75" thickBot="1">
      <c r="A6" s="406"/>
      <c r="B6" s="407"/>
      <c r="C6" s="3242" t="s">
        <v>2546</v>
      </c>
      <c r="D6" s="3243"/>
      <c r="E6" s="3249" t="s">
        <v>2546</v>
      </c>
      <c r="F6" s="3250"/>
      <c r="G6" s="3242" t="s">
        <v>2546</v>
      </c>
      <c r="H6" s="3243"/>
      <c r="I6" s="3242" t="s">
        <v>2546</v>
      </c>
      <c r="J6" s="3243"/>
      <c r="K6" s="610" t="s">
        <v>2547</v>
      </c>
      <c r="L6" s="1133"/>
      <c r="M6" s="1134"/>
      <c r="N6" s="1134"/>
      <c r="O6" s="1134"/>
      <c r="P6" s="3234"/>
      <c r="Q6" s="3235"/>
      <c r="R6" s="3238"/>
      <c r="S6" s="3239"/>
      <c r="T6" s="3240"/>
      <c r="U6" s="3241"/>
      <c r="V6" s="3223"/>
      <c r="W6" s="3223"/>
      <c r="X6" s="1815"/>
      <c r="Y6" s="3240"/>
      <c r="Z6" s="3241"/>
      <c r="AA6" s="3226"/>
      <c r="AB6" s="3226"/>
      <c r="AC6" s="3226"/>
    </row>
    <row r="7" spans="1:30" s="117" customFormat="1" ht="15.75" thickBot="1">
      <c r="A7" s="408" t="s">
        <v>2548</v>
      </c>
      <c r="B7" s="409"/>
      <c r="C7" s="410">
        <f>'数据-取费表'!B2</f>
        <v>43689</v>
      </c>
      <c r="D7" s="411">
        <v>100</v>
      </c>
      <c r="E7" s="412" t="str">
        <f>商业!H2</f>
        <v>2016-11-28</v>
      </c>
      <c r="F7" s="413">
        <f>SUMIF(70:70,YEAR(E7)&amp;"-"&amp;INT((MONTH(E7)+2)/3),71:71)</f>
        <v>94.5</v>
      </c>
      <c r="G7" s="2702" t="str">
        <f>商业!H3</f>
        <v>2016-10-09</v>
      </c>
      <c r="H7" s="411">
        <f>SUMIF(70:70,YEAR(G7)&amp;"-"&amp;INT((MONTH(G7)+2)/3),71:71)</f>
        <v>94.5</v>
      </c>
      <c r="I7" s="2702" t="str">
        <f>商业!H17</f>
        <v>2018-12-17</v>
      </c>
      <c r="J7" s="411">
        <f>SUMIF(70:70,YEAR(I7)&amp;"-"&amp;INT((MONTH(I7)+2)/3),71:71)</f>
        <v>98.5</v>
      </c>
      <c r="K7" s="611"/>
      <c r="L7" s="1135"/>
      <c r="M7" s="1136"/>
      <c r="N7" s="1136"/>
      <c r="O7" s="1136"/>
      <c r="P7" s="3246" t="s">
        <v>2549</v>
      </c>
      <c r="Q7" s="3248"/>
      <c r="R7" s="770" t="s">
        <v>17</v>
      </c>
      <c r="S7" s="771">
        <f t="shared" ref="S7:S15" si="0">F7</f>
        <v>94.5</v>
      </c>
      <c r="T7" s="770" t="s">
        <v>17</v>
      </c>
      <c r="U7" s="771">
        <f t="shared" ref="U7:U15" si="1">H7</f>
        <v>94.5</v>
      </c>
      <c r="V7" s="770" t="s">
        <v>17</v>
      </c>
      <c r="W7" s="771">
        <f t="shared" ref="W7:W15" si="2">J7</f>
        <v>98.5</v>
      </c>
      <c r="X7" s="772"/>
      <c r="Y7" s="3246" t="s">
        <v>2549</v>
      </c>
      <c r="Z7" s="3247"/>
      <c r="AA7" s="773">
        <f>D7/F7</f>
        <v>1.0582010582010581</v>
      </c>
      <c r="AB7" s="773">
        <f>D7/H7</f>
        <v>1.0582010582010581</v>
      </c>
      <c r="AC7" s="773">
        <f>D7/J7</f>
        <v>1.015228426395939</v>
      </c>
    </row>
    <row r="8" spans="1:30" s="117" customFormat="1" ht="15.75" thickBot="1">
      <c r="A8" s="408" t="s">
        <v>2550</v>
      </c>
      <c r="B8" s="409"/>
      <c r="C8" s="414" t="s">
        <v>2551</v>
      </c>
      <c r="D8" s="411">
        <v>100</v>
      </c>
      <c r="E8" s="414" t="s">
        <v>3110</v>
      </c>
      <c r="F8" s="413">
        <f>SUMIF(73:73,E8,74:74)-SUMIF(73:73,C8,74:74)+100</f>
        <v>100</v>
      </c>
      <c r="G8" s="414" t="s">
        <v>3110</v>
      </c>
      <c r="H8" s="411">
        <f>SUMIF(73:73,G8,74:74)-SUMIF(73:73,C8,74:74)+100</f>
        <v>100</v>
      </c>
      <c r="I8" s="414" t="s">
        <v>3110</v>
      </c>
      <c r="J8" s="411">
        <f>SUMIF(73:73,I8,74:74)-SUMIF(73:73,C8,74:74)+100</f>
        <v>100</v>
      </c>
      <c r="K8" s="611"/>
      <c r="L8" s="1135"/>
      <c r="M8" s="1136"/>
      <c r="N8" s="1136"/>
      <c r="O8" s="1136"/>
      <c r="P8" s="3246" t="s">
        <v>2552</v>
      </c>
      <c r="Q8" s="3247"/>
      <c r="R8" s="770" t="s">
        <v>17</v>
      </c>
      <c r="S8" s="771">
        <f t="shared" si="0"/>
        <v>100</v>
      </c>
      <c r="T8" s="770" t="s">
        <v>17</v>
      </c>
      <c r="U8" s="771">
        <f t="shared" si="1"/>
        <v>100</v>
      </c>
      <c r="V8" s="770" t="s">
        <v>17</v>
      </c>
      <c r="W8" s="771">
        <f t="shared" si="2"/>
        <v>100</v>
      </c>
      <c r="X8" s="772"/>
      <c r="Y8" s="3246" t="s">
        <v>2552</v>
      </c>
      <c r="Z8" s="3247"/>
      <c r="AA8" s="773">
        <f t="shared" ref="AA8:AA45" si="3">D8/F8</f>
        <v>1</v>
      </c>
      <c r="AB8" s="773">
        <f t="shared" ref="AB8:AB45" si="4">D8/H8</f>
        <v>1</v>
      </c>
      <c r="AC8" s="773">
        <f t="shared" ref="AC8:AC45" si="5">D8/J8</f>
        <v>1</v>
      </c>
    </row>
    <row r="9" spans="1:30" s="117" customFormat="1">
      <c r="A9" s="415" t="s">
        <v>2553</v>
      </c>
      <c r="B9" s="71" t="s">
        <v>2554</v>
      </c>
      <c r="C9" s="2705" t="s">
        <v>1373</v>
      </c>
      <c r="D9" s="135">
        <v>100</v>
      </c>
      <c r="E9" s="2705" t="s">
        <v>1373</v>
      </c>
      <c r="F9" s="135">
        <f>SUMIF(75:75,E9,76:76)-SUMIF(75:75,C9,76:76)+100</f>
        <v>100</v>
      </c>
      <c r="G9" s="2705" t="s">
        <v>1373</v>
      </c>
      <c r="H9" s="135">
        <f>SUMIF(75:75,G9,76:76)-SUMIF(75:75,C9,76:76)+100</f>
        <v>100</v>
      </c>
      <c r="I9" s="2705" t="s">
        <v>1373</v>
      </c>
      <c r="J9" s="135">
        <f>SUMIF(75:75,I9,76:76)-SUMIF(75:75,C9,76:76)+100</f>
        <v>100</v>
      </c>
      <c r="K9" s="611"/>
      <c r="L9" s="1135"/>
      <c r="M9" s="1136"/>
      <c r="N9" s="1136"/>
      <c r="O9" s="1137"/>
      <c r="P9" s="3217" t="s">
        <v>2555</v>
      </c>
      <c r="Q9" s="1797" t="str">
        <f t="shared" ref="Q9:Q15" si="6">B9</f>
        <v>用途</v>
      </c>
      <c r="R9" s="770" t="s">
        <v>17</v>
      </c>
      <c r="S9" s="771">
        <f t="shared" si="0"/>
        <v>100</v>
      </c>
      <c r="T9" s="770" t="s">
        <v>17</v>
      </c>
      <c r="U9" s="771">
        <f t="shared" si="1"/>
        <v>100</v>
      </c>
      <c r="V9" s="770" t="s">
        <v>17</v>
      </c>
      <c r="W9" s="771">
        <f t="shared" si="2"/>
        <v>100</v>
      </c>
      <c r="X9" s="772"/>
      <c r="Y9" s="3064" t="s">
        <v>2556</v>
      </c>
      <c r="Z9" s="55" t="str">
        <f t="shared" ref="Z9:Z15" si="7">Q9</f>
        <v>用途</v>
      </c>
      <c r="AA9" s="773">
        <f t="shared" si="3"/>
        <v>1</v>
      </c>
      <c r="AB9" s="773">
        <f t="shared" si="4"/>
        <v>1</v>
      </c>
      <c r="AC9" s="773">
        <f t="shared" si="5"/>
        <v>1</v>
      </c>
    </row>
    <row r="10" spans="1:30" s="427" customFormat="1" ht="27">
      <c r="A10" s="421"/>
      <c r="B10" s="422" t="s">
        <v>2557</v>
      </c>
      <c r="C10" s="432">
        <f>项目基本情况!D15</f>
        <v>44.27</v>
      </c>
      <c r="D10" s="136">
        <v>100</v>
      </c>
      <c r="E10" s="465" t="s">
        <v>4071</v>
      </c>
      <c r="F10" s="136">
        <f>ROUND(100/'数据-取费表'!G16,0)</f>
        <v>111</v>
      </c>
      <c r="G10" s="465" t="s">
        <v>4072</v>
      </c>
      <c r="H10" s="136">
        <f>ROUND(100/'数据-取费表'!G16,0)</f>
        <v>111</v>
      </c>
      <c r="I10" s="465" t="s">
        <v>4073</v>
      </c>
      <c r="J10" s="136">
        <f>ROUND(100/'数据-取费表'!G16,0)</f>
        <v>111</v>
      </c>
      <c r="K10" s="672"/>
      <c r="L10" s="1138"/>
      <c r="M10" s="1139"/>
      <c r="N10" s="1139"/>
      <c r="O10" s="1140"/>
      <c r="P10" s="3217"/>
      <c r="Q10" s="1797" t="str">
        <f t="shared" si="6"/>
        <v>土地使用年限（年）</v>
      </c>
      <c r="R10" s="770" t="s">
        <v>17</v>
      </c>
      <c r="S10" s="771">
        <f t="shared" si="0"/>
        <v>111</v>
      </c>
      <c r="T10" s="770" t="s">
        <v>17</v>
      </c>
      <c r="U10" s="771">
        <f t="shared" si="1"/>
        <v>111</v>
      </c>
      <c r="V10" s="770" t="s">
        <v>17</v>
      </c>
      <c r="W10" s="771">
        <f t="shared" si="2"/>
        <v>111</v>
      </c>
      <c r="X10" s="772"/>
      <c r="Y10" s="3064"/>
      <c r="Z10" s="55" t="str">
        <f t="shared" si="7"/>
        <v>土地使用年限（年）</v>
      </c>
      <c r="AA10" s="773">
        <f t="shared" si="3"/>
        <v>0.90090090090090091</v>
      </c>
      <c r="AB10" s="773">
        <f t="shared" si="4"/>
        <v>0.90090090090090091</v>
      </c>
      <c r="AC10" s="773">
        <f t="shared" si="5"/>
        <v>0.90090090090090091</v>
      </c>
    </row>
    <row r="11" spans="1:30" ht="15">
      <c r="A11" s="428"/>
      <c r="B11" s="422" t="s">
        <v>2558</v>
      </c>
      <c r="C11" s="429">
        <v>1.65</v>
      </c>
      <c r="D11" s="136">
        <v>100</v>
      </c>
      <c r="E11" s="429">
        <v>4</v>
      </c>
      <c r="F11" s="136">
        <f>LOOKUP(E11,80:80,81:81)-LOOKUP(C11,80:80,81:81)+100</f>
        <v>94</v>
      </c>
      <c r="G11" s="430">
        <v>2.5</v>
      </c>
      <c r="H11" s="136">
        <f>LOOKUP(G11,80:80,81:81)-LOOKUP(C11,80:80,81:81)+100</f>
        <v>98</v>
      </c>
      <c r="I11" s="429">
        <v>1.7</v>
      </c>
      <c r="J11" s="136">
        <f>LOOKUP(I11,80:80,81:81)-LOOKUP(C11,80:80,81:81)+100</f>
        <v>100</v>
      </c>
      <c r="K11" s="673">
        <v>2</v>
      </c>
      <c r="L11" s="1141"/>
      <c r="M11" s="1134"/>
      <c r="N11" s="1134"/>
      <c r="O11" s="1142"/>
      <c r="P11" s="3217"/>
      <c r="Q11" s="1797" t="str">
        <f t="shared" si="6"/>
        <v>容积率</v>
      </c>
      <c r="R11" s="770" t="s">
        <v>17</v>
      </c>
      <c r="S11" s="771">
        <f t="shared" si="0"/>
        <v>94</v>
      </c>
      <c r="T11" s="770" t="s">
        <v>17</v>
      </c>
      <c r="U11" s="771">
        <f t="shared" si="1"/>
        <v>98</v>
      </c>
      <c r="V11" s="770" t="s">
        <v>17</v>
      </c>
      <c r="W11" s="771">
        <f t="shared" si="2"/>
        <v>100</v>
      </c>
      <c r="X11" s="772"/>
      <c r="Y11" s="3064"/>
      <c r="Z11" s="55" t="str">
        <f t="shared" si="7"/>
        <v>容积率</v>
      </c>
      <c r="AA11" s="773">
        <f t="shared" si="3"/>
        <v>1.0638297872340425</v>
      </c>
      <c r="AB11" s="773">
        <f t="shared" si="4"/>
        <v>1.0204081632653061</v>
      </c>
      <c r="AC11" s="773">
        <f t="shared" si="5"/>
        <v>1</v>
      </c>
    </row>
    <row r="12" spans="1:30" s="117" customFormat="1" ht="15">
      <c r="A12" s="431"/>
      <c r="B12" s="2606" t="s">
        <v>2747</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7"/>
      <c r="Q12" s="1797" t="str">
        <f t="shared" si="6"/>
        <v>配建</v>
      </c>
      <c r="R12" s="770" t="s">
        <v>17</v>
      </c>
      <c r="S12" s="771">
        <f t="shared" si="0"/>
        <v>100</v>
      </c>
      <c r="T12" s="770" t="s">
        <v>17</v>
      </c>
      <c r="U12" s="771">
        <f t="shared" si="1"/>
        <v>100</v>
      </c>
      <c r="V12" s="770" t="s">
        <v>17</v>
      </c>
      <c r="W12" s="771">
        <f t="shared" si="2"/>
        <v>100</v>
      </c>
      <c r="X12" s="772"/>
      <c r="Y12" s="3064"/>
      <c r="Z12" s="55" t="str">
        <f t="shared" si="7"/>
        <v>配建</v>
      </c>
      <c r="AA12" s="773">
        <f>D12/F12</f>
        <v>1</v>
      </c>
      <c r="AB12" s="773">
        <f>D12/H12</f>
        <v>1</v>
      </c>
      <c r="AC12" s="773">
        <f>D12/J12</f>
        <v>1</v>
      </c>
    </row>
    <row r="13" spans="1:30" ht="15">
      <c r="A13" s="428"/>
      <c r="B13" s="2606">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7"/>
      <c r="Q13" s="1797">
        <f t="shared" si="6"/>
        <v>111</v>
      </c>
      <c r="R13" s="770" t="s">
        <v>17</v>
      </c>
      <c r="S13" s="771">
        <f t="shared" si="0"/>
        <v>100</v>
      </c>
      <c r="T13" s="770" t="s">
        <v>17</v>
      </c>
      <c r="U13" s="771">
        <f t="shared" si="1"/>
        <v>100</v>
      </c>
      <c r="V13" s="770" t="s">
        <v>17</v>
      </c>
      <c r="W13" s="771">
        <f t="shared" si="2"/>
        <v>100</v>
      </c>
      <c r="X13" s="772"/>
      <c r="Y13" s="3064"/>
      <c r="Z13" s="55">
        <f t="shared" si="7"/>
        <v>111</v>
      </c>
      <c r="AA13" s="773">
        <f>D13/F13</f>
        <v>1</v>
      </c>
      <c r="AB13" s="773">
        <f>D13/H13</f>
        <v>1</v>
      </c>
      <c r="AC13" s="773">
        <f>D13/J13</f>
        <v>1</v>
      </c>
    </row>
    <row r="14" spans="1:30" ht="15.75" thickBot="1">
      <c r="A14" s="436"/>
      <c r="B14" s="2608">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7"/>
      <c r="Q14" s="1797">
        <f t="shared" si="6"/>
        <v>111</v>
      </c>
      <c r="R14" s="770" t="s">
        <v>17</v>
      </c>
      <c r="S14" s="771">
        <f t="shared" si="0"/>
        <v>100</v>
      </c>
      <c r="T14" s="770" t="s">
        <v>17</v>
      </c>
      <c r="U14" s="771">
        <f t="shared" si="1"/>
        <v>100</v>
      </c>
      <c r="V14" s="770" t="s">
        <v>17</v>
      </c>
      <c r="W14" s="771">
        <f t="shared" si="2"/>
        <v>100</v>
      </c>
      <c r="X14" s="772"/>
      <c r="Y14" s="3064"/>
      <c r="Z14" s="55">
        <f t="shared" si="7"/>
        <v>111</v>
      </c>
      <c r="AA14" s="773">
        <f>D14/F14</f>
        <v>1</v>
      </c>
      <c r="AB14" s="773">
        <f>D14/H14</f>
        <v>1</v>
      </c>
      <c r="AC14" s="773">
        <f>D14/J14</f>
        <v>1</v>
      </c>
    </row>
    <row r="15" spans="1:30" ht="99.75">
      <c r="A15" s="440" t="s">
        <v>2559</v>
      </c>
      <c r="B15" s="69" t="s">
        <v>2086</v>
      </c>
      <c r="C15" s="2609" t="str">
        <f>估价对象房地状况!C15</f>
        <v>估价对象周边居住用地比例、居住小区规模和社区发展完善程度，综合评价居住社区成熟度一般</v>
      </c>
      <c r="D15" s="441">
        <v>100</v>
      </c>
      <c r="E15" s="442"/>
      <c r="F15" s="441">
        <f>SUMIF(88:88,E16,89:89)-SUMIF(88:88,C16,89:89)+100</f>
        <v>106</v>
      </c>
      <c r="G15" s="442"/>
      <c r="H15" s="441">
        <f>SUMIF(88:88,G16,89:89)-SUMIF(88:88,C16,89:89)+100</f>
        <v>106</v>
      </c>
      <c r="I15" s="444"/>
      <c r="J15" s="441">
        <f>SUMIF(88:88,I16,89:89)-SUMIF(88:88,C16,89:89)+100</f>
        <v>106</v>
      </c>
      <c r="K15" s="673">
        <v>3</v>
      </c>
      <c r="L15" s="1143"/>
      <c r="M15" s="1134"/>
      <c r="N15" s="1134"/>
      <c r="O15" s="1142"/>
      <c r="P15" s="3219" t="s">
        <v>2560</v>
      </c>
      <c r="Q15" s="1812" t="str">
        <f t="shared" si="6"/>
        <v>居住社区成熟度</v>
      </c>
      <c r="R15" s="774" t="s">
        <v>17</v>
      </c>
      <c r="S15" s="775">
        <f t="shared" si="0"/>
        <v>106</v>
      </c>
      <c r="T15" s="774" t="s">
        <v>17</v>
      </c>
      <c r="U15" s="775">
        <f t="shared" si="1"/>
        <v>106</v>
      </c>
      <c r="V15" s="774" t="s">
        <v>17</v>
      </c>
      <c r="W15" s="775">
        <f t="shared" si="2"/>
        <v>106</v>
      </c>
      <c r="X15" s="1815"/>
      <c r="Y15" s="3219" t="s">
        <v>2560</v>
      </c>
      <c r="Z15" s="1816" t="str">
        <f t="shared" si="7"/>
        <v>居住社区成熟度</v>
      </c>
      <c r="AA15" s="1813">
        <f t="shared" si="3"/>
        <v>0.94339622641509435</v>
      </c>
      <c r="AB15" s="1813">
        <f t="shared" si="4"/>
        <v>0.94339622641509435</v>
      </c>
      <c r="AC15" s="1813">
        <f t="shared" si="5"/>
        <v>0.94339622641509435</v>
      </c>
    </row>
    <row r="16" spans="1:30" ht="15">
      <c r="A16" s="428"/>
      <c r="B16" s="446"/>
      <c r="C16" s="447" t="s">
        <v>3898</v>
      </c>
      <c r="D16" s="448"/>
      <c r="E16" s="2611" t="s">
        <v>3900</v>
      </c>
      <c r="F16" s="448"/>
      <c r="G16" s="2611" t="s">
        <v>3900</v>
      </c>
      <c r="H16" s="450"/>
      <c r="I16" s="2610" t="s">
        <v>3900</v>
      </c>
      <c r="J16" s="448"/>
      <c r="K16" s="672"/>
      <c r="L16" s="1143"/>
      <c r="M16" s="1134"/>
      <c r="N16" s="1134"/>
      <c r="O16" s="1142"/>
      <c r="P16" s="3220"/>
      <c r="Q16" s="1812"/>
      <c r="R16" s="774"/>
      <c r="S16" s="775"/>
      <c r="T16" s="774"/>
      <c r="U16" s="775"/>
      <c r="V16" s="774"/>
      <c r="W16" s="775"/>
      <c r="X16" s="1815"/>
      <c r="Y16" s="3220"/>
      <c r="Z16" s="1816"/>
      <c r="AA16" s="1813">
        <v>1</v>
      </c>
      <c r="AB16" s="1813">
        <v>1</v>
      </c>
      <c r="AC16" s="1813">
        <v>1</v>
      </c>
    </row>
    <row r="17" spans="1:29" ht="71.25" hidden="1">
      <c r="A17" s="428"/>
      <c r="B17" s="451" t="s">
        <v>2653</v>
      </c>
      <c r="C17" s="2670"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0</v>
      </c>
      <c r="L17" s="1143"/>
      <c r="M17" s="1134"/>
      <c r="N17" s="1134"/>
      <c r="O17" s="1142"/>
      <c r="P17" s="3220"/>
      <c r="Q17" s="1812" t="str">
        <f>B17</f>
        <v>商业繁华度</v>
      </c>
      <c r="R17" s="774" t="s">
        <v>17</v>
      </c>
      <c r="S17" s="775">
        <f>F17</f>
        <v>100</v>
      </c>
      <c r="T17" s="774" t="s">
        <v>17</v>
      </c>
      <c r="U17" s="775">
        <f>H17</f>
        <v>100</v>
      </c>
      <c r="V17" s="774" t="s">
        <v>17</v>
      </c>
      <c r="W17" s="775">
        <f>J17</f>
        <v>100</v>
      </c>
      <c r="X17" s="1815"/>
      <c r="Y17" s="3220"/>
      <c r="Z17" s="1816" t="str">
        <f>Q17</f>
        <v>商业繁华度</v>
      </c>
      <c r="AA17" s="1813">
        <f t="shared" si="3"/>
        <v>1</v>
      </c>
      <c r="AB17" s="1813">
        <f t="shared" si="4"/>
        <v>1</v>
      </c>
      <c r="AC17" s="1813">
        <f t="shared" si="5"/>
        <v>1</v>
      </c>
    </row>
    <row r="18" spans="1:29" ht="15" hidden="1">
      <c r="A18" s="428"/>
      <c r="B18" s="456"/>
      <c r="C18" s="2614"/>
      <c r="D18" s="450"/>
      <c r="E18" s="2616"/>
      <c r="F18" s="450"/>
      <c r="G18" s="2616"/>
      <c r="H18" s="448"/>
      <c r="I18" s="2615"/>
      <c r="J18" s="448"/>
      <c r="K18" s="672"/>
      <c r="L18" s="1143"/>
      <c r="M18" s="1134"/>
      <c r="N18" s="1134"/>
      <c r="O18" s="1142"/>
      <c r="P18" s="3220"/>
      <c r="Q18" s="1812"/>
      <c r="R18" s="774"/>
      <c r="S18" s="775"/>
      <c r="T18" s="774"/>
      <c r="U18" s="775"/>
      <c r="V18" s="774"/>
      <c r="W18" s="775"/>
      <c r="X18" s="1815"/>
      <c r="Y18" s="3220"/>
      <c r="Z18" s="1816"/>
      <c r="AA18" s="1813">
        <v>1</v>
      </c>
      <c r="AB18" s="1813">
        <v>1</v>
      </c>
      <c r="AC18" s="1813">
        <v>1</v>
      </c>
    </row>
    <row r="19" spans="1:29" ht="71.25" hidden="1">
      <c r="A19" s="428"/>
      <c r="B19" s="451" t="s">
        <v>2687</v>
      </c>
      <c r="C19" s="2670"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0</v>
      </c>
      <c r="L19" s="1143"/>
      <c r="M19" s="1134"/>
      <c r="N19" s="1134"/>
      <c r="O19" s="1142"/>
      <c r="P19" s="3220"/>
      <c r="Q19" s="1812" t="str">
        <f>B19</f>
        <v>办公集聚程度</v>
      </c>
      <c r="R19" s="774" t="s">
        <v>17</v>
      </c>
      <c r="S19" s="775">
        <f>F19</f>
        <v>100</v>
      </c>
      <c r="T19" s="774" t="s">
        <v>17</v>
      </c>
      <c r="U19" s="775">
        <f>H19</f>
        <v>100</v>
      </c>
      <c r="V19" s="774" t="s">
        <v>17</v>
      </c>
      <c r="W19" s="775">
        <f>J19</f>
        <v>100</v>
      </c>
      <c r="X19" s="1815"/>
      <c r="Y19" s="3220"/>
      <c r="Z19" s="1816" t="str">
        <f>Q19</f>
        <v>办公集聚程度</v>
      </c>
      <c r="AA19" s="1813">
        <f t="shared" si="3"/>
        <v>1</v>
      </c>
      <c r="AB19" s="1813">
        <f t="shared" si="4"/>
        <v>1</v>
      </c>
      <c r="AC19" s="1813">
        <f t="shared" si="5"/>
        <v>1</v>
      </c>
    </row>
    <row r="20" spans="1:29" ht="15" hidden="1">
      <c r="A20" s="428"/>
      <c r="B20" s="456"/>
      <c r="C20" s="447"/>
      <c r="D20" s="448"/>
      <c r="E20" s="2611"/>
      <c r="F20" s="448"/>
      <c r="G20" s="2611"/>
      <c r="H20" s="448"/>
      <c r="I20" s="2610"/>
      <c r="J20" s="448"/>
      <c r="K20" s="672"/>
      <c r="L20" s="1143"/>
      <c r="M20" s="1134"/>
      <c r="N20" s="1134"/>
      <c r="O20" s="1142"/>
      <c r="P20" s="3220"/>
      <c r="Q20" s="1812"/>
      <c r="R20" s="774"/>
      <c r="S20" s="775"/>
      <c r="T20" s="774"/>
      <c r="U20" s="775"/>
      <c r="V20" s="774"/>
      <c r="W20" s="775"/>
      <c r="X20" s="1815"/>
      <c r="Y20" s="3220"/>
      <c r="Z20" s="1816"/>
      <c r="AA20" s="1813">
        <v>1</v>
      </c>
      <c r="AB20" s="1813">
        <v>1</v>
      </c>
      <c r="AC20" s="1813">
        <v>1</v>
      </c>
    </row>
    <row r="21" spans="1:29" ht="85.5">
      <c r="A21" s="428"/>
      <c r="B21" s="451" t="s">
        <v>2709</v>
      </c>
      <c r="C21" s="2613" t="str">
        <f>估价对象房地状况!C18</f>
        <v>估价对象周边道路状况、公共交通通达情况、停车便捷程度，综合评价交通便捷度较好</v>
      </c>
      <c r="D21" s="450">
        <v>100</v>
      </c>
      <c r="E21" s="452"/>
      <c r="F21" s="455">
        <f>SUMIF(94:94,E22,95:95)-SUMIF(94:94,C22,95:95)+100</f>
        <v>102</v>
      </c>
      <c r="G21" s="452"/>
      <c r="H21" s="450">
        <f>SUMIF(94:94,G22,95:95)-SUMIF(94:94,C22,95:95)+100</f>
        <v>102</v>
      </c>
      <c r="I21" s="454"/>
      <c r="J21" s="450">
        <f>SUMIF(94:94,I22,95:95)-SUMIF(94:94,C22,95:95)+100</f>
        <v>102</v>
      </c>
      <c r="K21" s="673">
        <v>2</v>
      </c>
      <c r="L21" s="1143"/>
      <c r="M21" s="1134"/>
      <c r="N21" s="1134"/>
      <c r="O21" s="1142"/>
      <c r="P21" s="3220"/>
      <c r="Q21" s="1812" t="str">
        <f>B21</f>
        <v>交通便捷度</v>
      </c>
      <c r="R21" s="774" t="s">
        <v>17</v>
      </c>
      <c r="S21" s="775">
        <f>F21</f>
        <v>102</v>
      </c>
      <c r="T21" s="774" t="s">
        <v>17</v>
      </c>
      <c r="U21" s="775">
        <f>H21</f>
        <v>102</v>
      </c>
      <c r="V21" s="774" t="s">
        <v>17</v>
      </c>
      <c r="W21" s="775">
        <f>J21</f>
        <v>102</v>
      </c>
      <c r="X21" s="1815"/>
      <c r="Y21" s="3220"/>
      <c r="Z21" s="1816" t="str">
        <f>Q21</f>
        <v>交通便捷度</v>
      </c>
      <c r="AA21" s="1813">
        <f t="shared" si="3"/>
        <v>0.98039215686274506</v>
      </c>
      <c r="AB21" s="1813">
        <f t="shared" si="4"/>
        <v>0.98039215686274506</v>
      </c>
      <c r="AC21" s="1813">
        <f t="shared" si="5"/>
        <v>0.98039215686274506</v>
      </c>
    </row>
    <row r="22" spans="1:29" ht="15">
      <c r="A22" s="428"/>
      <c r="B22" s="1387"/>
      <c r="C22" s="447" t="s">
        <v>3899</v>
      </c>
      <c r="D22" s="450"/>
      <c r="E22" s="2611" t="s">
        <v>3900</v>
      </c>
      <c r="F22" s="448"/>
      <c r="G22" s="2611" t="s">
        <v>3900</v>
      </c>
      <c r="H22" s="448"/>
      <c r="I22" s="2610" t="s">
        <v>3900</v>
      </c>
      <c r="J22" s="448"/>
      <c r="K22" s="672"/>
      <c r="L22" s="1143"/>
      <c r="M22" s="1134"/>
      <c r="N22" s="1134"/>
      <c r="O22" s="1142"/>
      <c r="P22" s="3220"/>
      <c r="Q22" s="1812"/>
      <c r="R22" s="774"/>
      <c r="S22" s="775"/>
      <c r="T22" s="774"/>
      <c r="U22" s="775"/>
      <c r="V22" s="774"/>
      <c r="W22" s="775"/>
      <c r="X22" s="1815"/>
      <c r="Y22" s="3220"/>
      <c r="Z22" s="1816"/>
      <c r="AA22" s="1813">
        <v>1</v>
      </c>
      <c r="AB22" s="1813">
        <v>1</v>
      </c>
      <c r="AC22" s="1813">
        <v>1</v>
      </c>
    </row>
    <row r="23" spans="1:29" ht="15">
      <c r="A23" s="404"/>
      <c r="B23" s="451" t="s">
        <v>2748</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3"/>
      <c r="M23" s="1134"/>
      <c r="N23" s="1134"/>
      <c r="O23" s="1142"/>
      <c r="P23" s="3220"/>
      <c r="Q23" s="1812" t="str">
        <f t="shared" ref="Q23:Q37" si="8">B23</f>
        <v>区域土地利用方向</v>
      </c>
      <c r="R23" s="774" t="s">
        <v>17</v>
      </c>
      <c r="S23" s="775">
        <f>F23</f>
        <v>100</v>
      </c>
      <c r="T23" s="774" t="s">
        <v>17</v>
      </c>
      <c r="U23" s="775">
        <f>H23</f>
        <v>100</v>
      </c>
      <c r="V23" s="774" t="s">
        <v>17</v>
      </c>
      <c r="W23" s="775">
        <f>J23</f>
        <v>100</v>
      </c>
      <c r="X23" s="1815"/>
      <c r="Y23" s="3220"/>
      <c r="Z23" s="1816" t="str">
        <f>Q23</f>
        <v>区域土地利用方向</v>
      </c>
      <c r="AA23" s="1813">
        <f t="shared" si="3"/>
        <v>1</v>
      </c>
      <c r="AB23" s="1813">
        <f t="shared" si="4"/>
        <v>1</v>
      </c>
      <c r="AC23" s="1813">
        <f t="shared" si="5"/>
        <v>1</v>
      </c>
    </row>
    <row r="24" spans="1:29" ht="15">
      <c r="A24" s="404"/>
      <c r="B24" s="456"/>
      <c r="C24" s="616" t="s">
        <v>3900</v>
      </c>
      <c r="D24" s="448"/>
      <c r="E24" s="2611" t="s">
        <v>3900</v>
      </c>
      <c r="F24" s="448"/>
      <c r="G24" s="2610" t="s">
        <v>3900</v>
      </c>
      <c r="H24" s="448"/>
      <c r="I24" s="2610" t="s">
        <v>3900</v>
      </c>
      <c r="J24" s="448"/>
      <c r="K24" s="812"/>
      <c r="L24" s="1143"/>
      <c r="M24" s="1134"/>
      <c r="N24" s="1134"/>
      <c r="O24" s="1142"/>
      <c r="P24" s="3220"/>
      <c r="Q24" s="1812"/>
      <c r="R24" s="774"/>
      <c r="S24" s="775"/>
      <c r="T24" s="774"/>
      <c r="U24" s="775"/>
      <c r="V24" s="774"/>
      <c r="W24" s="775"/>
      <c r="X24" s="1815"/>
      <c r="Y24" s="3220"/>
      <c r="Z24" s="1816"/>
      <c r="AA24" s="1813"/>
      <c r="AB24" s="1813"/>
      <c r="AC24" s="1813"/>
    </row>
    <row r="25" spans="1:29" ht="57">
      <c r="A25" s="404"/>
      <c r="B25" s="1387" t="s">
        <v>2749</v>
      </c>
      <c r="C25" s="2670" t="str">
        <f>估价对象房地状况!C20</f>
        <v>区域自然环境：；人文环境；综合评价环境状况一般</v>
      </c>
      <c r="D25" s="450">
        <v>100</v>
      </c>
      <c r="E25" s="452"/>
      <c r="F25" s="450">
        <f>SUMIF(98:98,E26,99:99)-SUMIF(98:98,C26,99:99)+100</f>
        <v>102</v>
      </c>
      <c r="G25" s="452"/>
      <c r="H25" s="450">
        <f>SUMIF(98:98,G26,99:99)-SUMIF(98:98,C26,99:99)+100</f>
        <v>102</v>
      </c>
      <c r="I25" s="454"/>
      <c r="J25" s="450">
        <f>SUMIF(98:98,I26,99:99)-SUMIF(98:98,C26,99:99)+100</f>
        <v>102</v>
      </c>
      <c r="K25" s="673">
        <v>2</v>
      </c>
      <c r="L25" s="1143"/>
      <c r="M25" s="1134"/>
      <c r="N25" s="1134"/>
      <c r="O25" s="1142"/>
      <c r="P25" s="3220"/>
      <c r="Q25" s="1812" t="str">
        <f t="shared" si="8"/>
        <v>自然及人文环境状况</v>
      </c>
      <c r="R25" s="774" t="s">
        <v>17</v>
      </c>
      <c r="S25" s="775">
        <f>F25</f>
        <v>102</v>
      </c>
      <c r="T25" s="774" t="s">
        <v>17</v>
      </c>
      <c r="U25" s="775">
        <f>H25</f>
        <v>102</v>
      </c>
      <c r="V25" s="774" t="s">
        <v>17</v>
      </c>
      <c r="W25" s="775">
        <f>J25</f>
        <v>102</v>
      </c>
      <c r="X25" s="1815"/>
      <c r="Y25" s="3220"/>
      <c r="Z25" s="1816" t="str">
        <f>Q25</f>
        <v>自然及人文环境状况</v>
      </c>
      <c r="AA25" s="1813">
        <f t="shared" si="3"/>
        <v>0.98039215686274506</v>
      </c>
      <c r="AB25" s="1813">
        <f t="shared" si="4"/>
        <v>0.98039215686274506</v>
      </c>
      <c r="AC25" s="1813">
        <f t="shared" si="5"/>
        <v>0.98039215686274506</v>
      </c>
    </row>
    <row r="26" spans="1:29" ht="15">
      <c r="A26" s="404"/>
      <c r="B26" s="456"/>
      <c r="C26" s="447" t="s">
        <v>3899</v>
      </c>
      <c r="D26" s="448"/>
      <c r="E26" s="2617" t="s">
        <v>3900</v>
      </c>
      <c r="F26" s="448"/>
      <c r="G26" s="2617" t="s">
        <v>3900</v>
      </c>
      <c r="H26" s="448"/>
      <c r="I26" s="447" t="s">
        <v>3900</v>
      </c>
      <c r="J26" s="448"/>
      <c r="K26" s="672"/>
      <c r="L26" s="1143"/>
      <c r="M26" s="1134"/>
      <c r="N26" s="1134"/>
      <c r="O26" s="1142"/>
      <c r="P26" s="3220"/>
      <c r="Q26" s="1812"/>
      <c r="R26" s="774"/>
      <c r="S26" s="775"/>
      <c r="T26" s="774"/>
      <c r="U26" s="775"/>
      <c r="V26" s="774"/>
      <c r="W26" s="775"/>
      <c r="X26" s="1815"/>
      <c r="Y26" s="3220"/>
      <c r="Z26" s="1816"/>
      <c r="AA26" s="1813">
        <v>1</v>
      </c>
      <c r="AB26" s="1813">
        <v>1</v>
      </c>
      <c r="AC26" s="1813">
        <v>1</v>
      </c>
    </row>
    <row r="27" spans="1:29" s="117" customFormat="1" ht="42.75">
      <c r="A27" s="649"/>
      <c r="B27" s="1387" t="s">
        <v>2654</v>
      </c>
      <c r="C27" s="2613"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5"/>
      <c r="M27" s="1136"/>
      <c r="N27" s="1136"/>
      <c r="O27" s="1137"/>
      <c r="P27" s="3220"/>
      <c r="Q27" s="1797" t="str">
        <f t="shared" si="8"/>
        <v>公共配套设施</v>
      </c>
      <c r="R27" s="770" t="s">
        <v>17</v>
      </c>
      <c r="S27" s="771">
        <f>F27</f>
        <v>100</v>
      </c>
      <c r="T27" s="770" t="s">
        <v>17</v>
      </c>
      <c r="U27" s="771">
        <f>H27</f>
        <v>100</v>
      </c>
      <c r="V27" s="770" t="s">
        <v>17</v>
      </c>
      <c r="W27" s="771">
        <f>J27</f>
        <v>100</v>
      </c>
      <c r="X27" s="772"/>
      <c r="Y27" s="3220"/>
      <c r="Z27" s="55" t="str">
        <f>Q27</f>
        <v>公共配套设施</v>
      </c>
      <c r="AA27" s="1813">
        <f>D27/F27</f>
        <v>1</v>
      </c>
      <c r="AB27" s="1813">
        <f>D27/H27</f>
        <v>1</v>
      </c>
      <c r="AC27" s="1813">
        <f>D27/J27</f>
        <v>1</v>
      </c>
    </row>
    <row r="28" spans="1:29" s="117" customFormat="1" ht="15">
      <c r="A28" s="649"/>
      <c r="B28" s="456"/>
      <c r="C28" s="2706" t="s">
        <v>3900</v>
      </c>
      <c r="D28" s="448"/>
      <c r="E28" s="2617" t="s">
        <v>3900</v>
      </c>
      <c r="F28" s="448"/>
      <c r="G28" s="2617" t="s">
        <v>3900</v>
      </c>
      <c r="H28" s="448"/>
      <c r="I28" s="447" t="s">
        <v>3900</v>
      </c>
      <c r="J28" s="448"/>
      <c r="K28" s="672"/>
      <c r="L28" s="1135"/>
      <c r="M28" s="1136"/>
      <c r="N28" s="1136"/>
      <c r="O28" s="1137"/>
      <c r="P28" s="3220"/>
      <c r="Q28" s="1797"/>
      <c r="R28" s="770"/>
      <c r="S28" s="771"/>
      <c r="T28" s="770"/>
      <c r="U28" s="771"/>
      <c r="V28" s="770"/>
      <c r="W28" s="771"/>
      <c r="X28" s="772"/>
      <c r="Y28" s="3220"/>
      <c r="Z28" s="55"/>
      <c r="AA28" s="1813">
        <v>1</v>
      </c>
      <c r="AB28" s="1813">
        <v>1</v>
      </c>
      <c r="AC28" s="1813">
        <v>1</v>
      </c>
    </row>
    <row r="29" spans="1:29" s="117" customFormat="1" ht="28.5">
      <c r="A29" s="649"/>
      <c r="B29" s="1387" t="s">
        <v>2655</v>
      </c>
      <c r="C29" s="2613"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220"/>
      <c r="Q29" s="1797" t="str">
        <f t="shared" ref="Q29" si="9">B29</f>
        <v>基础设施水平</v>
      </c>
      <c r="R29" s="770" t="s">
        <v>17</v>
      </c>
      <c r="S29" s="771">
        <f>F29</f>
        <v>100</v>
      </c>
      <c r="T29" s="770" t="s">
        <v>17</v>
      </c>
      <c r="U29" s="771">
        <f>H29</f>
        <v>100</v>
      </c>
      <c r="V29" s="770" t="s">
        <v>17</v>
      </c>
      <c r="W29" s="771">
        <f>J29</f>
        <v>100</v>
      </c>
      <c r="X29" s="772"/>
      <c r="Y29" s="3220"/>
      <c r="Z29" s="55" t="str">
        <f>Q29</f>
        <v>基础设施水平</v>
      </c>
      <c r="AA29" s="1813">
        <f>D29/F29</f>
        <v>1</v>
      </c>
      <c r="AB29" s="1813">
        <f>D29/H29</f>
        <v>1</v>
      </c>
      <c r="AC29" s="1813">
        <f>D29/J29</f>
        <v>1</v>
      </c>
    </row>
    <row r="30" spans="1:29" s="117" customFormat="1" ht="15">
      <c r="A30" s="649"/>
      <c r="B30" s="456"/>
      <c r="C30" s="2706" t="s">
        <v>3891</v>
      </c>
      <c r="D30" s="448"/>
      <c r="E30" s="2707" t="s">
        <v>3891</v>
      </c>
      <c r="F30" s="448"/>
      <c r="G30" s="2707" t="s">
        <v>3891</v>
      </c>
      <c r="H30" s="448"/>
      <c r="I30" s="2707" t="s">
        <v>3891</v>
      </c>
      <c r="J30" s="448"/>
      <c r="K30" s="672"/>
      <c r="L30" s="1135"/>
      <c r="M30" s="1136"/>
      <c r="N30" s="1136"/>
      <c r="O30" s="1137"/>
      <c r="P30" s="3220"/>
      <c r="Q30" s="1797"/>
      <c r="R30" s="770"/>
      <c r="S30" s="771"/>
      <c r="T30" s="770"/>
      <c r="U30" s="771"/>
      <c r="V30" s="770"/>
      <c r="W30" s="771"/>
      <c r="X30" s="772"/>
      <c r="Y30" s="3220"/>
      <c r="Z30" s="55"/>
      <c r="AA30" s="1813">
        <v>1</v>
      </c>
      <c r="AB30" s="1813">
        <v>1</v>
      </c>
      <c r="AC30" s="1813">
        <v>1</v>
      </c>
    </row>
    <row r="31" spans="1:29" ht="15">
      <c r="A31" s="428"/>
      <c r="B31" s="456" t="s">
        <v>2656</v>
      </c>
      <c r="C31" s="616" t="s">
        <v>4008</v>
      </c>
      <c r="D31" s="435">
        <v>100</v>
      </c>
      <c r="E31" s="634" t="s">
        <v>4008</v>
      </c>
      <c r="F31" s="435">
        <f>SUMIF(104:104,E31,105:105)-SUMIF(104:104,C31,105:105)+100</f>
        <v>100</v>
      </c>
      <c r="G31" s="634" t="s">
        <v>4008</v>
      </c>
      <c r="H31" s="435">
        <f>SUMIF(104:104,G31,105:105)-SUMIF(104:104,C31,105:105)+100</f>
        <v>100</v>
      </c>
      <c r="I31" s="634" t="s">
        <v>4010</v>
      </c>
      <c r="J31" s="435">
        <f>SUMIF(104:104,I31,105:105)-SUMIF(104:104,C31,105:105)+100</f>
        <v>100</v>
      </c>
      <c r="K31" s="673">
        <v>0</v>
      </c>
      <c r="L31" s="1143"/>
      <c r="M31" s="1134"/>
      <c r="N31" s="1134"/>
      <c r="O31" s="1142"/>
      <c r="P31" s="3220"/>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220"/>
      <c r="Z31" s="1816" t="str">
        <f t="shared" ref="Z31:Z45" si="13">Q31</f>
        <v>临街状况</v>
      </c>
      <c r="AA31" s="1813">
        <f t="shared" si="3"/>
        <v>1</v>
      </c>
      <c r="AB31" s="1813">
        <f t="shared" si="4"/>
        <v>1</v>
      </c>
      <c r="AC31" s="1813">
        <f t="shared" si="5"/>
        <v>1</v>
      </c>
    </row>
    <row r="32" spans="1:29" ht="27">
      <c r="A32" s="428"/>
      <c r="B32" s="1387" t="s">
        <v>2691</v>
      </c>
      <c r="C32" s="2973" t="s">
        <v>4009</v>
      </c>
      <c r="D32" s="450">
        <v>100</v>
      </c>
      <c r="E32" s="452"/>
      <c r="F32" s="450">
        <f>SUMIF(106:106,E33,107:107)-SUMIF(106:106,C33,107:107)+100</f>
        <v>100</v>
      </c>
      <c r="G32" s="452"/>
      <c r="H32" s="450">
        <f>SUMIF(106:106,G33,107:107)-SUMIF(106:106,C33,107:107)+100</f>
        <v>100</v>
      </c>
      <c r="I32" s="454"/>
      <c r="J32" s="450">
        <f>SUMIF(106:106,I33,107:107)-SUMIF(106:106,C33,107:107)+100</f>
        <v>100</v>
      </c>
      <c r="K32" s="673">
        <v>3</v>
      </c>
      <c r="L32" s="1143"/>
      <c r="M32" s="1134"/>
      <c r="N32" s="1134"/>
      <c r="O32" s="1142"/>
      <c r="P32" s="3220"/>
      <c r="Q32" s="1812" t="str">
        <f t="shared" si="8"/>
        <v>毗邻道路的类型与等级</v>
      </c>
      <c r="R32" s="774" t="s">
        <v>17</v>
      </c>
      <c r="S32" s="775">
        <f t="shared" si="10"/>
        <v>100</v>
      </c>
      <c r="T32" s="774" t="s">
        <v>17</v>
      </c>
      <c r="U32" s="775">
        <f t="shared" si="11"/>
        <v>100</v>
      </c>
      <c r="V32" s="774" t="s">
        <v>17</v>
      </c>
      <c r="W32" s="775">
        <f t="shared" si="12"/>
        <v>100</v>
      </c>
      <c r="X32" s="1815"/>
      <c r="Y32" s="3220"/>
      <c r="Z32" s="1816" t="str">
        <f t="shared" si="13"/>
        <v>毗邻道路的类型与等级</v>
      </c>
      <c r="AA32" s="1813">
        <f t="shared" si="3"/>
        <v>1</v>
      </c>
      <c r="AB32" s="1813">
        <f t="shared" si="4"/>
        <v>1</v>
      </c>
      <c r="AC32" s="1813">
        <f t="shared" si="5"/>
        <v>1</v>
      </c>
    </row>
    <row r="33" spans="1:29" ht="15">
      <c r="A33" s="428"/>
      <c r="B33" s="456"/>
      <c r="C33" s="447" t="s">
        <v>3991</v>
      </c>
      <c r="D33" s="448"/>
      <c r="E33" s="2617" t="s">
        <v>3991</v>
      </c>
      <c r="F33" s="448"/>
      <c r="G33" s="2617" t="s">
        <v>3991</v>
      </c>
      <c r="H33" s="448"/>
      <c r="I33" s="447" t="s">
        <v>3991</v>
      </c>
      <c r="J33" s="448"/>
      <c r="K33" s="613"/>
      <c r="L33" s="1143"/>
      <c r="M33" s="1134"/>
      <c r="N33" s="1134"/>
      <c r="O33" s="1142"/>
      <c r="P33" s="3220"/>
      <c r="Q33" s="1812"/>
      <c r="R33" s="774"/>
      <c r="S33" s="775"/>
      <c r="T33" s="774"/>
      <c r="U33" s="775"/>
      <c r="V33" s="774"/>
      <c r="W33" s="775"/>
      <c r="X33" s="1815"/>
      <c r="Y33" s="3220"/>
      <c r="Z33" s="1816"/>
      <c r="AA33" s="1813">
        <v>1</v>
      </c>
      <c r="AB33" s="1813">
        <v>1</v>
      </c>
      <c r="AC33" s="1813">
        <v>1</v>
      </c>
    </row>
    <row r="34" spans="1:29" ht="15">
      <c r="A34" s="428"/>
      <c r="B34" s="422" t="s">
        <v>2750</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0"/>
      <c r="Q34" s="1812" t="str">
        <f t="shared" si="8"/>
        <v>土地级别</v>
      </c>
      <c r="R34" s="774" t="s">
        <v>17</v>
      </c>
      <c r="S34" s="775">
        <f t="shared" si="10"/>
        <v>100</v>
      </c>
      <c r="T34" s="774" t="s">
        <v>17</v>
      </c>
      <c r="U34" s="775">
        <f t="shared" si="11"/>
        <v>100</v>
      </c>
      <c r="V34" s="774" t="s">
        <v>17</v>
      </c>
      <c r="W34" s="775">
        <f t="shared" si="12"/>
        <v>100</v>
      </c>
      <c r="X34" s="1815"/>
      <c r="Y34" s="3220"/>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0"/>
      <c r="Q35" s="1812">
        <f t="shared" si="8"/>
        <v>111</v>
      </c>
      <c r="R35" s="774" t="s">
        <v>17</v>
      </c>
      <c r="S35" s="775">
        <f t="shared" si="10"/>
        <v>100</v>
      </c>
      <c r="T35" s="774" t="s">
        <v>17</v>
      </c>
      <c r="U35" s="775">
        <f t="shared" si="11"/>
        <v>100</v>
      </c>
      <c r="V35" s="774" t="s">
        <v>17</v>
      </c>
      <c r="W35" s="775">
        <f t="shared" si="12"/>
        <v>100</v>
      </c>
      <c r="X35" s="1815"/>
      <c r="Y35" s="3220"/>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21" t="s">
        <v>2565</v>
      </c>
      <c r="Q36" s="1812">
        <f t="shared" si="8"/>
        <v>111</v>
      </c>
      <c r="R36" s="774" t="s">
        <v>17</v>
      </c>
      <c r="S36" s="775">
        <f t="shared" si="10"/>
        <v>100</v>
      </c>
      <c r="T36" s="774" t="s">
        <v>17</v>
      </c>
      <c r="U36" s="775">
        <f t="shared" si="11"/>
        <v>100</v>
      </c>
      <c r="V36" s="774" t="s">
        <v>17</v>
      </c>
      <c r="W36" s="775">
        <f t="shared" si="12"/>
        <v>100</v>
      </c>
      <c r="X36" s="1815"/>
      <c r="Y36" s="3222" t="s">
        <v>2565</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2">
        <f t="shared" si="8"/>
        <v>111</v>
      </c>
      <c r="R37" s="777" t="s">
        <v>17</v>
      </c>
      <c r="S37" s="778">
        <f t="shared" si="10"/>
        <v>100</v>
      </c>
      <c r="T37" s="777" t="s">
        <v>17</v>
      </c>
      <c r="U37" s="778">
        <f t="shared" si="11"/>
        <v>100</v>
      </c>
      <c r="V37" s="777" t="s">
        <v>17</v>
      </c>
      <c r="W37" s="778">
        <f t="shared" si="12"/>
        <v>100</v>
      </c>
      <c r="X37" s="779"/>
      <c r="Y37" s="3222"/>
      <c r="Z37" s="780">
        <f t="shared" si="13"/>
        <v>111</v>
      </c>
      <c r="AA37" s="1813">
        <f t="shared" si="3"/>
        <v>1</v>
      </c>
      <c r="AB37" s="1813">
        <f t="shared" si="4"/>
        <v>1</v>
      </c>
      <c r="AC37" s="1813">
        <f t="shared" si="5"/>
        <v>1</v>
      </c>
    </row>
    <row r="38" spans="1:29" ht="15">
      <c r="A38" s="472" t="s">
        <v>2563</v>
      </c>
      <c r="B38" s="456" t="s">
        <v>2751</v>
      </c>
      <c r="C38" s="679">
        <f>1260*666.67</f>
        <v>840004.2</v>
      </c>
      <c r="D38" s="467">
        <v>100</v>
      </c>
      <c r="E38" s="679">
        <f>商业!E2</f>
        <v>3330</v>
      </c>
      <c r="F38" s="467">
        <f>LOOKUP(E38,117:117,118:118)-LOOKUP(C38,117:117,118:118)+100</f>
        <v>85</v>
      </c>
      <c r="G38" s="679">
        <f>商业!E3</f>
        <v>1331.42</v>
      </c>
      <c r="H38" s="467">
        <f>LOOKUP(G38,117:117,118:118)-LOOKUP(C38,117:117,118:118)+100</f>
        <v>85</v>
      </c>
      <c r="I38" s="530">
        <f>商业!D17</f>
        <v>137323.5</v>
      </c>
      <c r="J38" s="467">
        <f>LOOKUP(I38,117:117,118:118)-LOOKUP(C38,117:117,118:118)+100</f>
        <v>100</v>
      </c>
      <c r="K38" s="613"/>
      <c r="L38" s="1143"/>
      <c r="M38" s="1134"/>
      <c r="N38" s="1134"/>
      <c r="O38" s="1142"/>
      <c r="P38" s="3222"/>
      <c r="Q38" s="1812" t="str">
        <f>B38</f>
        <v>宗地面积</v>
      </c>
      <c r="R38" s="774" t="s">
        <v>17</v>
      </c>
      <c r="S38" s="775">
        <f t="shared" si="10"/>
        <v>85</v>
      </c>
      <c r="T38" s="774" t="s">
        <v>17</v>
      </c>
      <c r="U38" s="775">
        <f t="shared" si="11"/>
        <v>85</v>
      </c>
      <c r="V38" s="774" t="s">
        <v>17</v>
      </c>
      <c r="W38" s="775">
        <f t="shared" si="12"/>
        <v>100</v>
      </c>
      <c r="X38" s="1815"/>
      <c r="Y38" s="3222"/>
      <c r="Z38" s="1816" t="str">
        <f t="shared" si="13"/>
        <v>宗地面积</v>
      </c>
      <c r="AA38" s="1813">
        <f t="shared" si="3"/>
        <v>1.1764705882352942</v>
      </c>
      <c r="AB38" s="1813">
        <f t="shared" si="4"/>
        <v>1.1764705882352942</v>
      </c>
      <c r="AC38" s="1813">
        <f t="shared" si="5"/>
        <v>1</v>
      </c>
    </row>
    <row r="39" spans="1:29" ht="15">
      <c r="A39" s="472"/>
      <c r="B39" s="422" t="s">
        <v>2752</v>
      </c>
      <c r="C39" s="2619" t="s">
        <v>3995</v>
      </c>
      <c r="D39" s="435">
        <v>100</v>
      </c>
      <c r="E39" s="2619" t="s">
        <v>3995</v>
      </c>
      <c r="F39" s="435">
        <f>SUMIF(119:119,E39,120:120)-SUMIF(119:119,C39,120:120)+100</f>
        <v>100</v>
      </c>
      <c r="G39" s="2619" t="s">
        <v>3995</v>
      </c>
      <c r="H39" s="435">
        <f>SUMIF(119:119,G39,120:120)-SUMIF(119:119,C39,120:120)+100</f>
        <v>100</v>
      </c>
      <c r="I39" s="2619" t="s">
        <v>3995</v>
      </c>
      <c r="J39" s="435">
        <f>SUMIF(119:119,I39,120:120)-SUMIF(119:119,C39,120:120)+100</f>
        <v>100</v>
      </c>
      <c r="K39" s="612">
        <v>2</v>
      </c>
      <c r="L39" s="1143"/>
      <c r="M39" s="1134"/>
      <c r="N39" s="1134"/>
      <c r="O39" s="1142"/>
      <c r="P39" s="3222"/>
      <c r="Q39" s="1812" t="str">
        <f t="shared" ref="Q39:Q45" si="14">B39</f>
        <v>宗地形状</v>
      </c>
      <c r="R39" s="774" t="s">
        <v>17</v>
      </c>
      <c r="S39" s="775">
        <f t="shared" si="10"/>
        <v>100</v>
      </c>
      <c r="T39" s="774" t="s">
        <v>17</v>
      </c>
      <c r="U39" s="775">
        <f t="shared" si="11"/>
        <v>100</v>
      </c>
      <c r="V39" s="774" t="s">
        <v>17</v>
      </c>
      <c r="W39" s="775">
        <f t="shared" si="12"/>
        <v>100</v>
      </c>
      <c r="X39" s="1815"/>
      <c r="Y39" s="3222"/>
      <c r="Z39" s="1816" t="str">
        <f t="shared" si="13"/>
        <v>宗地形状</v>
      </c>
      <c r="AA39" s="1813">
        <f t="shared" si="3"/>
        <v>1</v>
      </c>
      <c r="AB39" s="1813">
        <f t="shared" si="4"/>
        <v>1</v>
      </c>
      <c r="AC39" s="1813">
        <f t="shared" si="5"/>
        <v>1</v>
      </c>
    </row>
    <row r="40" spans="1:29" ht="15">
      <c r="A40" s="472"/>
      <c r="B40" s="422" t="s">
        <v>2753</v>
      </c>
      <c r="C40" s="2619"/>
      <c r="D40" s="435">
        <v>100</v>
      </c>
      <c r="E40" s="2619"/>
      <c r="F40" s="435">
        <f>SUMIF(121:121,E40,122:122)-SUMIF(121:121,C40,122:122)+100</f>
        <v>100</v>
      </c>
      <c r="G40" s="2619"/>
      <c r="H40" s="435">
        <f>SUMIF(121:121,G40,122:122)-SUMIF(121:121,C40,122:122)+100</f>
        <v>100</v>
      </c>
      <c r="I40" s="2619"/>
      <c r="J40" s="435">
        <f>SUMIF(121:121,I40,122:122)-SUMIF(121:121,C40,122:122)+100</f>
        <v>100</v>
      </c>
      <c r="K40" s="612">
        <v>2</v>
      </c>
      <c r="L40" s="1143"/>
      <c r="M40" s="1134"/>
      <c r="N40" s="1134"/>
      <c r="O40" s="1142"/>
      <c r="P40" s="3222"/>
      <c r="Q40" s="1812" t="str">
        <f t="shared" si="14"/>
        <v>临街宽度及深度</v>
      </c>
      <c r="R40" s="774" t="s">
        <v>17</v>
      </c>
      <c r="S40" s="775">
        <f t="shared" si="10"/>
        <v>100</v>
      </c>
      <c r="T40" s="774" t="s">
        <v>17</v>
      </c>
      <c r="U40" s="775">
        <f t="shared" si="11"/>
        <v>100</v>
      </c>
      <c r="V40" s="774" t="s">
        <v>17</v>
      </c>
      <c r="W40" s="775">
        <f t="shared" si="12"/>
        <v>100</v>
      </c>
      <c r="X40" s="1815"/>
      <c r="Y40" s="3222"/>
      <c r="Z40" s="1816" t="str">
        <f t="shared" si="13"/>
        <v>临街宽度及深度</v>
      </c>
      <c r="AA40" s="1813">
        <f t="shared" si="3"/>
        <v>1</v>
      </c>
      <c r="AB40" s="1813">
        <f t="shared" si="4"/>
        <v>1</v>
      </c>
      <c r="AC40" s="1813">
        <f t="shared" si="5"/>
        <v>1</v>
      </c>
    </row>
    <row r="41" spans="1:29" s="117" customFormat="1" ht="15">
      <c r="A41" s="473"/>
      <c r="B41" s="422" t="s">
        <v>2754</v>
      </c>
      <c r="C41" s="2708" t="s">
        <v>3891</v>
      </c>
      <c r="D41" s="136">
        <v>100</v>
      </c>
      <c r="E41" s="2708" t="s">
        <v>3895</v>
      </c>
      <c r="F41" s="435">
        <f>SUMIF(123:123,E41,124:124)-SUMIF(123:123,C41,124:124)+100</f>
        <v>91</v>
      </c>
      <c r="G41" s="2708" t="s">
        <v>3895</v>
      </c>
      <c r="H41" s="435">
        <f>SUMIF(123:123,G41,124:124)-SUMIF(123:123,C41,124:124)+100</f>
        <v>91</v>
      </c>
      <c r="I41" s="2708" t="s">
        <v>3895</v>
      </c>
      <c r="J41" s="435">
        <f>SUMIF(123:123,I41,124:124)-SUMIF(123:123,C41,124:124)+100</f>
        <v>91</v>
      </c>
      <c r="K41" s="612">
        <v>3</v>
      </c>
      <c r="L41" s="1135"/>
      <c r="M41" s="1136"/>
      <c r="N41" s="1136"/>
      <c r="O41" s="1137"/>
      <c r="P41" s="3222"/>
      <c r="Q41" s="1812" t="str">
        <f t="shared" si="14"/>
        <v>宗地开发程度</v>
      </c>
      <c r="R41" s="770" t="s">
        <v>17</v>
      </c>
      <c r="S41" s="771">
        <f t="shared" si="10"/>
        <v>91</v>
      </c>
      <c r="T41" s="770" t="s">
        <v>17</v>
      </c>
      <c r="U41" s="771">
        <f t="shared" si="11"/>
        <v>91</v>
      </c>
      <c r="V41" s="770" t="s">
        <v>17</v>
      </c>
      <c r="W41" s="771">
        <f t="shared" si="12"/>
        <v>91</v>
      </c>
      <c r="X41" s="772"/>
      <c r="Y41" s="3222"/>
      <c r="Z41" s="55" t="str">
        <f t="shared" si="13"/>
        <v>宗地开发程度</v>
      </c>
      <c r="AA41" s="773">
        <f t="shared" si="3"/>
        <v>1.098901098901099</v>
      </c>
      <c r="AB41" s="773">
        <f t="shared" si="4"/>
        <v>1.098901098901099</v>
      </c>
      <c r="AC41" s="773">
        <f t="shared" si="5"/>
        <v>1.098901098901099</v>
      </c>
    </row>
    <row r="42" spans="1:29" ht="15">
      <c r="A42" s="472"/>
      <c r="B42" s="422" t="s">
        <v>2755</v>
      </c>
      <c r="C42" s="2619" t="s">
        <v>3900</v>
      </c>
      <c r="D42" s="435">
        <v>100</v>
      </c>
      <c r="E42" s="2619" t="s">
        <v>3900</v>
      </c>
      <c r="F42" s="435">
        <f>SUMIF(125:125,E42,126:126)-SUMIF(125:125,C42,126:126)+100</f>
        <v>100</v>
      </c>
      <c r="G42" s="2619" t="s">
        <v>3900</v>
      </c>
      <c r="H42" s="435">
        <f>SUMIF(125:125,G42,126:126)-SUMIF(125:125,C42,126:126)+100</f>
        <v>100</v>
      </c>
      <c r="I42" s="2619" t="s">
        <v>3900</v>
      </c>
      <c r="J42" s="435">
        <f>SUMIF(125:125,I42,126:126)-SUMIF(125:125,C42,126:126)+100</f>
        <v>100</v>
      </c>
      <c r="K42" s="612">
        <v>2</v>
      </c>
      <c r="L42" s="1143"/>
      <c r="M42" s="1134"/>
      <c r="N42" s="1134"/>
      <c r="O42" s="1142"/>
      <c r="P42" s="3222" t="s">
        <v>2565</v>
      </c>
      <c r="Q42" s="1812" t="str">
        <f t="shared" si="14"/>
        <v>工程地质条件</v>
      </c>
      <c r="R42" s="774" t="s">
        <v>17</v>
      </c>
      <c r="S42" s="775">
        <f t="shared" si="10"/>
        <v>100</v>
      </c>
      <c r="T42" s="774" t="s">
        <v>17</v>
      </c>
      <c r="U42" s="775">
        <f t="shared" si="11"/>
        <v>100</v>
      </c>
      <c r="V42" s="774" t="s">
        <v>17</v>
      </c>
      <c r="W42" s="775">
        <f t="shared" si="12"/>
        <v>100</v>
      </c>
      <c r="X42" s="1815"/>
      <c r="Y42" s="3222" t="s">
        <v>2565</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2">
        <f t="shared" si="14"/>
        <v>111</v>
      </c>
      <c r="R43" s="774" t="s">
        <v>17</v>
      </c>
      <c r="S43" s="775">
        <f t="shared" si="10"/>
        <v>100</v>
      </c>
      <c r="T43" s="774" t="s">
        <v>17</v>
      </c>
      <c r="U43" s="775">
        <f t="shared" si="11"/>
        <v>100</v>
      </c>
      <c r="V43" s="774" t="s">
        <v>17</v>
      </c>
      <c r="W43" s="775">
        <f t="shared" si="12"/>
        <v>100</v>
      </c>
      <c r="X43" s="1815"/>
      <c r="Y43" s="3222"/>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2">
        <f t="shared" si="14"/>
        <v>111</v>
      </c>
      <c r="R44" s="774" t="s">
        <v>17</v>
      </c>
      <c r="S44" s="775">
        <f t="shared" si="10"/>
        <v>100</v>
      </c>
      <c r="T44" s="774" t="s">
        <v>17</v>
      </c>
      <c r="U44" s="775">
        <f t="shared" si="11"/>
        <v>100</v>
      </c>
      <c r="V44" s="774" t="s">
        <v>17</v>
      </c>
      <c r="W44" s="775">
        <f t="shared" si="12"/>
        <v>100</v>
      </c>
      <c r="X44" s="1815"/>
      <c r="Y44" s="3222"/>
      <c r="Z44" s="1816">
        <f t="shared" si="13"/>
        <v>111</v>
      </c>
      <c r="AA44" s="1813">
        <f t="shared" si="3"/>
        <v>1</v>
      </c>
      <c r="AB44" s="1813">
        <f t="shared" si="4"/>
        <v>1</v>
      </c>
      <c r="AC44" s="1813">
        <f t="shared" si="5"/>
        <v>1</v>
      </c>
    </row>
    <row r="45" spans="1:29" s="471" customFormat="1" ht="15.75" thickBot="1">
      <c r="A45" s="468"/>
      <c r="B45" s="1390">
        <v>111</v>
      </c>
      <c r="C45" s="2709"/>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2">
        <f t="shared" si="14"/>
        <v>111</v>
      </c>
      <c r="R45" s="777" t="s">
        <v>17</v>
      </c>
      <c r="S45" s="778">
        <f t="shared" si="10"/>
        <v>100</v>
      </c>
      <c r="T45" s="777" t="s">
        <v>17</v>
      </c>
      <c r="U45" s="778">
        <f t="shared" si="11"/>
        <v>100</v>
      </c>
      <c r="V45" s="777" t="s">
        <v>17</v>
      </c>
      <c r="W45" s="778">
        <f t="shared" si="12"/>
        <v>100</v>
      </c>
      <c r="X45" s="779"/>
      <c r="Y45" s="3222"/>
      <c r="Z45" s="780">
        <f t="shared" si="13"/>
        <v>111</v>
      </c>
      <c r="AA45" s="1813">
        <f t="shared" si="3"/>
        <v>1</v>
      </c>
      <c r="AB45" s="1813">
        <f t="shared" si="4"/>
        <v>1</v>
      </c>
      <c r="AC45" s="1813">
        <f t="shared" si="5"/>
        <v>1</v>
      </c>
    </row>
    <row r="46" spans="1:29" ht="15">
      <c r="A46" s="479" t="s">
        <v>2720</v>
      </c>
      <c r="B46" s="2710" t="s">
        <v>2756</v>
      </c>
      <c r="C46" s="682" t="s">
        <v>1</v>
      </c>
      <c r="D46" s="481"/>
      <c r="E46" s="482">
        <f>ROUND(商业!M2*年期修正系数!C16,0)</f>
        <v>3900</v>
      </c>
      <c r="F46" s="483"/>
      <c r="G46" s="484">
        <f>ROUND(商业!M3*年期修正系数!C16,0)</f>
        <v>4148</v>
      </c>
      <c r="H46" s="485"/>
      <c r="I46" s="482">
        <f>ROUND(商业!K17*年期修正系数!C16,0)</f>
        <v>3019</v>
      </c>
      <c r="J46" s="485"/>
      <c r="K46" s="783"/>
      <c r="L46" s="1146"/>
      <c r="M46" s="1147"/>
      <c r="N46" s="1134"/>
      <c r="O46" s="1147"/>
      <c r="P46" s="3217" t="str">
        <f>A46</f>
        <v>成交单价</v>
      </c>
      <c r="Q46" s="3217"/>
      <c r="R46" s="3223">
        <f>E46</f>
        <v>3900</v>
      </c>
      <c r="S46" s="3223"/>
      <c r="T46" s="3223">
        <f>G46</f>
        <v>4148</v>
      </c>
      <c r="U46" s="3223"/>
      <c r="V46" s="3223">
        <f>I46</f>
        <v>3019</v>
      </c>
      <c r="W46" s="3223"/>
      <c r="X46" s="759"/>
      <c r="Y46" s="781"/>
      <c r="Z46" s="759"/>
      <c r="AA46" s="759"/>
      <c r="AB46" s="759"/>
      <c r="AC46" s="759"/>
    </row>
    <row r="47" spans="1:29" ht="15.75" thickBot="1">
      <c r="A47" s="486" t="s">
        <v>2669</v>
      </c>
      <c r="B47" s="683"/>
      <c r="C47" s="490">
        <f>R48</f>
        <v>4039</v>
      </c>
      <c r="D47" s="489"/>
      <c r="E47" s="490">
        <f>R47</f>
        <v>4637</v>
      </c>
      <c r="F47" s="491"/>
      <c r="G47" s="488">
        <f>T47</f>
        <v>4730</v>
      </c>
      <c r="H47" s="489"/>
      <c r="I47" s="490">
        <f>V47</f>
        <v>2751</v>
      </c>
      <c r="J47" s="489"/>
      <c r="K47" s="784"/>
      <c r="L47" s="1146"/>
      <c r="M47" s="1147"/>
      <c r="N47" s="1147"/>
      <c r="O47" s="1147"/>
      <c r="P47" s="3217" t="str">
        <f>A47</f>
        <v>比较价值（元/平方米）</v>
      </c>
      <c r="Q47" s="3217"/>
      <c r="R47" s="3210">
        <f>ROUND(PRODUCT(R46,AA7:AA45),0)</f>
        <v>4637</v>
      </c>
      <c r="S47" s="3210"/>
      <c r="T47" s="3210">
        <f>ROUND(PRODUCT(T46,AB7:AB45),0)</f>
        <v>4730</v>
      </c>
      <c r="U47" s="3210"/>
      <c r="V47" s="3210">
        <f>ROUND(PRODUCT(V46,AC7:AC45),0)</f>
        <v>2751</v>
      </c>
      <c r="W47" s="3210"/>
      <c r="X47" s="759"/>
      <c r="Y47" s="759"/>
      <c r="Z47" s="759"/>
      <c r="AA47" s="759"/>
      <c r="AB47" s="759"/>
      <c r="AC47" s="759"/>
    </row>
    <row r="48" spans="1:29" ht="15.75" thickBot="1">
      <c r="A48" s="492" t="s">
        <v>2757</v>
      </c>
      <c r="B48" s="493"/>
      <c r="C48" s="494">
        <f>R48</f>
        <v>4039</v>
      </c>
      <c r="D48" s="494"/>
      <c r="E48" s="494"/>
      <c r="F48" s="494"/>
      <c r="G48" s="494"/>
      <c r="H48" s="494"/>
      <c r="I48" s="494"/>
      <c r="J48" s="494"/>
      <c r="K48" s="785"/>
      <c r="L48" s="1146"/>
      <c r="M48" s="1147"/>
      <c r="N48" s="1147"/>
      <c r="O48" s="1147"/>
      <c r="P48" s="3211" t="str">
        <f>A48</f>
        <v>估价对象XX用房的比较价值（楼面单价，元/平方米）</v>
      </c>
      <c r="Q48" s="3212"/>
      <c r="R48" s="3213">
        <f>ROUND(AVERAGE(R47:V47),0)</f>
        <v>4039</v>
      </c>
      <c r="S48" s="3213"/>
      <c r="T48" s="3213"/>
      <c r="U48" s="3213"/>
      <c r="V48" s="3213"/>
      <c r="W48" s="321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2671</v>
      </c>
      <c r="D51" s="498"/>
      <c r="E51" s="499">
        <f>IF(E46&lt;E47,E47/E46-1,E46/E47-1)</f>
        <v>0.18897435897435888</v>
      </c>
      <c r="F51" s="500" t="str">
        <f>IF(OR(E51&gt;=0.3,E51&lt;=-0.3),"超过30%","")</f>
        <v/>
      </c>
      <c r="G51" s="499">
        <f>IF(G46&lt;G47,G47/G46-1,G46/G47-1)</f>
        <v>0.14030858244937328</v>
      </c>
      <c r="H51" s="500" t="str">
        <f>IF(OR(G51&gt;=0.3,G51&lt;=-0.3),"超过30%","")</f>
        <v/>
      </c>
      <c r="I51" s="499">
        <f>IF(I46&lt;I47,I47/I46-1,I46/I47-1)</f>
        <v>9.7419120319883756E-2</v>
      </c>
      <c r="J51" s="500" t="str">
        <f>IF(OR(I51&gt;=0.3,I51&lt;=-0.3),"超过30%","")</f>
        <v/>
      </c>
      <c r="K51" s="1108"/>
      <c r="L51" s="1109"/>
      <c r="M51" s="1147"/>
      <c r="N51" s="1147"/>
      <c r="O51" s="1147"/>
    </row>
    <row r="52" spans="1:15" ht="13.5" customHeight="1">
      <c r="A52" s="1147"/>
      <c r="B52" s="1147"/>
      <c r="C52" s="497" t="s">
        <v>2672</v>
      </c>
      <c r="D52" s="501"/>
      <c r="E52" s="499">
        <f>IF(E47&lt;G47,G47/E47-1,E47/G47-1)</f>
        <v>2.0056070735389175E-2</v>
      </c>
      <c r="F52" s="500" t="str">
        <f>IF(OR(E52&gt;=0.2,E52&lt;=-0.2),"超过20%","")</f>
        <v/>
      </c>
      <c r="G52" s="499">
        <f>IF(G47&lt;I47,I47/G47-1,G47/I47-1)</f>
        <v>0.71937477280988738</v>
      </c>
      <c r="H52" s="500" t="str">
        <f>IF(OR(G52&gt;=0.2,G52&lt;=-0.2),"超过20%","")</f>
        <v>超过20%</v>
      </c>
      <c r="I52" s="499">
        <f>IF(I47&lt;E47,E47/I47-1,I47/E47-1)</f>
        <v>0.68556888404216654</v>
      </c>
      <c r="J52" s="500" t="str">
        <f>IF(OR(I52&gt;=0.2,I52&lt;=-0.2),"超过20%","")</f>
        <v>超过20%</v>
      </c>
      <c r="K52" s="1108"/>
      <c r="L52" s="1109"/>
      <c r="M52" s="1147"/>
      <c r="N52" s="1147"/>
      <c r="O52" s="1147"/>
    </row>
    <row r="53" spans="1:15" s="502" customFormat="1" ht="13.5" customHeight="1">
      <c r="A53" s="1148"/>
      <c r="B53" s="1148"/>
      <c r="C53" s="497" t="s">
        <v>2673</v>
      </c>
      <c r="D53" s="501"/>
      <c r="E53" s="499">
        <f>IF(E46&lt;G46,G46/E46-1,E46/G46-1)</f>
        <v>6.3589743589743675E-2</v>
      </c>
      <c r="F53" s="500" t="str">
        <f>IF(OR(E53&gt;=0.3,E53&lt;=-0.3),"超过30%","")</f>
        <v/>
      </c>
      <c r="G53" s="499">
        <f>IF(G46&lt;I46,I46/G46-1,G46/I46-1)</f>
        <v>0.3739648890361047</v>
      </c>
      <c r="H53" s="500" t="str">
        <f>IF(OR(G53&gt;=0.3,G53&lt;=-0.3),"超过30%","")</f>
        <v>超过30%</v>
      </c>
      <c r="I53" s="499">
        <f>IF(I46&lt;E46,E46/I46-1,I46/E46-1)</f>
        <v>0.29181848294137125</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2758</v>
      </c>
      <c r="B55" s="685" t="s">
        <v>2759</v>
      </c>
      <c r="C55" s="2711" t="s">
        <v>2760</v>
      </c>
      <c r="D55" s="2712" t="s">
        <v>2761</v>
      </c>
      <c r="E55" s="686" t="s">
        <v>2762</v>
      </c>
      <c r="F55" s="1110" t="s">
        <v>2763</v>
      </c>
      <c r="G55" s="3214" t="s">
        <v>2764</v>
      </c>
      <c r="H55" s="3215"/>
      <c r="I55" s="144" t="s">
        <v>2765</v>
      </c>
      <c r="J55" s="2713">
        <f>项目基本情况!F35</f>
        <v>0</v>
      </c>
      <c r="K55" s="2714" t="s">
        <v>2766</v>
      </c>
      <c r="L55" s="1109"/>
      <c r="M55" s="1147"/>
      <c r="N55" s="1147"/>
      <c r="O55" s="1147"/>
    </row>
    <row r="56" spans="1:15" s="692" customFormat="1">
      <c r="A56" s="688" t="s">
        <v>2767</v>
      </c>
      <c r="B56" s="689">
        <f>C48</f>
        <v>4039</v>
      </c>
      <c r="C56" s="690">
        <v>1</v>
      </c>
      <c r="D56" s="1166">
        <v>1</v>
      </c>
      <c r="E56" s="690">
        <f>'数据-汇总表'!E8+'数据-汇总表'!E9</f>
        <v>34338.32</v>
      </c>
      <c r="F56" s="1106">
        <f t="shared" ref="F56:F65" si="15">ROUND(B56*E56/10000,0)</f>
        <v>13869</v>
      </c>
      <c r="G56" s="3216"/>
      <c r="H56" s="3217"/>
      <c r="I56" s="1111">
        <v>1</v>
      </c>
      <c r="J56" s="1114">
        <v>1</v>
      </c>
      <c r="K56" s="1148"/>
      <c r="L56" s="944"/>
      <c r="M56" s="944"/>
      <c r="N56" s="944"/>
      <c r="O56" s="944"/>
    </row>
    <row r="57" spans="1:15" s="692" customFormat="1">
      <c r="A57" s="693" t="s">
        <v>2768</v>
      </c>
      <c r="B57" s="262">
        <f>ROUND($C$48*C57*D57,0)</f>
        <v>0</v>
      </c>
      <c r="C57" s="200">
        <f t="shared" ref="C57:C65" si="16">IF($C$55="北京市系数",I57,J57)</f>
        <v>0</v>
      </c>
      <c r="D57" s="1167">
        <v>0.25</v>
      </c>
      <c r="E57" s="694"/>
      <c r="F57" s="1106">
        <f t="shared" si="15"/>
        <v>0</v>
      </c>
      <c r="G57" s="3218" t="s">
        <v>2769</v>
      </c>
      <c r="H57" s="1107">
        <f>项目基本情况!B37</f>
        <v>0</v>
      </c>
      <c r="I57" s="1111">
        <f>SUMIF(修正!A45:A56,H57,修正!B45:B56)</f>
        <v>0</v>
      </c>
      <c r="J57" s="1115"/>
      <c r="K57" s="1147"/>
      <c r="L57" s="944"/>
      <c r="M57" s="944"/>
      <c r="N57" s="944"/>
      <c r="O57" s="944"/>
    </row>
    <row r="58" spans="1:15" s="692" customFormat="1">
      <c r="A58" s="693" t="s">
        <v>2770</v>
      </c>
      <c r="B58" s="262">
        <f t="shared" ref="B58:B65" si="17">ROUND($C$48*C58*D58,0)</f>
        <v>0</v>
      </c>
      <c r="C58" s="200">
        <f t="shared" si="16"/>
        <v>0</v>
      </c>
      <c r="D58" s="1167">
        <v>0.25</v>
      </c>
      <c r="E58" s="694"/>
      <c r="F58" s="1106">
        <f t="shared" si="15"/>
        <v>0</v>
      </c>
      <c r="G58" s="3218"/>
      <c r="H58" s="1107">
        <f>项目基本情况!B37</f>
        <v>0</v>
      </c>
      <c r="I58" s="1111">
        <f>SUMIF(修正!A45:A56,H58,修正!C45:C56)</f>
        <v>0</v>
      </c>
      <c r="J58" s="1115"/>
      <c r="K58" s="1148"/>
      <c r="L58" s="944"/>
      <c r="M58" s="944"/>
      <c r="N58" s="944"/>
      <c r="O58" s="944"/>
    </row>
    <row r="59" spans="1:15" s="692" customFormat="1">
      <c r="A59" s="693" t="s">
        <v>2771</v>
      </c>
      <c r="B59" s="262">
        <f t="shared" si="17"/>
        <v>0</v>
      </c>
      <c r="C59" s="200">
        <f t="shared" si="16"/>
        <v>0</v>
      </c>
      <c r="D59" s="1167">
        <v>0.25</v>
      </c>
      <c r="E59" s="694"/>
      <c r="F59" s="1106">
        <f t="shared" si="15"/>
        <v>0</v>
      </c>
      <c r="G59" s="3218"/>
      <c r="H59" s="1107">
        <f>项目基本情况!B37</f>
        <v>0</v>
      </c>
      <c r="I59" s="1111">
        <f>SUMIF(修正!A45:A56,H59,修正!D45:D56)</f>
        <v>0</v>
      </c>
      <c r="J59" s="1115"/>
      <c r="K59" s="1147"/>
      <c r="L59" s="944"/>
      <c r="M59" s="944"/>
      <c r="N59" s="944"/>
      <c r="O59" s="944"/>
    </row>
    <row r="60" spans="1:15" s="692" customFormat="1">
      <c r="A60" s="693" t="s">
        <v>2772</v>
      </c>
      <c r="B60" s="262">
        <f t="shared" si="17"/>
        <v>0</v>
      </c>
      <c r="C60" s="200">
        <f t="shared" si="16"/>
        <v>0</v>
      </c>
      <c r="D60" s="1167">
        <v>0.25</v>
      </c>
      <c r="E60" s="694"/>
      <c r="F60" s="1106">
        <f t="shared" si="15"/>
        <v>0</v>
      </c>
      <c r="G60" s="3218"/>
      <c r="H60" s="1107">
        <f>项目基本情况!B37</f>
        <v>0</v>
      </c>
      <c r="I60" s="1111">
        <f>SUMIF(修正!A45:A56,H60,修正!E45:E56)</f>
        <v>0</v>
      </c>
      <c r="J60" s="1115"/>
      <c r="K60" s="1148"/>
      <c r="L60" s="944"/>
      <c r="M60" s="944"/>
      <c r="N60" s="944"/>
      <c r="O60" s="944"/>
    </row>
    <row r="61" spans="1:15" s="692" customFormat="1">
      <c r="A61" s="693" t="s">
        <v>2773</v>
      </c>
      <c r="B61" s="262">
        <f t="shared" si="17"/>
        <v>0</v>
      </c>
      <c r="C61" s="200">
        <f t="shared" si="16"/>
        <v>0</v>
      </c>
      <c r="D61" s="1167">
        <v>0.25</v>
      </c>
      <c r="E61" s="261">
        <f>'数据-汇总表'!E11</f>
        <v>0</v>
      </c>
      <c r="F61" s="1106">
        <f t="shared" si="15"/>
        <v>0</v>
      </c>
      <c r="G61" s="2715" t="s">
        <v>2774</v>
      </c>
      <c r="H61" s="1107">
        <f>项目基本情况!C37</f>
        <v>0</v>
      </c>
      <c r="I61" s="1111">
        <f>SUMIF(修正!A45:A56,H61,修正!F45:F56)</f>
        <v>0</v>
      </c>
      <c r="J61" s="1115"/>
      <c r="K61" s="1147"/>
      <c r="L61" s="944"/>
      <c r="M61" s="944"/>
      <c r="N61" s="944"/>
      <c r="O61" s="944"/>
    </row>
    <row r="62" spans="1:15" s="692" customFormat="1">
      <c r="A62" s="693" t="s">
        <v>2775</v>
      </c>
      <c r="B62" s="262">
        <f t="shared" si="17"/>
        <v>0</v>
      </c>
      <c r="C62" s="200">
        <f t="shared" si="16"/>
        <v>0</v>
      </c>
      <c r="D62" s="1167">
        <v>0.25</v>
      </c>
      <c r="E62" s="261">
        <f>'数据-汇总表'!E12</f>
        <v>0</v>
      </c>
      <c r="F62" s="1106">
        <f t="shared" si="15"/>
        <v>0</v>
      </c>
      <c r="G62" s="1112" t="s">
        <v>2776</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2777</v>
      </c>
      <c r="B63" s="262">
        <f t="shared" si="17"/>
        <v>0</v>
      </c>
      <c r="C63" s="200">
        <f t="shared" si="16"/>
        <v>0</v>
      </c>
      <c r="D63" s="1167">
        <v>0.25</v>
      </c>
      <c r="E63" s="261">
        <f>'数据-汇总表'!E13</f>
        <v>0</v>
      </c>
      <c r="F63" s="1106">
        <f t="shared" si="15"/>
        <v>0</v>
      </c>
      <c r="G63" s="1112" t="s">
        <v>2778</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2779</v>
      </c>
      <c r="B64" s="262">
        <f t="shared" si="17"/>
        <v>0</v>
      </c>
      <c r="C64" s="200">
        <f t="shared" si="16"/>
        <v>0</v>
      </c>
      <c r="D64" s="1167">
        <v>0.25</v>
      </c>
      <c r="E64" s="261">
        <f>'数据-汇总表'!E14</f>
        <v>0</v>
      </c>
      <c r="F64" s="1106">
        <f t="shared" si="15"/>
        <v>0</v>
      </c>
      <c r="G64" s="2715" t="s">
        <v>2769</v>
      </c>
      <c r="H64" s="1107">
        <f>项目基本情况!B37</f>
        <v>0</v>
      </c>
      <c r="I64" s="1111">
        <f>SUMIF(修正!A45:A56,H64,修正!H45:H56)</f>
        <v>0</v>
      </c>
      <c r="J64" s="1115"/>
      <c r="K64" s="1148"/>
      <c r="L64" s="944"/>
      <c r="M64" s="944"/>
      <c r="N64" s="944"/>
      <c r="O64" s="944"/>
    </row>
    <row r="65" spans="1:17" s="692" customFormat="1" ht="15" thickBot="1">
      <c r="A65" s="693" t="s">
        <v>2780</v>
      </c>
      <c r="B65" s="262">
        <f t="shared" si="17"/>
        <v>0</v>
      </c>
      <c r="C65" s="200">
        <f t="shared" si="16"/>
        <v>0</v>
      </c>
      <c r="D65" s="1167">
        <v>0.25</v>
      </c>
      <c r="E65" s="261">
        <f>'数据-汇总表'!E15</f>
        <v>0</v>
      </c>
      <c r="F65" s="1106">
        <f t="shared" si="15"/>
        <v>0</v>
      </c>
      <c r="G65" s="2716" t="s">
        <v>2774</v>
      </c>
      <c r="H65" s="1117">
        <f>项目基本情况!C37</f>
        <v>0</v>
      </c>
      <c r="I65" s="1113">
        <f>SUMIF(修正!A45:A56,H65,修正!H45:H56)</f>
        <v>0</v>
      </c>
      <c r="J65" s="1116"/>
      <c r="K65" s="1147"/>
      <c r="L65" s="944"/>
      <c r="M65" s="944"/>
      <c r="N65" s="944"/>
      <c r="O65" s="944"/>
    </row>
    <row r="66" spans="1:17" s="692" customFormat="1" ht="13.5" thickBot="1">
      <c r="A66" s="695" t="s">
        <v>2781</v>
      </c>
      <c r="B66" s="696" t="s">
        <v>28</v>
      </c>
      <c r="C66" s="696" t="s">
        <v>29</v>
      </c>
      <c r="D66" s="696" t="s">
        <v>1026</v>
      </c>
      <c r="E66" s="696">
        <f>IF(B46="楼面地价",SUM(E56:E65),'数据-汇总表'!D3)</f>
        <v>34338.32</v>
      </c>
      <c r="F66" s="697">
        <f>IF(B46="楼面地价",SUM(F56:F65),ROUND(C48*E66/10000,0))</f>
        <v>13869</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2019-8-1</v>
      </c>
      <c r="D68" s="761">
        <f>EDATE(C68,-3)</f>
        <v>43586</v>
      </c>
      <c r="E68" s="761">
        <f>EDATE(D68,-3)</f>
        <v>43497</v>
      </c>
      <c r="F68" s="761">
        <f t="shared" ref="F68:O68" si="18">EDATE(E68,-3)</f>
        <v>43405</v>
      </c>
      <c r="G68" s="761">
        <f t="shared" si="18"/>
        <v>43313</v>
      </c>
      <c r="H68" s="761">
        <f t="shared" si="18"/>
        <v>43221</v>
      </c>
      <c r="I68" s="761">
        <f t="shared" si="18"/>
        <v>43132</v>
      </c>
      <c r="J68" s="761">
        <f t="shared" si="18"/>
        <v>43040</v>
      </c>
      <c r="K68" s="761">
        <f t="shared" si="18"/>
        <v>42948</v>
      </c>
      <c r="L68" s="761">
        <f t="shared" si="18"/>
        <v>42856</v>
      </c>
      <c r="M68" s="761">
        <f t="shared" si="18"/>
        <v>42767</v>
      </c>
      <c r="N68" s="761">
        <f t="shared" si="18"/>
        <v>42675</v>
      </c>
      <c r="O68" s="761">
        <f t="shared" si="18"/>
        <v>42583</v>
      </c>
    </row>
    <row r="69" spans="1:17" ht="21.75" thickBot="1">
      <c r="A69" s="763" t="s">
        <v>2674</v>
      </c>
      <c r="B69" s="759"/>
      <c r="C69" s="764"/>
      <c r="D69" s="764"/>
      <c r="E69" s="764"/>
      <c r="F69" s="765"/>
      <c r="G69" s="765"/>
      <c r="H69" s="764"/>
      <c r="I69" s="764"/>
      <c r="J69" s="1162"/>
      <c r="K69" s="1163"/>
      <c r="L69" s="1164"/>
      <c r="M69" s="1162"/>
      <c r="N69" s="1162"/>
      <c r="O69" s="1162"/>
      <c r="P69" s="503"/>
      <c r="Q69" s="504"/>
    </row>
    <row r="70" spans="1:17" s="508" customFormat="1" ht="15">
      <c r="A70" s="2717" t="s">
        <v>2782</v>
      </c>
      <c r="B70" s="1362"/>
      <c r="C70" s="1574" t="str">
        <f>YEAR(C68)&amp;"-"&amp;ROUNDUP(MONTH(C68)/3,0)</f>
        <v>2019-3</v>
      </c>
      <c r="D70" s="1574" t="str">
        <f>YEAR(D68)&amp;"-"&amp;ROUNDUP(MONTH(D68)/3,0)</f>
        <v>2019-2</v>
      </c>
      <c r="E70" s="1574" t="str">
        <f t="shared" ref="E70:O70" si="19">YEAR(E68)&amp;"-"&amp;ROUNDUP(MONTH(E68)/3,0)</f>
        <v>2019-1</v>
      </c>
      <c r="F70" s="1574" t="str">
        <f t="shared" si="19"/>
        <v>2018-4</v>
      </c>
      <c r="G70" s="1574" t="str">
        <f t="shared" si="19"/>
        <v>2018-3</v>
      </c>
      <c r="H70" s="1574" t="str">
        <f t="shared" si="19"/>
        <v>2018-2</v>
      </c>
      <c r="I70" s="1574" t="str">
        <f t="shared" si="19"/>
        <v>2018-1</v>
      </c>
      <c r="J70" s="1574" t="str">
        <f t="shared" si="19"/>
        <v>2017-4</v>
      </c>
      <c r="K70" s="1574" t="str">
        <f t="shared" si="19"/>
        <v>2017-3</v>
      </c>
      <c r="L70" s="1574" t="str">
        <f t="shared" si="19"/>
        <v>2017-2</v>
      </c>
      <c r="M70" s="1574" t="str">
        <f t="shared" si="19"/>
        <v>2017-1</v>
      </c>
      <c r="N70" s="1574" t="str">
        <f t="shared" si="19"/>
        <v>2016-4</v>
      </c>
      <c r="O70" s="1574" t="str">
        <f t="shared" si="19"/>
        <v>2016-3</v>
      </c>
      <c r="P70" s="507"/>
    </row>
    <row r="71" spans="1:17" s="117" customFormat="1" ht="30" customHeight="1">
      <c r="A71" s="2718" t="s">
        <v>2783</v>
      </c>
      <c r="B71" s="332" t="str">
        <f>"北京市平均增长率"&amp;TEXT(SUMIF(基准地价修正!N21:N25,A71,基准地价修正!P21:P25),"0.00%")</f>
        <v>北京市平均增长率0.00%</v>
      </c>
      <c r="C71" s="603">
        <v>100</v>
      </c>
      <c r="D71" s="595">
        <f>C71-$C$72</f>
        <v>99.5</v>
      </c>
      <c r="E71" s="595">
        <f t="shared" ref="E71:O71" si="20">D71-$C$72</f>
        <v>99</v>
      </c>
      <c r="F71" s="595">
        <f t="shared" si="20"/>
        <v>98.5</v>
      </c>
      <c r="G71" s="595">
        <f t="shared" si="20"/>
        <v>98</v>
      </c>
      <c r="H71" s="595">
        <f t="shared" si="20"/>
        <v>97.5</v>
      </c>
      <c r="I71" s="595">
        <f t="shared" si="20"/>
        <v>97</v>
      </c>
      <c r="J71" s="595">
        <f t="shared" si="20"/>
        <v>96.5</v>
      </c>
      <c r="K71" s="595">
        <f t="shared" si="20"/>
        <v>96</v>
      </c>
      <c r="L71" s="595">
        <f t="shared" si="20"/>
        <v>95.5</v>
      </c>
      <c r="M71" s="595">
        <f t="shared" si="20"/>
        <v>95</v>
      </c>
      <c r="N71" s="595">
        <f t="shared" si="20"/>
        <v>94.5</v>
      </c>
      <c r="O71" s="595">
        <f t="shared" si="20"/>
        <v>94</v>
      </c>
      <c r="P71" s="504"/>
    </row>
    <row r="72" spans="1:17" s="117" customFormat="1" ht="15.75" thickBot="1">
      <c r="A72" s="515" t="s">
        <v>2585</v>
      </c>
      <c r="B72" s="516"/>
      <c r="C72" s="517">
        <v>0.5</v>
      </c>
      <c r="D72" s="518"/>
      <c r="E72" s="518"/>
      <c r="F72" s="518"/>
      <c r="G72" s="518"/>
      <c r="H72" s="518"/>
      <c r="I72" s="518"/>
      <c r="J72" s="518"/>
      <c r="K72" s="518"/>
      <c r="L72" s="518"/>
      <c r="M72" s="519"/>
      <c r="N72" s="518"/>
      <c r="O72" s="1165"/>
      <c r="P72" s="504"/>
      <c r="Q72" s="504"/>
    </row>
    <row r="73" spans="1:17" s="117" customFormat="1" ht="15">
      <c r="A73" s="521" t="s">
        <v>2550</v>
      </c>
      <c r="B73" s="510"/>
      <c r="C73" s="522" t="s">
        <v>2652</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2588</v>
      </c>
      <c r="B75" s="528" t="s">
        <v>2554</v>
      </c>
      <c r="C75" s="2968" t="s">
        <v>3986</v>
      </c>
      <c r="D75" s="2968" t="s">
        <v>4027</v>
      </c>
      <c r="E75" s="530"/>
      <c r="F75" s="530"/>
      <c r="G75" s="530"/>
      <c r="H75" s="530"/>
      <c r="I75" s="530"/>
      <c r="J75" s="530"/>
      <c r="K75" s="531"/>
      <c r="L75" s="532"/>
      <c r="M75" s="533"/>
      <c r="N75" s="1155"/>
      <c r="O75" s="1155"/>
      <c r="P75" s="45"/>
      <c r="Q75" s="504"/>
    </row>
    <row r="76" spans="1:17" ht="15.75" thickBot="1">
      <c r="A76" s="534"/>
      <c r="B76" s="535"/>
      <c r="C76" s="536">
        <v>100</v>
      </c>
      <c r="D76" s="536">
        <v>95</v>
      </c>
      <c r="E76" s="536"/>
      <c r="F76" s="536"/>
      <c r="G76" s="536"/>
      <c r="H76" s="536"/>
      <c r="I76" s="536"/>
      <c r="J76" s="536"/>
      <c r="K76" s="536"/>
      <c r="L76" s="536"/>
      <c r="M76" s="537"/>
      <c r="N76" s="1156"/>
      <c r="O76" s="1156"/>
      <c r="P76" s="45"/>
      <c r="Q76" s="504"/>
    </row>
    <row r="77" spans="1:17" ht="27.75" thickTop="1">
      <c r="A77" s="534"/>
      <c r="B77" s="538" t="s">
        <v>2557</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2558</v>
      </c>
      <c r="C79" s="547" t="str">
        <f>C80&amp;"（含）"&amp;"-"&amp;D80</f>
        <v>0（含）-1</v>
      </c>
      <c r="D79" s="547" t="str">
        <f t="shared" ref="D79:L79" si="21">D80&amp;"（含）"&amp;"-"&amp;E80</f>
        <v>1（含）-2</v>
      </c>
      <c r="E79" s="547" t="str">
        <f t="shared" si="21"/>
        <v>2（含）-3</v>
      </c>
      <c r="F79" s="547" t="str">
        <f t="shared" si="21"/>
        <v>3（含）-4</v>
      </c>
      <c r="G79" s="547" t="str">
        <f t="shared" si="21"/>
        <v>4（含）-5</v>
      </c>
      <c r="H79" s="547" t="str">
        <f t="shared" si="21"/>
        <v>5（含）-</v>
      </c>
      <c r="I79" s="547" t="str">
        <f t="shared" si="21"/>
        <v>（含）-</v>
      </c>
      <c r="J79" s="547" t="str">
        <f t="shared" si="21"/>
        <v>（含）-</v>
      </c>
      <c r="K79" s="547" t="str">
        <f t="shared" si="21"/>
        <v>（含）-</v>
      </c>
      <c r="L79" s="547" t="str">
        <f t="shared" si="21"/>
        <v>（含）-</v>
      </c>
      <c r="M79" s="448" t="str">
        <f>M80&amp;"（含）"&amp;"-"&amp;P80</f>
        <v>（含）-</v>
      </c>
      <c r="N79" s="1156"/>
      <c r="O79" s="1156"/>
      <c r="P79" s="45"/>
      <c r="Q79" s="504"/>
    </row>
    <row r="80" spans="1:17" ht="15">
      <c r="A80" s="534"/>
      <c r="B80" s="548"/>
      <c r="C80" s="549">
        <v>0</v>
      </c>
      <c r="D80" s="549">
        <v>1</v>
      </c>
      <c r="E80" s="549">
        <v>2</v>
      </c>
      <c r="F80" s="549">
        <v>3</v>
      </c>
      <c r="G80" s="549">
        <v>4</v>
      </c>
      <c r="H80" s="549">
        <v>5</v>
      </c>
      <c r="I80" s="549"/>
      <c r="J80" s="549"/>
      <c r="K80" s="550"/>
      <c r="L80" s="551"/>
      <c r="M80" s="552"/>
      <c r="N80" s="1155"/>
      <c r="O80" s="1155"/>
      <c r="P80" s="45"/>
      <c r="Q80" s="504"/>
    </row>
    <row r="81" spans="1:17" ht="15.75" thickBot="1">
      <c r="A81" s="534"/>
      <c r="B81" s="535"/>
      <c r="C81" s="544">
        <v>100</v>
      </c>
      <c r="D81" s="544">
        <f t="shared" ref="D81:M81" si="22">IF($B$46="单位面积地价",C81+$K11,C81-$K11)</f>
        <v>98</v>
      </c>
      <c r="E81" s="544">
        <f t="shared" si="22"/>
        <v>96</v>
      </c>
      <c r="F81" s="544">
        <f t="shared" si="22"/>
        <v>94</v>
      </c>
      <c r="G81" s="544">
        <f t="shared" si="22"/>
        <v>92</v>
      </c>
      <c r="H81" s="544">
        <f t="shared" si="22"/>
        <v>90</v>
      </c>
      <c r="I81" s="544">
        <f t="shared" si="22"/>
        <v>88</v>
      </c>
      <c r="J81" s="544">
        <f t="shared" si="22"/>
        <v>86</v>
      </c>
      <c r="K81" s="544">
        <f t="shared" si="22"/>
        <v>84</v>
      </c>
      <c r="L81" s="544">
        <f t="shared" si="22"/>
        <v>82</v>
      </c>
      <c r="M81" s="544">
        <f t="shared" si="22"/>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2559</v>
      </c>
      <c r="B88" s="528" t="s">
        <v>2596</v>
      </c>
      <c r="C88" s="573" t="s">
        <v>2597</v>
      </c>
      <c r="D88" s="573" t="s">
        <v>2598</v>
      </c>
      <c r="E88" s="573" t="s">
        <v>2599</v>
      </c>
      <c r="F88" s="573" t="s">
        <v>2600</v>
      </c>
      <c r="G88" s="573" t="s">
        <v>2601</v>
      </c>
      <c r="H88" s="529"/>
      <c r="I88" s="529"/>
      <c r="J88" s="529"/>
      <c r="K88" s="574"/>
      <c r="L88" s="575"/>
      <c r="M88" s="576"/>
      <c r="N88" s="1155"/>
      <c r="O88" s="1155"/>
      <c r="P88" s="577"/>
      <c r="Q88" s="504"/>
    </row>
    <row r="89" spans="1:17" ht="15.75" thickBot="1">
      <c r="A89" s="534"/>
      <c r="B89" s="543"/>
      <c r="C89" s="544">
        <v>100</v>
      </c>
      <c r="D89" s="544">
        <f>C89-$K15</f>
        <v>97</v>
      </c>
      <c r="E89" s="544">
        <f>D89-$K15</f>
        <v>94</v>
      </c>
      <c r="F89" s="544">
        <f>E89-$K15</f>
        <v>91</v>
      </c>
      <c r="G89" s="544">
        <f>F89-$K15</f>
        <v>88</v>
      </c>
      <c r="H89" s="544"/>
      <c r="I89" s="544"/>
      <c r="J89" s="544"/>
      <c r="K89" s="544"/>
      <c r="L89" s="544"/>
      <c r="M89" s="545"/>
      <c r="N89" s="1156"/>
      <c r="O89" s="1156"/>
      <c r="P89" s="45"/>
      <c r="Q89" s="504"/>
    </row>
    <row r="90" spans="1:17" ht="15.75" thickTop="1">
      <c r="A90" s="534"/>
      <c r="B90" s="538" t="s">
        <v>2784</v>
      </c>
      <c r="C90" s="578" t="s">
        <v>2597</v>
      </c>
      <c r="D90" s="578" t="s">
        <v>2598</v>
      </c>
      <c r="E90" s="578" t="s">
        <v>2599</v>
      </c>
      <c r="F90" s="578" t="s">
        <v>2600</v>
      </c>
      <c r="G90" s="578" t="s">
        <v>2601</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2697</v>
      </c>
      <c r="C92" s="578" t="s">
        <v>2597</v>
      </c>
      <c r="D92" s="578" t="s">
        <v>2598</v>
      </c>
      <c r="E92" s="578" t="s">
        <v>2599</v>
      </c>
      <c r="F92" s="578" t="s">
        <v>2600</v>
      </c>
      <c r="G92" s="578" t="s">
        <v>2601</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2602</v>
      </c>
      <c r="C94" s="578" t="s">
        <v>2597</v>
      </c>
      <c r="D94" s="578" t="s">
        <v>2598</v>
      </c>
      <c r="E94" s="578" t="s">
        <v>2599</v>
      </c>
      <c r="F94" s="578" t="s">
        <v>2600</v>
      </c>
      <c r="G94" s="578" t="s">
        <v>2601</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2785</v>
      </c>
      <c r="C96" s="578" t="s">
        <v>2597</v>
      </c>
      <c r="D96" s="578" t="s">
        <v>2598</v>
      </c>
      <c r="E96" s="578" t="s">
        <v>2599</v>
      </c>
      <c r="F96" s="578" t="s">
        <v>2600</v>
      </c>
      <c r="G96" s="578" t="s">
        <v>2601</v>
      </c>
      <c r="H96" s="578"/>
      <c r="I96" s="578"/>
      <c r="J96" s="578"/>
      <c r="K96" s="578"/>
      <c r="L96" s="698"/>
      <c r="M96" s="622"/>
      <c r="N96" s="1154"/>
      <c r="O96" s="1154"/>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6"/>
      <c r="O97" s="1156"/>
      <c r="P97" s="45"/>
      <c r="Q97" s="504"/>
    </row>
    <row r="98" spans="1:17" s="117" customFormat="1" ht="27.75" thickTop="1">
      <c r="A98" s="579"/>
      <c r="B98" s="538" t="s">
        <v>2786</v>
      </c>
      <c r="C98" s="573" t="s">
        <v>2597</v>
      </c>
      <c r="D98" s="573" t="s">
        <v>2598</v>
      </c>
      <c r="E98" s="573" t="s">
        <v>2599</v>
      </c>
      <c r="F98" s="573" t="s">
        <v>2600</v>
      </c>
      <c r="G98" s="573" t="s">
        <v>2601</v>
      </c>
      <c r="H98" s="578"/>
      <c r="I98" s="578"/>
      <c r="J98" s="578"/>
      <c r="K98" s="578"/>
      <c r="L98" s="578"/>
      <c r="M98" s="622"/>
      <c r="N98" s="1154"/>
      <c r="O98" s="1154"/>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6"/>
      <c r="O99" s="1156"/>
      <c r="P99" s="45"/>
      <c r="Q99" s="504"/>
    </row>
    <row r="100" spans="1:17" s="471" customFormat="1" ht="15.75" thickTop="1">
      <c r="A100" s="553"/>
      <c r="B100" s="538" t="s">
        <v>2654</v>
      </c>
      <c r="C100" s="573" t="s">
        <v>2597</v>
      </c>
      <c r="D100" s="573" t="s">
        <v>2598</v>
      </c>
      <c r="E100" s="573" t="s">
        <v>2599</v>
      </c>
      <c r="F100" s="573" t="s">
        <v>2600</v>
      </c>
      <c r="G100" s="573" t="s">
        <v>2601</v>
      </c>
      <c r="H100" s="600"/>
      <c r="I100" s="600"/>
      <c r="J100" s="600"/>
      <c r="K100" s="600"/>
      <c r="L100" s="601"/>
      <c r="M100" s="602"/>
      <c r="N100" s="1157"/>
      <c r="O100" s="1157"/>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7"/>
      <c r="O101" s="1157"/>
      <c r="P101" s="558"/>
      <c r="Q101" s="559"/>
    </row>
    <row r="102" spans="1:17" s="471" customFormat="1" ht="15.75" thickTop="1">
      <c r="A102" s="553"/>
      <c r="B102" s="546" t="s">
        <v>2655</v>
      </c>
      <c r="C102" s="660" t="s">
        <v>2675</v>
      </c>
      <c r="D102" s="660" t="s">
        <v>2676</v>
      </c>
      <c r="E102" s="660" t="s">
        <v>2677</v>
      </c>
      <c r="F102" s="660" t="s">
        <v>2678</v>
      </c>
      <c r="G102" s="660" t="s">
        <v>2679</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2787</v>
      </c>
      <c r="D104" s="539" t="s">
        <v>2788</v>
      </c>
      <c r="E104" s="539" t="s">
        <v>2789</v>
      </c>
      <c r="F104" s="539" t="s">
        <v>2790</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3">D105-$K31</f>
        <v>100</v>
      </c>
      <c r="F105" s="544">
        <f t="shared" si="23"/>
        <v>100</v>
      </c>
      <c r="G105" s="544">
        <f t="shared" si="23"/>
        <v>100</v>
      </c>
      <c r="H105" s="544">
        <f t="shared" si="23"/>
        <v>100</v>
      </c>
      <c r="I105" s="544">
        <f t="shared" si="23"/>
        <v>100</v>
      </c>
      <c r="J105" s="544">
        <f t="shared" si="23"/>
        <v>100</v>
      </c>
      <c r="K105" s="544">
        <f t="shared" si="23"/>
        <v>100</v>
      </c>
      <c r="L105" s="544">
        <f t="shared" si="23"/>
        <v>100</v>
      </c>
      <c r="M105" s="544">
        <f t="shared" si="23"/>
        <v>100</v>
      </c>
      <c r="N105" s="1156"/>
      <c r="O105" s="1156"/>
      <c r="P105" s="45"/>
      <c r="Q105" s="504"/>
    </row>
    <row r="106" spans="1:17" ht="27.75" thickTop="1">
      <c r="A106" s="534"/>
      <c r="B106" s="538" t="s">
        <v>2691</v>
      </c>
      <c r="C106" s="2969" t="s">
        <v>3987</v>
      </c>
      <c r="D106" s="2969" t="s">
        <v>3988</v>
      </c>
      <c r="E106" s="2969" t="s">
        <v>3989</v>
      </c>
      <c r="F106" s="2969" t="s">
        <v>3990</v>
      </c>
      <c r="G106" s="2969" t="s">
        <v>3992</v>
      </c>
      <c r="H106" s="583"/>
      <c r="I106" s="583"/>
      <c r="J106" s="583"/>
      <c r="K106" s="584"/>
      <c r="L106" s="585"/>
      <c r="M106" s="586"/>
      <c r="N106" s="1155"/>
      <c r="O106" s="1155"/>
      <c r="P106" s="45"/>
      <c r="Q106" s="504"/>
    </row>
    <row r="107" spans="1:17" ht="15.75" thickBot="1">
      <c r="A107" s="534"/>
      <c r="B107" s="543"/>
      <c r="C107" s="544">
        <v>100</v>
      </c>
      <c r="D107" s="544">
        <f>C107-$K32</f>
        <v>97</v>
      </c>
      <c r="E107" s="544">
        <f t="shared" ref="E107:M107" si="24">D107-$K32</f>
        <v>94</v>
      </c>
      <c r="F107" s="544">
        <f t="shared" si="24"/>
        <v>91</v>
      </c>
      <c r="G107" s="544">
        <f t="shared" si="24"/>
        <v>88</v>
      </c>
      <c r="H107" s="544">
        <f t="shared" si="24"/>
        <v>85</v>
      </c>
      <c r="I107" s="544">
        <f t="shared" si="24"/>
        <v>82</v>
      </c>
      <c r="J107" s="544">
        <f t="shared" si="24"/>
        <v>79</v>
      </c>
      <c r="K107" s="544">
        <f t="shared" si="24"/>
        <v>76</v>
      </c>
      <c r="L107" s="544">
        <f t="shared" si="24"/>
        <v>73</v>
      </c>
      <c r="M107" s="544">
        <f t="shared" si="24"/>
        <v>70</v>
      </c>
      <c r="N107" s="1156"/>
      <c r="O107" s="1156"/>
      <c r="P107" s="45"/>
      <c r="Q107" s="504"/>
    </row>
    <row r="108" spans="1:17" ht="15.75" thickTop="1">
      <c r="A108" s="534"/>
      <c r="B108" s="538" t="s">
        <v>2750</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5">D109-$K34</f>
        <v>100</v>
      </c>
      <c r="F109" s="544">
        <f t="shared" si="25"/>
        <v>100</v>
      </c>
      <c r="G109" s="544">
        <f t="shared" si="25"/>
        <v>100</v>
      </c>
      <c r="H109" s="544">
        <f t="shared" si="25"/>
        <v>100</v>
      </c>
      <c r="I109" s="544">
        <f t="shared" si="25"/>
        <v>100</v>
      </c>
      <c r="J109" s="544">
        <f t="shared" si="25"/>
        <v>100</v>
      </c>
      <c r="K109" s="544">
        <f t="shared" si="25"/>
        <v>100</v>
      </c>
      <c r="L109" s="544">
        <f t="shared" si="25"/>
        <v>100</v>
      </c>
      <c r="M109" s="544">
        <f t="shared" si="25"/>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2563</v>
      </c>
      <c r="B116" s="528" t="s">
        <v>2791</v>
      </c>
      <c r="C116" s="529" t="str">
        <f>C117&amp;"(含)"&amp;"-"&amp;D117</f>
        <v>0(含)-20000</v>
      </c>
      <c r="D116" s="529" t="str">
        <f t="shared" ref="D116:M116" si="26">D117&amp;"(含)"&amp;"-"&amp;E117</f>
        <v>20000(含)-40000</v>
      </c>
      <c r="E116" s="529" t="str">
        <f t="shared" si="26"/>
        <v>40000(含)-60000</v>
      </c>
      <c r="F116" s="529" t="str">
        <f t="shared" si="26"/>
        <v>60000(含)-80000</v>
      </c>
      <c r="G116" s="529" t="str">
        <f t="shared" si="26"/>
        <v>80000(含)-100000</v>
      </c>
      <c r="H116" s="529" t="str">
        <f t="shared" si="26"/>
        <v>100000(含)-</v>
      </c>
      <c r="I116" s="529" t="str">
        <f t="shared" si="26"/>
        <v>(含)-</v>
      </c>
      <c r="J116" s="529" t="str">
        <f t="shared" si="26"/>
        <v>(含)-</v>
      </c>
      <c r="K116" s="529" t="str">
        <f t="shared" si="26"/>
        <v>(含)-</v>
      </c>
      <c r="L116" s="529" t="str">
        <f t="shared" si="26"/>
        <v>(含)-</v>
      </c>
      <c r="M116" s="529" t="str">
        <f t="shared" si="26"/>
        <v>(含)-</v>
      </c>
      <c r="N116" s="1155"/>
      <c r="O116" s="1155"/>
      <c r="P116" s="45"/>
      <c r="Q116" s="504"/>
    </row>
    <row r="117" spans="1:17" ht="15">
      <c r="A117" s="534"/>
      <c r="B117" s="546"/>
      <c r="C117" s="595">
        <v>0</v>
      </c>
      <c r="D117" s="595">
        <v>20000</v>
      </c>
      <c r="E117" s="595">
        <v>40000</v>
      </c>
      <c r="F117" s="595">
        <v>60000</v>
      </c>
      <c r="G117" s="595">
        <v>80000</v>
      </c>
      <c r="H117" s="595">
        <v>100000</v>
      </c>
      <c r="I117" s="595"/>
      <c r="J117" s="596"/>
      <c r="K117" s="596"/>
      <c r="L117" s="597"/>
      <c r="M117" s="598"/>
      <c r="N117" s="1155"/>
      <c r="O117" s="1155"/>
      <c r="P117" s="45"/>
      <c r="Q117" s="504"/>
    </row>
    <row r="118" spans="1:17" ht="15.75" thickBot="1">
      <c r="A118" s="534"/>
      <c r="B118" s="543"/>
      <c r="C118" s="570">
        <v>100</v>
      </c>
      <c r="D118" s="591">
        <v>103</v>
      </c>
      <c r="E118" s="570">
        <v>106</v>
      </c>
      <c r="F118" s="591">
        <v>109</v>
      </c>
      <c r="G118" s="570">
        <v>112</v>
      </c>
      <c r="H118" s="591">
        <v>115</v>
      </c>
      <c r="I118" s="591"/>
      <c r="J118" s="591"/>
      <c r="K118" s="591"/>
      <c r="L118" s="591"/>
      <c r="M118" s="592"/>
      <c r="N118" s="1156"/>
      <c r="O118" s="1156"/>
      <c r="P118" s="45"/>
      <c r="Q118" s="504"/>
    </row>
    <row r="119" spans="1:17" ht="15" thickTop="1">
      <c r="A119" s="599"/>
      <c r="B119" s="538" t="s">
        <v>2792</v>
      </c>
      <c r="C119" s="2970" t="s">
        <v>3993</v>
      </c>
      <c r="D119" s="2970" t="s">
        <v>3994</v>
      </c>
      <c r="E119" s="2970" t="s">
        <v>3996</v>
      </c>
      <c r="F119" s="2970" t="s">
        <v>3997</v>
      </c>
      <c r="G119" s="583"/>
      <c r="H119" s="583"/>
      <c r="I119" s="583"/>
      <c r="J119" s="583"/>
      <c r="K119" s="584"/>
      <c r="L119" s="585"/>
      <c r="M119" s="586"/>
      <c r="N119" s="1155"/>
      <c r="O119" s="1155"/>
      <c r="P119" s="45"/>
      <c r="Q119" s="504"/>
    </row>
    <row r="120" spans="1:17" ht="15.75" thickBot="1">
      <c r="A120" s="534"/>
      <c r="B120" s="543"/>
      <c r="C120" s="544">
        <v>100</v>
      </c>
      <c r="D120" s="544">
        <f t="shared" ref="D120:M120" si="27">C120-$K39</f>
        <v>98</v>
      </c>
      <c r="E120" s="544">
        <f t="shared" si="27"/>
        <v>96</v>
      </c>
      <c r="F120" s="544">
        <f t="shared" si="27"/>
        <v>94</v>
      </c>
      <c r="G120" s="544">
        <f t="shared" si="27"/>
        <v>92</v>
      </c>
      <c r="H120" s="544">
        <f t="shared" si="27"/>
        <v>90</v>
      </c>
      <c r="I120" s="544">
        <f t="shared" si="27"/>
        <v>88</v>
      </c>
      <c r="J120" s="544">
        <f t="shared" si="27"/>
        <v>86</v>
      </c>
      <c r="K120" s="544">
        <f t="shared" si="27"/>
        <v>84</v>
      </c>
      <c r="L120" s="544">
        <f t="shared" si="27"/>
        <v>82</v>
      </c>
      <c r="M120" s="545">
        <f t="shared" si="27"/>
        <v>80</v>
      </c>
      <c r="N120" s="1156"/>
      <c r="O120" s="1156"/>
      <c r="P120" s="45"/>
      <c r="Q120" s="504"/>
    </row>
    <row r="121" spans="1:17" ht="15" thickTop="1">
      <c r="A121" s="599"/>
      <c r="B121" s="538" t="s">
        <v>2793</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8">C122-$K40</f>
        <v>98</v>
      </c>
      <c r="E122" s="544">
        <f t="shared" si="28"/>
        <v>96</v>
      </c>
      <c r="F122" s="544">
        <f t="shared" si="28"/>
        <v>94</v>
      </c>
      <c r="G122" s="544">
        <f t="shared" si="28"/>
        <v>92</v>
      </c>
      <c r="H122" s="544">
        <f t="shared" si="28"/>
        <v>90</v>
      </c>
      <c r="I122" s="544">
        <f t="shared" si="28"/>
        <v>88</v>
      </c>
      <c r="J122" s="544">
        <f t="shared" si="28"/>
        <v>86</v>
      </c>
      <c r="K122" s="544">
        <f t="shared" si="28"/>
        <v>84</v>
      </c>
      <c r="L122" s="544">
        <f t="shared" si="28"/>
        <v>82</v>
      </c>
      <c r="M122" s="545">
        <f t="shared" si="28"/>
        <v>80</v>
      </c>
      <c r="N122" s="1156"/>
      <c r="O122" s="1156"/>
      <c r="P122" s="45"/>
      <c r="Q122" s="504"/>
    </row>
    <row r="123" spans="1:17" s="471" customFormat="1" ht="15" thickTop="1">
      <c r="A123" s="593"/>
      <c r="B123" s="538" t="s">
        <v>2794</v>
      </c>
      <c r="C123" s="2969" t="s">
        <v>3998</v>
      </c>
      <c r="D123" s="2969" t="s">
        <v>3999</v>
      </c>
      <c r="E123" s="2969" t="s">
        <v>4000</v>
      </c>
      <c r="F123" s="2969" t="s">
        <v>4001</v>
      </c>
      <c r="G123" s="2969" t="s">
        <v>4002</v>
      </c>
      <c r="H123" s="583"/>
      <c r="I123" s="583"/>
      <c r="J123" s="583"/>
      <c r="K123" s="584"/>
      <c r="L123" s="585"/>
      <c r="M123" s="586"/>
      <c r="N123" s="1157"/>
      <c r="O123" s="1157"/>
      <c r="P123" s="558"/>
      <c r="Q123" s="559"/>
    </row>
    <row r="124" spans="1:17" s="471" customFormat="1" ht="15.75" thickBot="1">
      <c r="A124" s="553"/>
      <c r="B124" s="543"/>
      <c r="C124" s="544">
        <v>100</v>
      </c>
      <c r="D124" s="544">
        <f>C124-$K41</f>
        <v>97</v>
      </c>
      <c r="E124" s="544">
        <f t="shared" ref="E124:M124" si="29">D124-$K41</f>
        <v>94</v>
      </c>
      <c r="F124" s="544">
        <f t="shared" si="29"/>
        <v>91</v>
      </c>
      <c r="G124" s="544">
        <f t="shared" si="29"/>
        <v>88</v>
      </c>
      <c r="H124" s="544">
        <f t="shared" si="29"/>
        <v>85</v>
      </c>
      <c r="I124" s="544">
        <f t="shared" si="29"/>
        <v>82</v>
      </c>
      <c r="J124" s="544">
        <f t="shared" si="29"/>
        <v>79</v>
      </c>
      <c r="K124" s="544">
        <f t="shared" si="29"/>
        <v>76</v>
      </c>
      <c r="L124" s="544">
        <f t="shared" si="29"/>
        <v>73</v>
      </c>
      <c r="M124" s="545">
        <f t="shared" si="29"/>
        <v>70</v>
      </c>
      <c r="N124" s="1157"/>
      <c r="O124" s="1157"/>
      <c r="P124" s="558"/>
      <c r="Q124" s="559"/>
    </row>
    <row r="125" spans="1:17" ht="15" thickTop="1">
      <c r="A125" s="599"/>
      <c r="B125" s="538" t="s">
        <v>2795</v>
      </c>
      <c r="C125" s="2969" t="s">
        <v>4003</v>
      </c>
      <c r="D125" s="2969" t="s">
        <v>4004</v>
      </c>
      <c r="E125" s="2970" t="s">
        <v>4005</v>
      </c>
      <c r="F125" s="2970" t="s">
        <v>4006</v>
      </c>
      <c r="G125" s="2970" t="s">
        <v>4007</v>
      </c>
      <c r="H125" s="583"/>
      <c r="I125" s="583"/>
      <c r="J125" s="583"/>
      <c r="K125" s="584"/>
      <c r="L125" s="585"/>
      <c r="M125" s="586"/>
      <c r="N125" s="1155"/>
      <c r="O125" s="1155"/>
      <c r="P125" s="45"/>
      <c r="Q125" s="504"/>
    </row>
    <row r="126" spans="1:17" ht="15.75" thickBot="1">
      <c r="A126" s="534"/>
      <c r="B126" s="543"/>
      <c r="C126" s="544">
        <v>100</v>
      </c>
      <c r="D126" s="544">
        <f t="shared" ref="D126:M126" si="30">C126-$K42</f>
        <v>98</v>
      </c>
      <c r="E126" s="544">
        <f t="shared" si="30"/>
        <v>96</v>
      </c>
      <c r="F126" s="544">
        <f t="shared" si="30"/>
        <v>94</v>
      </c>
      <c r="G126" s="544">
        <f t="shared" si="30"/>
        <v>92</v>
      </c>
      <c r="H126" s="544">
        <f t="shared" si="30"/>
        <v>90</v>
      </c>
      <c r="I126" s="544">
        <f t="shared" si="30"/>
        <v>88</v>
      </c>
      <c r="J126" s="544">
        <f t="shared" si="30"/>
        <v>86</v>
      </c>
      <c r="K126" s="544">
        <f t="shared" si="30"/>
        <v>84</v>
      </c>
      <c r="L126" s="544">
        <f t="shared" si="30"/>
        <v>82</v>
      </c>
      <c r="M126" s="545">
        <f t="shared" si="30"/>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
  <sheetViews>
    <sheetView workbookViewId="0">
      <selection activeCell="J11" sqref="J11"/>
    </sheetView>
  </sheetViews>
  <sheetFormatPr defaultColWidth="9" defaultRowHeight="20.25" customHeight="1"/>
  <cols>
    <col min="1" max="1" width="14.25" style="2979" customWidth="1"/>
    <col min="2" max="2" width="18.75" style="2979" customWidth="1"/>
    <col min="3" max="5" width="14.25" style="2979" customWidth="1"/>
    <col min="6" max="6" width="11" style="2979" customWidth="1"/>
    <col min="7" max="7" width="9" style="2979"/>
    <col min="8" max="8" width="13.75" style="2979" customWidth="1"/>
    <col min="9" max="256" width="9" style="2979"/>
    <col min="257" max="257" width="14.25" style="2979" customWidth="1"/>
    <col min="258" max="258" width="18.75" style="2979" customWidth="1"/>
    <col min="259" max="261" width="14.25" style="2979" customWidth="1"/>
    <col min="262" max="262" width="11" style="2979" customWidth="1"/>
    <col min="263" max="263" width="9" style="2979"/>
    <col min="264" max="264" width="13.75" style="2979" customWidth="1"/>
    <col min="265" max="512" width="9" style="2979"/>
    <col min="513" max="513" width="14.25" style="2979" customWidth="1"/>
    <col min="514" max="514" width="18.75" style="2979" customWidth="1"/>
    <col min="515" max="517" width="14.25" style="2979" customWidth="1"/>
    <col min="518" max="518" width="11" style="2979" customWidth="1"/>
    <col min="519" max="519" width="9" style="2979"/>
    <col min="520" max="520" width="13.75" style="2979" customWidth="1"/>
    <col min="521" max="768" width="9" style="2979"/>
    <col min="769" max="769" width="14.25" style="2979" customWidth="1"/>
    <col min="770" max="770" width="18.75" style="2979" customWidth="1"/>
    <col min="771" max="773" width="14.25" style="2979" customWidth="1"/>
    <col min="774" max="774" width="11" style="2979" customWidth="1"/>
    <col min="775" max="775" width="9" style="2979"/>
    <col min="776" max="776" width="13.75" style="2979" customWidth="1"/>
    <col min="777" max="1024" width="9" style="2979"/>
    <col min="1025" max="1025" width="14.25" style="2979" customWidth="1"/>
    <col min="1026" max="1026" width="18.75" style="2979" customWidth="1"/>
    <col min="1027" max="1029" width="14.25" style="2979" customWidth="1"/>
    <col min="1030" max="1030" width="11" style="2979" customWidth="1"/>
    <col min="1031" max="1031" width="9" style="2979"/>
    <col min="1032" max="1032" width="13.75" style="2979" customWidth="1"/>
    <col min="1033" max="1280" width="9" style="2979"/>
    <col min="1281" max="1281" width="14.25" style="2979" customWidth="1"/>
    <col min="1282" max="1282" width="18.75" style="2979" customWidth="1"/>
    <col min="1283" max="1285" width="14.25" style="2979" customWidth="1"/>
    <col min="1286" max="1286" width="11" style="2979" customWidth="1"/>
    <col min="1287" max="1287" width="9" style="2979"/>
    <col min="1288" max="1288" width="13.75" style="2979" customWidth="1"/>
    <col min="1289" max="1536" width="9" style="2979"/>
    <col min="1537" max="1537" width="14.25" style="2979" customWidth="1"/>
    <col min="1538" max="1538" width="18.75" style="2979" customWidth="1"/>
    <col min="1539" max="1541" width="14.25" style="2979" customWidth="1"/>
    <col min="1542" max="1542" width="11" style="2979" customWidth="1"/>
    <col min="1543" max="1543" width="9" style="2979"/>
    <col min="1544" max="1544" width="13.75" style="2979" customWidth="1"/>
    <col min="1545" max="1792" width="9" style="2979"/>
    <col min="1793" max="1793" width="14.25" style="2979" customWidth="1"/>
    <col min="1794" max="1794" width="18.75" style="2979" customWidth="1"/>
    <col min="1795" max="1797" width="14.25" style="2979" customWidth="1"/>
    <col min="1798" max="1798" width="11" style="2979" customWidth="1"/>
    <col min="1799" max="1799" width="9" style="2979"/>
    <col min="1800" max="1800" width="13.75" style="2979" customWidth="1"/>
    <col min="1801" max="2048" width="9" style="2979"/>
    <col min="2049" max="2049" width="14.25" style="2979" customWidth="1"/>
    <col min="2050" max="2050" width="18.75" style="2979" customWidth="1"/>
    <col min="2051" max="2053" width="14.25" style="2979" customWidth="1"/>
    <col min="2054" max="2054" width="11" style="2979" customWidth="1"/>
    <col min="2055" max="2055" width="9" style="2979"/>
    <col min="2056" max="2056" width="13.75" style="2979" customWidth="1"/>
    <col min="2057" max="2304" width="9" style="2979"/>
    <col min="2305" max="2305" width="14.25" style="2979" customWidth="1"/>
    <col min="2306" max="2306" width="18.75" style="2979" customWidth="1"/>
    <col min="2307" max="2309" width="14.25" style="2979" customWidth="1"/>
    <col min="2310" max="2310" width="11" style="2979" customWidth="1"/>
    <col min="2311" max="2311" width="9" style="2979"/>
    <col min="2312" max="2312" width="13.75" style="2979" customWidth="1"/>
    <col min="2313" max="2560" width="9" style="2979"/>
    <col min="2561" max="2561" width="14.25" style="2979" customWidth="1"/>
    <col min="2562" max="2562" width="18.75" style="2979" customWidth="1"/>
    <col min="2563" max="2565" width="14.25" style="2979" customWidth="1"/>
    <col min="2566" max="2566" width="11" style="2979" customWidth="1"/>
    <col min="2567" max="2567" width="9" style="2979"/>
    <col min="2568" max="2568" width="13.75" style="2979" customWidth="1"/>
    <col min="2569" max="2816" width="9" style="2979"/>
    <col min="2817" max="2817" width="14.25" style="2979" customWidth="1"/>
    <col min="2818" max="2818" width="18.75" style="2979" customWidth="1"/>
    <col min="2819" max="2821" width="14.25" style="2979" customWidth="1"/>
    <col min="2822" max="2822" width="11" style="2979" customWidth="1"/>
    <col min="2823" max="2823" width="9" style="2979"/>
    <col min="2824" max="2824" width="13.75" style="2979" customWidth="1"/>
    <col min="2825" max="3072" width="9" style="2979"/>
    <col min="3073" max="3073" width="14.25" style="2979" customWidth="1"/>
    <col min="3074" max="3074" width="18.75" style="2979" customWidth="1"/>
    <col min="3075" max="3077" width="14.25" style="2979" customWidth="1"/>
    <col min="3078" max="3078" width="11" style="2979" customWidth="1"/>
    <col min="3079" max="3079" width="9" style="2979"/>
    <col min="3080" max="3080" width="13.75" style="2979" customWidth="1"/>
    <col min="3081" max="3328" width="9" style="2979"/>
    <col min="3329" max="3329" width="14.25" style="2979" customWidth="1"/>
    <col min="3330" max="3330" width="18.75" style="2979" customWidth="1"/>
    <col min="3331" max="3333" width="14.25" style="2979" customWidth="1"/>
    <col min="3334" max="3334" width="11" style="2979" customWidth="1"/>
    <col min="3335" max="3335" width="9" style="2979"/>
    <col min="3336" max="3336" width="13.75" style="2979" customWidth="1"/>
    <col min="3337" max="3584" width="9" style="2979"/>
    <col min="3585" max="3585" width="14.25" style="2979" customWidth="1"/>
    <col min="3586" max="3586" width="18.75" style="2979" customWidth="1"/>
    <col min="3587" max="3589" width="14.25" style="2979" customWidth="1"/>
    <col min="3590" max="3590" width="11" style="2979" customWidth="1"/>
    <col min="3591" max="3591" width="9" style="2979"/>
    <col min="3592" max="3592" width="13.75" style="2979" customWidth="1"/>
    <col min="3593" max="3840" width="9" style="2979"/>
    <col min="3841" max="3841" width="14.25" style="2979" customWidth="1"/>
    <col min="3842" max="3842" width="18.75" style="2979" customWidth="1"/>
    <col min="3843" max="3845" width="14.25" style="2979" customWidth="1"/>
    <col min="3846" max="3846" width="11" style="2979" customWidth="1"/>
    <col min="3847" max="3847" width="9" style="2979"/>
    <col min="3848" max="3848" width="13.75" style="2979" customWidth="1"/>
    <col min="3849" max="4096" width="9" style="2979"/>
    <col min="4097" max="4097" width="14.25" style="2979" customWidth="1"/>
    <col min="4098" max="4098" width="18.75" style="2979" customWidth="1"/>
    <col min="4099" max="4101" width="14.25" style="2979" customWidth="1"/>
    <col min="4102" max="4102" width="11" style="2979" customWidth="1"/>
    <col min="4103" max="4103" width="9" style="2979"/>
    <col min="4104" max="4104" width="13.75" style="2979" customWidth="1"/>
    <col min="4105" max="4352" width="9" style="2979"/>
    <col min="4353" max="4353" width="14.25" style="2979" customWidth="1"/>
    <col min="4354" max="4354" width="18.75" style="2979" customWidth="1"/>
    <col min="4355" max="4357" width="14.25" style="2979" customWidth="1"/>
    <col min="4358" max="4358" width="11" style="2979" customWidth="1"/>
    <col min="4359" max="4359" width="9" style="2979"/>
    <col min="4360" max="4360" width="13.75" style="2979" customWidth="1"/>
    <col min="4361" max="4608" width="9" style="2979"/>
    <col min="4609" max="4609" width="14.25" style="2979" customWidth="1"/>
    <col min="4610" max="4610" width="18.75" style="2979" customWidth="1"/>
    <col min="4611" max="4613" width="14.25" style="2979" customWidth="1"/>
    <col min="4614" max="4614" width="11" style="2979" customWidth="1"/>
    <col min="4615" max="4615" width="9" style="2979"/>
    <col min="4616" max="4616" width="13.75" style="2979" customWidth="1"/>
    <col min="4617" max="4864" width="9" style="2979"/>
    <col min="4865" max="4865" width="14.25" style="2979" customWidth="1"/>
    <col min="4866" max="4866" width="18.75" style="2979" customWidth="1"/>
    <col min="4867" max="4869" width="14.25" style="2979" customWidth="1"/>
    <col min="4870" max="4870" width="11" style="2979" customWidth="1"/>
    <col min="4871" max="4871" width="9" style="2979"/>
    <col min="4872" max="4872" width="13.75" style="2979" customWidth="1"/>
    <col min="4873" max="5120" width="9" style="2979"/>
    <col min="5121" max="5121" width="14.25" style="2979" customWidth="1"/>
    <col min="5122" max="5122" width="18.75" style="2979" customWidth="1"/>
    <col min="5123" max="5125" width="14.25" style="2979" customWidth="1"/>
    <col min="5126" max="5126" width="11" style="2979" customWidth="1"/>
    <col min="5127" max="5127" width="9" style="2979"/>
    <col min="5128" max="5128" width="13.75" style="2979" customWidth="1"/>
    <col min="5129" max="5376" width="9" style="2979"/>
    <col min="5377" max="5377" width="14.25" style="2979" customWidth="1"/>
    <col min="5378" max="5378" width="18.75" style="2979" customWidth="1"/>
    <col min="5379" max="5381" width="14.25" style="2979" customWidth="1"/>
    <col min="5382" max="5382" width="11" style="2979" customWidth="1"/>
    <col min="5383" max="5383" width="9" style="2979"/>
    <col min="5384" max="5384" width="13.75" style="2979" customWidth="1"/>
    <col min="5385" max="5632" width="9" style="2979"/>
    <col min="5633" max="5633" width="14.25" style="2979" customWidth="1"/>
    <col min="5634" max="5634" width="18.75" style="2979" customWidth="1"/>
    <col min="5635" max="5637" width="14.25" style="2979" customWidth="1"/>
    <col min="5638" max="5638" width="11" style="2979" customWidth="1"/>
    <col min="5639" max="5639" width="9" style="2979"/>
    <col min="5640" max="5640" width="13.75" style="2979" customWidth="1"/>
    <col min="5641" max="5888" width="9" style="2979"/>
    <col min="5889" max="5889" width="14.25" style="2979" customWidth="1"/>
    <col min="5890" max="5890" width="18.75" style="2979" customWidth="1"/>
    <col min="5891" max="5893" width="14.25" style="2979" customWidth="1"/>
    <col min="5894" max="5894" width="11" style="2979" customWidth="1"/>
    <col min="5895" max="5895" width="9" style="2979"/>
    <col min="5896" max="5896" width="13.75" style="2979" customWidth="1"/>
    <col min="5897" max="6144" width="9" style="2979"/>
    <col min="6145" max="6145" width="14.25" style="2979" customWidth="1"/>
    <col min="6146" max="6146" width="18.75" style="2979" customWidth="1"/>
    <col min="6147" max="6149" width="14.25" style="2979" customWidth="1"/>
    <col min="6150" max="6150" width="11" style="2979" customWidth="1"/>
    <col min="6151" max="6151" width="9" style="2979"/>
    <col min="6152" max="6152" width="13.75" style="2979" customWidth="1"/>
    <col min="6153" max="6400" width="9" style="2979"/>
    <col min="6401" max="6401" width="14.25" style="2979" customWidth="1"/>
    <col min="6402" max="6402" width="18.75" style="2979" customWidth="1"/>
    <col min="6403" max="6405" width="14.25" style="2979" customWidth="1"/>
    <col min="6406" max="6406" width="11" style="2979" customWidth="1"/>
    <col min="6407" max="6407" width="9" style="2979"/>
    <col min="6408" max="6408" width="13.75" style="2979" customWidth="1"/>
    <col min="6409" max="6656" width="9" style="2979"/>
    <col min="6657" max="6657" width="14.25" style="2979" customWidth="1"/>
    <col min="6658" max="6658" width="18.75" style="2979" customWidth="1"/>
    <col min="6659" max="6661" width="14.25" style="2979" customWidth="1"/>
    <col min="6662" max="6662" width="11" style="2979" customWidth="1"/>
    <col min="6663" max="6663" width="9" style="2979"/>
    <col min="6664" max="6664" width="13.75" style="2979" customWidth="1"/>
    <col min="6665" max="6912" width="9" style="2979"/>
    <col min="6913" max="6913" width="14.25" style="2979" customWidth="1"/>
    <col min="6914" max="6914" width="18.75" style="2979" customWidth="1"/>
    <col min="6915" max="6917" width="14.25" style="2979" customWidth="1"/>
    <col min="6918" max="6918" width="11" style="2979" customWidth="1"/>
    <col min="6919" max="6919" width="9" style="2979"/>
    <col min="6920" max="6920" width="13.75" style="2979" customWidth="1"/>
    <col min="6921" max="7168" width="9" style="2979"/>
    <col min="7169" max="7169" width="14.25" style="2979" customWidth="1"/>
    <col min="7170" max="7170" width="18.75" style="2979" customWidth="1"/>
    <col min="7171" max="7173" width="14.25" style="2979" customWidth="1"/>
    <col min="7174" max="7174" width="11" style="2979" customWidth="1"/>
    <col min="7175" max="7175" width="9" style="2979"/>
    <col min="7176" max="7176" width="13.75" style="2979" customWidth="1"/>
    <col min="7177" max="7424" width="9" style="2979"/>
    <col min="7425" max="7425" width="14.25" style="2979" customWidth="1"/>
    <col min="7426" max="7426" width="18.75" style="2979" customWidth="1"/>
    <col min="7427" max="7429" width="14.25" style="2979" customWidth="1"/>
    <col min="7430" max="7430" width="11" style="2979" customWidth="1"/>
    <col min="7431" max="7431" width="9" style="2979"/>
    <col min="7432" max="7432" width="13.75" style="2979" customWidth="1"/>
    <col min="7433" max="7680" width="9" style="2979"/>
    <col min="7681" max="7681" width="14.25" style="2979" customWidth="1"/>
    <col min="7682" max="7682" width="18.75" style="2979" customWidth="1"/>
    <col min="7683" max="7685" width="14.25" style="2979" customWidth="1"/>
    <col min="7686" max="7686" width="11" style="2979" customWidth="1"/>
    <col min="7687" max="7687" width="9" style="2979"/>
    <col min="7688" max="7688" width="13.75" style="2979" customWidth="1"/>
    <col min="7689" max="7936" width="9" style="2979"/>
    <col min="7937" max="7937" width="14.25" style="2979" customWidth="1"/>
    <col min="7938" max="7938" width="18.75" style="2979" customWidth="1"/>
    <col min="7939" max="7941" width="14.25" style="2979" customWidth="1"/>
    <col min="7942" max="7942" width="11" style="2979" customWidth="1"/>
    <col min="7943" max="7943" width="9" style="2979"/>
    <col min="7944" max="7944" width="13.75" style="2979" customWidth="1"/>
    <col min="7945" max="8192" width="9" style="2979"/>
    <col min="8193" max="8193" width="14.25" style="2979" customWidth="1"/>
    <col min="8194" max="8194" width="18.75" style="2979" customWidth="1"/>
    <col min="8195" max="8197" width="14.25" style="2979" customWidth="1"/>
    <col min="8198" max="8198" width="11" style="2979" customWidth="1"/>
    <col min="8199" max="8199" width="9" style="2979"/>
    <col min="8200" max="8200" width="13.75" style="2979" customWidth="1"/>
    <col min="8201" max="8448" width="9" style="2979"/>
    <col min="8449" max="8449" width="14.25" style="2979" customWidth="1"/>
    <col min="8450" max="8450" width="18.75" style="2979" customWidth="1"/>
    <col min="8451" max="8453" width="14.25" style="2979" customWidth="1"/>
    <col min="8454" max="8454" width="11" style="2979" customWidth="1"/>
    <col min="8455" max="8455" width="9" style="2979"/>
    <col min="8456" max="8456" width="13.75" style="2979" customWidth="1"/>
    <col min="8457" max="8704" width="9" style="2979"/>
    <col min="8705" max="8705" width="14.25" style="2979" customWidth="1"/>
    <col min="8706" max="8706" width="18.75" style="2979" customWidth="1"/>
    <col min="8707" max="8709" width="14.25" style="2979" customWidth="1"/>
    <col min="8710" max="8710" width="11" style="2979" customWidth="1"/>
    <col min="8711" max="8711" width="9" style="2979"/>
    <col min="8712" max="8712" width="13.75" style="2979" customWidth="1"/>
    <col min="8713" max="8960" width="9" style="2979"/>
    <col min="8961" max="8961" width="14.25" style="2979" customWidth="1"/>
    <col min="8962" max="8962" width="18.75" style="2979" customWidth="1"/>
    <col min="8963" max="8965" width="14.25" style="2979" customWidth="1"/>
    <col min="8966" max="8966" width="11" style="2979" customWidth="1"/>
    <col min="8967" max="8967" width="9" style="2979"/>
    <col min="8968" max="8968" width="13.75" style="2979" customWidth="1"/>
    <col min="8969" max="9216" width="9" style="2979"/>
    <col min="9217" max="9217" width="14.25" style="2979" customWidth="1"/>
    <col min="9218" max="9218" width="18.75" style="2979" customWidth="1"/>
    <col min="9219" max="9221" width="14.25" style="2979" customWidth="1"/>
    <col min="9222" max="9222" width="11" style="2979" customWidth="1"/>
    <col min="9223" max="9223" width="9" style="2979"/>
    <col min="9224" max="9224" width="13.75" style="2979" customWidth="1"/>
    <col min="9225" max="9472" width="9" style="2979"/>
    <col min="9473" max="9473" width="14.25" style="2979" customWidth="1"/>
    <col min="9474" max="9474" width="18.75" style="2979" customWidth="1"/>
    <col min="9475" max="9477" width="14.25" style="2979" customWidth="1"/>
    <col min="9478" max="9478" width="11" style="2979" customWidth="1"/>
    <col min="9479" max="9479" width="9" style="2979"/>
    <col min="9480" max="9480" width="13.75" style="2979" customWidth="1"/>
    <col min="9481" max="9728" width="9" style="2979"/>
    <col min="9729" max="9729" width="14.25" style="2979" customWidth="1"/>
    <col min="9730" max="9730" width="18.75" style="2979" customWidth="1"/>
    <col min="9731" max="9733" width="14.25" style="2979" customWidth="1"/>
    <col min="9734" max="9734" width="11" style="2979" customWidth="1"/>
    <col min="9735" max="9735" width="9" style="2979"/>
    <col min="9736" max="9736" width="13.75" style="2979" customWidth="1"/>
    <col min="9737" max="9984" width="9" style="2979"/>
    <col min="9985" max="9985" width="14.25" style="2979" customWidth="1"/>
    <col min="9986" max="9986" width="18.75" style="2979" customWidth="1"/>
    <col min="9987" max="9989" width="14.25" style="2979" customWidth="1"/>
    <col min="9990" max="9990" width="11" style="2979" customWidth="1"/>
    <col min="9991" max="9991" width="9" style="2979"/>
    <col min="9992" max="9992" width="13.75" style="2979" customWidth="1"/>
    <col min="9993" max="10240" width="9" style="2979"/>
    <col min="10241" max="10241" width="14.25" style="2979" customWidth="1"/>
    <col min="10242" max="10242" width="18.75" style="2979" customWidth="1"/>
    <col min="10243" max="10245" width="14.25" style="2979" customWidth="1"/>
    <col min="10246" max="10246" width="11" style="2979" customWidth="1"/>
    <col min="10247" max="10247" width="9" style="2979"/>
    <col min="10248" max="10248" width="13.75" style="2979" customWidth="1"/>
    <col min="10249" max="10496" width="9" style="2979"/>
    <col min="10497" max="10497" width="14.25" style="2979" customWidth="1"/>
    <col min="10498" max="10498" width="18.75" style="2979" customWidth="1"/>
    <col min="10499" max="10501" width="14.25" style="2979" customWidth="1"/>
    <col min="10502" max="10502" width="11" style="2979" customWidth="1"/>
    <col min="10503" max="10503" width="9" style="2979"/>
    <col min="10504" max="10504" width="13.75" style="2979" customWidth="1"/>
    <col min="10505" max="10752" width="9" style="2979"/>
    <col min="10753" max="10753" width="14.25" style="2979" customWidth="1"/>
    <col min="10754" max="10754" width="18.75" style="2979" customWidth="1"/>
    <col min="10755" max="10757" width="14.25" style="2979" customWidth="1"/>
    <col min="10758" max="10758" width="11" style="2979" customWidth="1"/>
    <col min="10759" max="10759" width="9" style="2979"/>
    <col min="10760" max="10760" width="13.75" style="2979" customWidth="1"/>
    <col min="10761" max="11008" width="9" style="2979"/>
    <col min="11009" max="11009" width="14.25" style="2979" customWidth="1"/>
    <col min="11010" max="11010" width="18.75" style="2979" customWidth="1"/>
    <col min="11011" max="11013" width="14.25" style="2979" customWidth="1"/>
    <col min="11014" max="11014" width="11" style="2979" customWidth="1"/>
    <col min="11015" max="11015" width="9" style="2979"/>
    <col min="11016" max="11016" width="13.75" style="2979" customWidth="1"/>
    <col min="11017" max="11264" width="9" style="2979"/>
    <col min="11265" max="11265" width="14.25" style="2979" customWidth="1"/>
    <col min="11266" max="11266" width="18.75" style="2979" customWidth="1"/>
    <col min="11267" max="11269" width="14.25" style="2979" customWidth="1"/>
    <col min="11270" max="11270" width="11" style="2979" customWidth="1"/>
    <col min="11271" max="11271" width="9" style="2979"/>
    <col min="11272" max="11272" width="13.75" style="2979" customWidth="1"/>
    <col min="11273" max="11520" width="9" style="2979"/>
    <col min="11521" max="11521" width="14.25" style="2979" customWidth="1"/>
    <col min="11522" max="11522" width="18.75" style="2979" customWidth="1"/>
    <col min="11523" max="11525" width="14.25" style="2979" customWidth="1"/>
    <col min="11526" max="11526" width="11" style="2979" customWidth="1"/>
    <col min="11527" max="11527" width="9" style="2979"/>
    <col min="11528" max="11528" width="13.75" style="2979" customWidth="1"/>
    <col min="11529" max="11776" width="9" style="2979"/>
    <col min="11777" max="11777" width="14.25" style="2979" customWidth="1"/>
    <col min="11778" max="11778" width="18.75" style="2979" customWidth="1"/>
    <col min="11779" max="11781" width="14.25" style="2979" customWidth="1"/>
    <col min="11782" max="11782" width="11" style="2979" customWidth="1"/>
    <col min="11783" max="11783" width="9" style="2979"/>
    <col min="11784" max="11784" width="13.75" style="2979" customWidth="1"/>
    <col min="11785" max="12032" width="9" style="2979"/>
    <col min="12033" max="12033" width="14.25" style="2979" customWidth="1"/>
    <col min="12034" max="12034" width="18.75" style="2979" customWidth="1"/>
    <col min="12035" max="12037" width="14.25" style="2979" customWidth="1"/>
    <col min="12038" max="12038" width="11" style="2979" customWidth="1"/>
    <col min="12039" max="12039" width="9" style="2979"/>
    <col min="12040" max="12040" width="13.75" style="2979" customWidth="1"/>
    <col min="12041" max="12288" width="9" style="2979"/>
    <col min="12289" max="12289" width="14.25" style="2979" customWidth="1"/>
    <col min="12290" max="12290" width="18.75" style="2979" customWidth="1"/>
    <col min="12291" max="12293" width="14.25" style="2979" customWidth="1"/>
    <col min="12294" max="12294" width="11" style="2979" customWidth="1"/>
    <col min="12295" max="12295" width="9" style="2979"/>
    <col min="12296" max="12296" width="13.75" style="2979" customWidth="1"/>
    <col min="12297" max="12544" width="9" style="2979"/>
    <col min="12545" max="12545" width="14.25" style="2979" customWidth="1"/>
    <col min="12546" max="12546" width="18.75" style="2979" customWidth="1"/>
    <col min="12547" max="12549" width="14.25" style="2979" customWidth="1"/>
    <col min="12550" max="12550" width="11" style="2979" customWidth="1"/>
    <col min="12551" max="12551" width="9" style="2979"/>
    <col min="12552" max="12552" width="13.75" style="2979" customWidth="1"/>
    <col min="12553" max="12800" width="9" style="2979"/>
    <col min="12801" max="12801" width="14.25" style="2979" customWidth="1"/>
    <col min="12802" max="12802" width="18.75" style="2979" customWidth="1"/>
    <col min="12803" max="12805" width="14.25" style="2979" customWidth="1"/>
    <col min="12806" max="12806" width="11" style="2979" customWidth="1"/>
    <col min="12807" max="12807" width="9" style="2979"/>
    <col min="12808" max="12808" width="13.75" style="2979" customWidth="1"/>
    <col min="12809" max="13056" width="9" style="2979"/>
    <col min="13057" max="13057" width="14.25" style="2979" customWidth="1"/>
    <col min="13058" max="13058" width="18.75" style="2979" customWidth="1"/>
    <col min="13059" max="13061" width="14.25" style="2979" customWidth="1"/>
    <col min="13062" max="13062" width="11" style="2979" customWidth="1"/>
    <col min="13063" max="13063" width="9" style="2979"/>
    <col min="13064" max="13064" width="13.75" style="2979" customWidth="1"/>
    <col min="13065" max="13312" width="9" style="2979"/>
    <col min="13313" max="13313" width="14.25" style="2979" customWidth="1"/>
    <col min="13314" max="13314" width="18.75" style="2979" customWidth="1"/>
    <col min="13315" max="13317" width="14.25" style="2979" customWidth="1"/>
    <col min="13318" max="13318" width="11" style="2979" customWidth="1"/>
    <col min="13319" max="13319" width="9" style="2979"/>
    <col min="13320" max="13320" width="13.75" style="2979" customWidth="1"/>
    <col min="13321" max="13568" width="9" style="2979"/>
    <col min="13569" max="13569" width="14.25" style="2979" customWidth="1"/>
    <col min="13570" max="13570" width="18.75" style="2979" customWidth="1"/>
    <col min="13571" max="13573" width="14.25" style="2979" customWidth="1"/>
    <col min="13574" max="13574" width="11" style="2979" customWidth="1"/>
    <col min="13575" max="13575" width="9" style="2979"/>
    <col min="13576" max="13576" width="13.75" style="2979" customWidth="1"/>
    <col min="13577" max="13824" width="9" style="2979"/>
    <col min="13825" max="13825" width="14.25" style="2979" customWidth="1"/>
    <col min="13826" max="13826" width="18.75" style="2979" customWidth="1"/>
    <col min="13827" max="13829" width="14.25" style="2979" customWidth="1"/>
    <col min="13830" max="13830" width="11" style="2979" customWidth="1"/>
    <col min="13831" max="13831" width="9" style="2979"/>
    <col min="13832" max="13832" width="13.75" style="2979" customWidth="1"/>
    <col min="13833" max="14080" width="9" style="2979"/>
    <col min="14081" max="14081" width="14.25" style="2979" customWidth="1"/>
    <col min="14082" max="14082" width="18.75" style="2979" customWidth="1"/>
    <col min="14083" max="14085" width="14.25" style="2979" customWidth="1"/>
    <col min="14086" max="14086" width="11" style="2979" customWidth="1"/>
    <col min="14087" max="14087" width="9" style="2979"/>
    <col min="14088" max="14088" width="13.75" style="2979" customWidth="1"/>
    <col min="14089" max="14336" width="9" style="2979"/>
    <col min="14337" max="14337" width="14.25" style="2979" customWidth="1"/>
    <col min="14338" max="14338" width="18.75" style="2979" customWidth="1"/>
    <col min="14339" max="14341" width="14.25" style="2979" customWidth="1"/>
    <col min="14342" max="14342" width="11" style="2979" customWidth="1"/>
    <col min="14343" max="14343" width="9" style="2979"/>
    <col min="14344" max="14344" width="13.75" style="2979" customWidth="1"/>
    <col min="14345" max="14592" width="9" style="2979"/>
    <col min="14593" max="14593" width="14.25" style="2979" customWidth="1"/>
    <col min="14594" max="14594" width="18.75" style="2979" customWidth="1"/>
    <col min="14595" max="14597" width="14.25" style="2979" customWidth="1"/>
    <col min="14598" max="14598" width="11" style="2979" customWidth="1"/>
    <col min="14599" max="14599" width="9" style="2979"/>
    <col min="14600" max="14600" width="13.75" style="2979" customWidth="1"/>
    <col min="14601" max="14848" width="9" style="2979"/>
    <col min="14849" max="14849" width="14.25" style="2979" customWidth="1"/>
    <col min="14850" max="14850" width="18.75" style="2979" customWidth="1"/>
    <col min="14851" max="14853" width="14.25" style="2979" customWidth="1"/>
    <col min="14854" max="14854" width="11" style="2979" customWidth="1"/>
    <col min="14855" max="14855" width="9" style="2979"/>
    <col min="14856" max="14856" width="13.75" style="2979" customWidth="1"/>
    <col min="14857" max="15104" width="9" style="2979"/>
    <col min="15105" max="15105" width="14.25" style="2979" customWidth="1"/>
    <col min="15106" max="15106" width="18.75" style="2979" customWidth="1"/>
    <col min="15107" max="15109" width="14.25" style="2979" customWidth="1"/>
    <col min="15110" max="15110" width="11" style="2979" customWidth="1"/>
    <col min="15111" max="15111" width="9" style="2979"/>
    <col min="15112" max="15112" width="13.75" style="2979" customWidth="1"/>
    <col min="15113" max="15360" width="9" style="2979"/>
    <col min="15361" max="15361" width="14.25" style="2979" customWidth="1"/>
    <col min="15362" max="15362" width="18.75" style="2979" customWidth="1"/>
    <col min="15363" max="15365" width="14.25" style="2979" customWidth="1"/>
    <col min="15366" max="15366" width="11" style="2979" customWidth="1"/>
    <col min="15367" max="15367" width="9" style="2979"/>
    <col min="15368" max="15368" width="13.75" style="2979" customWidth="1"/>
    <col min="15369" max="15616" width="9" style="2979"/>
    <col min="15617" max="15617" width="14.25" style="2979" customWidth="1"/>
    <col min="15618" max="15618" width="18.75" style="2979" customWidth="1"/>
    <col min="15619" max="15621" width="14.25" style="2979" customWidth="1"/>
    <col min="15622" max="15622" width="11" style="2979" customWidth="1"/>
    <col min="15623" max="15623" width="9" style="2979"/>
    <col min="15624" max="15624" width="13.75" style="2979" customWidth="1"/>
    <col min="15625" max="15872" width="9" style="2979"/>
    <col min="15873" max="15873" width="14.25" style="2979" customWidth="1"/>
    <col min="15874" max="15874" width="18.75" style="2979" customWidth="1"/>
    <col min="15875" max="15877" width="14.25" style="2979" customWidth="1"/>
    <col min="15878" max="15878" width="11" style="2979" customWidth="1"/>
    <col min="15879" max="15879" width="9" style="2979"/>
    <col min="15880" max="15880" width="13.75" style="2979" customWidth="1"/>
    <col min="15881" max="16128" width="9" style="2979"/>
    <col min="16129" max="16129" width="14.25" style="2979" customWidth="1"/>
    <col min="16130" max="16130" width="18.75" style="2979" customWidth="1"/>
    <col min="16131" max="16133" width="14.25" style="2979" customWidth="1"/>
    <col min="16134" max="16134" width="11" style="2979" customWidth="1"/>
    <col min="16135" max="16135" width="9" style="2979"/>
    <col min="16136" max="16136" width="13.75" style="2979" customWidth="1"/>
    <col min="16137" max="16384" width="9" style="2979"/>
  </cols>
  <sheetData>
    <row r="1" spans="1:10" ht="20.25" customHeight="1" thickBot="1">
      <c r="A1" s="2977" t="s">
        <v>4043</v>
      </c>
      <c r="B1" s="2978">
        <f>系统读取表!B3</f>
        <v>43689</v>
      </c>
    </row>
    <row r="2" spans="1:10" ht="33" customHeight="1">
      <c r="A2" s="2980" t="s">
        <v>4044</v>
      </c>
      <c r="B2" s="2981" t="s">
        <v>4045</v>
      </c>
      <c r="C2" s="2982" t="s">
        <v>4046</v>
      </c>
      <c r="D2" s="2981" t="s">
        <v>4047</v>
      </c>
      <c r="E2" s="2983" t="s">
        <v>4048</v>
      </c>
    </row>
    <row r="3" spans="1:10" ht="20.25" customHeight="1">
      <c r="A3" s="2984">
        <v>70</v>
      </c>
      <c r="B3" s="2985">
        <f>项目基本情况!D13</f>
        <v>59849</v>
      </c>
      <c r="C3" s="72">
        <f>ROUNDDOWN(MIN((B3-$B$1)/365,A3),2)</f>
        <v>44.27</v>
      </c>
      <c r="D3" s="73">
        <f>IF(ISERROR(ROUND(POWER(1+E3,A3-C3)*(POWER(1+E3,C3)-1)/(POWER(1+E3,A3)-1),3)),0,ROUND(POWER(1+E3,A3-C3)*(POWER(1+E3,C3)-1)/(POWER(1+E3,A3)-1),3))</f>
        <v>0.89900000000000002</v>
      </c>
      <c r="E3" s="2986">
        <f>'数据-取费表'!H6</f>
        <v>4.4999999999999998E-2</v>
      </c>
    </row>
    <row r="4" spans="1:10" ht="20.25" customHeight="1">
      <c r="A4" s="2984"/>
      <c r="B4" s="2985"/>
      <c r="C4" s="72">
        <f>ROUNDDOWN(MIN((B4-$B$1)/365,A4),2)</f>
        <v>-119.69</v>
      </c>
      <c r="D4" s="73">
        <f>IF(ISERROR(ROUND(POWER(1+E4,A4-C4)*(POWER(1+E4,C4)-1)/(POWER(1+E4,A4)-1),3)),0,ROUND(POWER(1+E4,A4-C4)*(POWER(1+E4,C4)-1)/(POWER(1+E4,A4)-1),3))</f>
        <v>0</v>
      </c>
      <c r="E4" s="2986"/>
    </row>
    <row r="5" spans="1:10" ht="20.25" customHeight="1" thickBot="1">
      <c r="A5" s="2987"/>
      <c r="B5" s="2988"/>
      <c r="C5" s="2989">
        <f>ROUNDDOWN(MIN((B5-$B$1)/365,A5),2)</f>
        <v>-119.69</v>
      </c>
      <c r="D5" s="2990">
        <f>IF(ISERROR(ROUND(POWER(1+E5,A5-C5)*(POWER(1+E5,C5)-1)/(POWER(1+E5,A5)-1),3)),0,ROUND(POWER(1+E5,A5-C5)*(POWER(1+E5,C5)-1)/(POWER(1+E5,A5)-1),3))</f>
        <v>0</v>
      </c>
      <c r="E5" s="2991"/>
    </row>
    <row r="6" spans="1:10" ht="20.25" customHeight="1" thickBot="1"/>
    <row r="7" spans="1:10" s="2994" customFormat="1" ht="20.25" customHeight="1" thickBot="1">
      <c r="A7" s="2992" t="s">
        <v>4049</v>
      </c>
      <c r="B7" s="2993"/>
    </row>
    <row r="8" spans="1:10" ht="20.25" customHeight="1" thickBot="1">
      <c r="A8" s="3253" t="s">
        <v>4050</v>
      </c>
      <c r="B8" s="3254"/>
      <c r="C8" s="2995"/>
      <c r="D8" s="2996" t="s">
        <v>4048</v>
      </c>
      <c r="E8" s="2995"/>
      <c r="F8" s="2997" t="s">
        <v>4047</v>
      </c>
    </row>
    <row r="9" spans="1:10" ht="20.25" customHeight="1">
      <c r="A9" s="2998" t="s">
        <v>4051</v>
      </c>
      <c r="B9" s="2999">
        <v>70</v>
      </c>
      <c r="C9" s="3000" t="s">
        <v>4052</v>
      </c>
      <c r="D9" s="3015">
        <f>E3</f>
        <v>4.4999999999999998E-2</v>
      </c>
      <c r="E9" s="3000" t="s">
        <v>4053</v>
      </c>
      <c r="F9" s="3001">
        <f>1-(1/(POWER(1+D9,B9)))</f>
        <v>0.95409503414356267</v>
      </c>
    </row>
    <row r="10" spans="1:10" ht="20.25" customHeight="1" thickBot="1">
      <c r="A10" s="3002" t="s">
        <v>4054</v>
      </c>
      <c r="B10" s="3003">
        <v>40</v>
      </c>
      <c r="C10" s="3004" t="s">
        <v>4055</v>
      </c>
      <c r="D10" s="3016">
        <f>E3</f>
        <v>4.4999999999999998E-2</v>
      </c>
      <c r="E10" s="3004" t="s">
        <v>4056</v>
      </c>
      <c r="F10" s="3005">
        <f>1-(1/(POWER(1+D10,B10)))</f>
        <v>0.8280712989125899</v>
      </c>
      <c r="H10" s="3017">
        <f>C3</f>
        <v>44.27</v>
      </c>
      <c r="I10" s="2979">
        <f>[3]年期修正系数!$I$11</f>
        <v>0.85750000000000004</v>
      </c>
      <c r="J10" s="2979">
        <f>ROUND(100/I10,1)</f>
        <v>116.6</v>
      </c>
    </row>
    <row r="11" spans="1:10" ht="20.25" customHeight="1" thickBot="1">
      <c r="A11" s="3006" t="s">
        <v>4057</v>
      </c>
      <c r="B11" s="3007"/>
      <c r="C11" s="3007"/>
      <c r="D11" s="3007"/>
      <c r="E11" s="3007"/>
      <c r="F11" s="3007"/>
    </row>
    <row r="12" spans="1:10" ht="20.25" customHeight="1">
      <c r="A12" s="2998" t="s">
        <v>4058</v>
      </c>
      <c r="B12" s="3008">
        <v>5000</v>
      </c>
      <c r="E12" s="3009"/>
      <c r="F12" s="3009"/>
    </row>
    <row r="13" spans="1:10" ht="20.25" customHeight="1" thickBot="1">
      <c r="A13" s="3002" t="s">
        <v>4059</v>
      </c>
      <c r="B13" s="3010">
        <f>ROUND(B12*F10/F9,2)</f>
        <v>4339.5600000000004</v>
      </c>
      <c r="C13" s="3011">
        <f>ROUND(F10/F9,4)</f>
        <v>0.8679</v>
      </c>
      <c r="E13" s="3009"/>
      <c r="F13" s="3009"/>
    </row>
    <row r="14" spans="1:10" ht="20.25" customHeight="1" thickBot="1">
      <c r="A14" s="3006" t="s">
        <v>4060</v>
      </c>
      <c r="B14" s="3012"/>
      <c r="C14" s="3009"/>
    </row>
    <row r="15" spans="1:10" ht="20.25" customHeight="1">
      <c r="A15" s="3000" t="s">
        <v>4061</v>
      </c>
      <c r="B15" s="3013">
        <v>4810</v>
      </c>
      <c r="C15" s="3009"/>
    </row>
    <row r="16" spans="1:10" ht="20.25" customHeight="1" thickBot="1">
      <c r="A16" s="3004" t="s">
        <v>4062</v>
      </c>
      <c r="B16" s="3014">
        <f>ROUND(B15*F9/F10,2)</f>
        <v>5542.03</v>
      </c>
      <c r="C16" s="3011">
        <f>ROUND(F9/F10,4)</f>
        <v>1.1521999999999999</v>
      </c>
    </row>
    <row r="17" spans="3:3" ht="20.25" customHeight="1">
      <c r="C17" s="3009"/>
    </row>
  </sheetData>
  <mergeCells count="1">
    <mergeCell ref="A8:B8"/>
  </mergeCells>
  <phoneticPr fontId="143" type="noConversion"/>
  <dataValidations count="1">
    <dataValidation type="list" allowBlank="1" showInputMessage="1" showErrorMessage="1" sqref="A3:A5 IW3:IW5 SS3:SS5 ACO3:ACO5 AMK3:AMK5 AWG3:AWG5 BGC3:BGC5 BPY3:BPY5 BZU3:BZU5 CJQ3:CJQ5 CTM3:CTM5 DDI3:DDI5 DNE3:DNE5 DXA3:DXA5 EGW3:EGW5 EQS3:EQS5 FAO3:FAO5 FKK3:FKK5 FUG3:FUG5 GEC3:GEC5 GNY3:GNY5 GXU3:GXU5 HHQ3:HHQ5 HRM3:HRM5 IBI3:IBI5 ILE3:ILE5 IVA3:IVA5 JEW3:JEW5 JOS3:JOS5 JYO3:JYO5 KIK3:KIK5 KSG3:KSG5 LCC3:LCC5 LLY3:LLY5 LVU3:LVU5 MFQ3:MFQ5 MPM3:MPM5 MZI3:MZI5 NJE3:NJE5 NTA3:NTA5 OCW3:OCW5 OMS3:OMS5 OWO3:OWO5 PGK3:PGK5 PQG3:PQG5 QAC3:QAC5 QJY3:QJY5 QTU3:QTU5 RDQ3:RDQ5 RNM3:RNM5 RXI3:RXI5 SHE3:SHE5 SRA3:SRA5 TAW3:TAW5 TKS3:TKS5 TUO3:TUO5 UEK3:UEK5 UOG3:UOG5 UYC3:UYC5 VHY3:VHY5 VRU3:VRU5 WBQ3:WBQ5 WLM3:WLM5 WVI3:WVI5 A65539:A65541 IW65539:IW65541 SS65539:SS65541 ACO65539:ACO65541 AMK65539:AMK65541 AWG65539:AWG65541 BGC65539:BGC65541 BPY65539:BPY65541 BZU65539:BZU65541 CJQ65539:CJQ65541 CTM65539:CTM65541 DDI65539:DDI65541 DNE65539:DNE65541 DXA65539:DXA65541 EGW65539:EGW65541 EQS65539:EQS65541 FAO65539:FAO65541 FKK65539:FKK65541 FUG65539:FUG65541 GEC65539:GEC65541 GNY65539:GNY65541 GXU65539:GXU65541 HHQ65539:HHQ65541 HRM65539:HRM65541 IBI65539:IBI65541 ILE65539:ILE65541 IVA65539:IVA65541 JEW65539:JEW65541 JOS65539:JOS65541 JYO65539:JYO65541 KIK65539:KIK65541 KSG65539:KSG65541 LCC65539:LCC65541 LLY65539:LLY65541 LVU65539:LVU65541 MFQ65539:MFQ65541 MPM65539:MPM65541 MZI65539:MZI65541 NJE65539:NJE65541 NTA65539:NTA65541 OCW65539:OCW65541 OMS65539:OMS65541 OWO65539:OWO65541 PGK65539:PGK65541 PQG65539:PQG65541 QAC65539:QAC65541 QJY65539:QJY65541 QTU65539:QTU65541 RDQ65539:RDQ65541 RNM65539:RNM65541 RXI65539:RXI65541 SHE65539:SHE65541 SRA65539:SRA65541 TAW65539:TAW65541 TKS65539:TKS65541 TUO65539:TUO65541 UEK65539:UEK65541 UOG65539:UOG65541 UYC65539:UYC65541 VHY65539:VHY65541 VRU65539:VRU65541 WBQ65539:WBQ65541 WLM65539:WLM65541 WVI65539:WVI65541 A131075:A131077 IW131075:IW131077 SS131075:SS131077 ACO131075:ACO131077 AMK131075:AMK131077 AWG131075:AWG131077 BGC131075:BGC131077 BPY131075:BPY131077 BZU131075:BZU131077 CJQ131075:CJQ131077 CTM131075:CTM131077 DDI131075:DDI131077 DNE131075:DNE131077 DXA131075:DXA131077 EGW131075:EGW131077 EQS131075:EQS131077 FAO131075:FAO131077 FKK131075:FKK131077 FUG131075:FUG131077 GEC131075:GEC131077 GNY131075:GNY131077 GXU131075:GXU131077 HHQ131075:HHQ131077 HRM131075:HRM131077 IBI131075:IBI131077 ILE131075:ILE131077 IVA131075:IVA131077 JEW131075:JEW131077 JOS131075:JOS131077 JYO131075:JYO131077 KIK131075:KIK131077 KSG131075:KSG131077 LCC131075:LCC131077 LLY131075:LLY131077 LVU131075:LVU131077 MFQ131075:MFQ131077 MPM131075:MPM131077 MZI131075:MZI131077 NJE131075:NJE131077 NTA131075:NTA131077 OCW131075:OCW131077 OMS131075:OMS131077 OWO131075:OWO131077 PGK131075:PGK131077 PQG131075:PQG131077 QAC131075:QAC131077 QJY131075:QJY131077 QTU131075:QTU131077 RDQ131075:RDQ131077 RNM131075:RNM131077 RXI131075:RXI131077 SHE131075:SHE131077 SRA131075:SRA131077 TAW131075:TAW131077 TKS131075:TKS131077 TUO131075:TUO131077 UEK131075:UEK131077 UOG131075:UOG131077 UYC131075:UYC131077 VHY131075:VHY131077 VRU131075:VRU131077 WBQ131075:WBQ131077 WLM131075:WLM131077 WVI131075:WVI131077 A196611:A196613 IW196611:IW196613 SS196611:SS196613 ACO196611:ACO196613 AMK196611:AMK196613 AWG196611:AWG196613 BGC196611:BGC196613 BPY196611:BPY196613 BZU196611:BZU196613 CJQ196611:CJQ196613 CTM196611:CTM196613 DDI196611:DDI196613 DNE196611:DNE196613 DXA196611:DXA196613 EGW196611:EGW196613 EQS196611:EQS196613 FAO196611:FAO196613 FKK196611:FKK196613 FUG196611:FUG196613 GEC196611:GEC196613 GNY196611:GNY196613 GXU196611:GXU196613 HHQ196611:HHQ196613 HRM196611:HRM196613 IBI196611:IBI196613 ILE196611:ILE196613 IVA196611:IVA196613 JEW196611:JEW196613 JOS196611:JOS196613 JYO196611:JYO196613 KIK196611:KIK196613 KSG196611:KSG196613 LCC196611:LCC196613 LLY196611:LLY196613 LVU196611:LVU196613 MFQ196611:MFQ196613 MPM196611:MPM196613 MZI196611:MZI196613 NJE196611:NJE196613 NTA196611:NTA196613 OCW196611:OCW196613 OMS196611:OMS196613 OWO196611:OWO196613 PGK196611:PGK196613 PQG196611:PQG196613 QAC196611:QAC196613 QJY196611:QJY196613 QTU196611:QTU196613 RDQ196611:RDQ196613 RNM196611:RNM196613 RXI196611:RXI196613 SHE196611:SHE196613 SRA196611:SRA196613 TAW196611:TAW196613 TKS196611:TKS196613 TUO196611:TUO196613 UEK196611:UEK196613 UOG196611:UOG196613 UYC196611:UYC196613 VHY196611:VHY196613 VRU196611:VRU196613 WBQ196611:WBQ196613 WLM196611:WLM196613 WVI196611:WVI196613 A262147:A262149 IW262147:IW262149 SS262147:SS262149 ACO262147:ACO262149 AMK262147:AMK262149 AWG262147:AWG262149 BGC262147:BGC262149 BPY262147:BPY262149 BZU262147:BZU262149 CJQ262147:CJQ262149 CTM262147:CTM262149 DDI262147:DDI262149 DNE262147:DNE262149 DXA262147:DXA262149 EGW262147:EGW262149 EQS262147:EQS262149 FAO262147:FAO262149 FKK262147:FKK262149 FUG262147:FUG262149 GEC262147:GEC262149 GNY262147:GNY262149 GXU262147:GXU262149 HHQ262147:HHQ262149 HRM262147:HRM262149 IBI262147:IBI262149 ILE262147:ILE262149 IVA262147:IVA262149 JEW262147:JEW262149 JOS262147:JOS262149 JYO262147:JYO262149 KIK262147:KIK262149 KSG262147:KSG262149 LCC262147:LCC262149 LLY262147:LLY262149 LVU262147:LVU262149 MFQ262147:MFQ262149 MPM262147:MPM262149 MZI262147:MZI262149 NJE262147:NJE262149 NTA262147:NTA262149 OCW262147:OCW262149 OMS262147:OMS262149 OWO262147:OWO262149 PGK262147:PGK262149 PQG262147:PQG262149 QAC262147:QAC262149 QJY262147:QJY262149 QTU262147:QTU262149 RDQ262147:RDQ262149 RNM262147:RNM262149 RXI262147:RXI262149 SHE262147:SHE262149 SRA262147:SRA262149 TAW262147:TAW262149 TKS262147:TKS262149 TUO262147:TUO262149 UEK262147:UEK262149 UOG262147:UOG262149 UYC262147:UYC262149 VHY262147:VHY262149 VRU262147:VRU262149 WBQ262147:WBQ262149 WLM262147:WLM262149 WVI262147:WVI262149 A327683:A327685 IW327683:IW327685 SS327683:SS327685 ACO327683:ACO327685 AMK327683:AMK327685 AWG327683:AWG327685 BGC327683:BGC327685 BPY327683:BPY327685 BZU327683:BZU327685 CJQ327683:CJQ327685 CTM327683:CTM327685 DDI327683:DDI327685 DNE327683:DNE327685 DXA327683:DXA327685 EGW327683:EGW327685 EQS327683:EQS327685 FAO327683:FAO327685 FKK327683:FKK327685 FUG327683:FUG327685 GEC327683:GEC327685 GNY327683:GNY327685 GXU327683:GXU327685 HHQ327683:HHQ327685 HRM327683:HRM327685 IBI327683:IBI327685 ILE327683:ILE327685 IVA327683:IVA327685 JEW327683:JEW327685 JOS327683:JOS327685 JYO327683:JYO327685 KIK327683:KIK327685 KSG327683:KSG327685 LCC327683:LCC327685 LLY327683:LLY327685 LVU327683:LVU327685 MFQ327683:MFQ327685 MPM327683:MPM327685 MZI327683:MZI327685 NJE327683:NJE327685 NTA327683:NTA327685 OCW327683:OCW327685 OMS327683:OMS327685 OWO327683:OWO327685 PGK327683:PGK327685 PQG327683:PQG327685 QAC327683:QAC327685 QJY327683:QJY327685 QTU327683:QTU327685 RDQ327683:RDQ327685 RNM327683:RNM327685 RXI327683:RXI327685 SHE327683:SHE327685 SRA327683:SRA327685 TAW327683:TAW327685 TKS327683:TKS327685 TUO327683:TUO327685 UEK327683:UEK327685 UOG327683:UOG327685 UYC327683:UYC327685 VHY327683:VHY327685 VRU327683:VRU327685 WBQ327683:WBQ327685 WLM327683:WLM327685 WVI327683:WVI327685 A393219:A393221 IW393219:IW393221 SS393219:SS393221 ACO393219:ACO393221 AMK393219:AMK393221 AWG393219:AWG393221 BGC393219:BGC393221 BPY393219:BPY393221 BZU393219:BZU393221 CJQ393219:CJQ393221 CTM393219:CTM393221 DDI393219:DDI393221 DNE393219:DNE393221 DXA393219:DXA393221 EGW393219:EGW393221 EQS393219:EQS393221 FAO393219:FAO393221 FKK393219:FKK393221 FUG393219:FUG393221 GEC393219:GEC393221 GNY393219:GNY393221 GXU393219:GXU393221 HHQ393219:HHQ393221 HRM393219:HRM393221 IBI393219:IBI393221 ILE393219:ILE393221 IVA393219:IVA393221 JEW393219:JEW393221 JOS393219:JOS393221 JYO393219:JYO393221 KIK393219:KIK393221 KSG393219:KSG393221 LCC393219:LCC393221 LLY393219:LLY393221 LVU393219:LVU393221 MFQ393219:MFQ393221 MPM393219:MPM393221 MZI393219:MZI393221 NJE393219:NJE393221 NTA393219:NTA393221 OCW393219:OCW393221 OMS393219:OMS393221 OWO393219:OWO393221 PGK393219:PGK393221 PQG393219:PQG393221 QAC393219:QAC393221 QJY393219:QJY393221 QTU393219:QTU393221 RDQ393219:RDQ393221 RNM393219:RNM393221 RXI393219:RXI393221 SHE393219:SHE393221 SRA393219:SRA393221 TAW393219:TAW393221 TKS393219:TKS393221 TUO393219:TUO393221 UEK393219:UEK393221 UOG393219:UOG393221 UYC393219:UYC393221 VHY393219:VHY393221 VRU393219:VRU393221 WBQ393219:WBQ393221 WLM393219:WLM393221 WVI393219:WVI393221 A458755:A458757 IW458755:IW458757 SS458755:SS458757 ACO458755:ACO458757 AMK458755:AMK458757 AWG458755:AWG458757 BGC458755:BGC458757 BPY458755:BPY458757 BZU458755:BZU458757 CJQ458755:CJQ458757 CTM458755:CTM458757 DDI458755:DDI458757 DNE458755:DNE458757 DXA458755:DXA458757 EGW458755:EGW458757 EQS458755:EQS458757 FAO458755:FAO458757 FKK458755:FKK458757 FUG458755:FUG458757 GEC458755:GEC458757 GNY458755:GNY458757 GXU458755:GXU458757 HHQ458755:HHQ458757 HRM458755:HRM458757 IBI458755:IBI458757 ILE458755:ILE458757 IVA458755:IVA458757 JEW458755:JEW458757 JOS458755:JOS458757 JYO458755:JYO458757 KIK458755:KIK458757 KSG458755:KSG458757 LCC458755:LCC458757 LLY458755:LLY458757 LVU458755:LVU458757 MFQ458755:MFQ458757 MPM458755:MPM458757 MZI458755:MZI458757 NJE458755:NJE458757 NTA458755:NTA458757 OCW458755:OCW458757 OMS458755:OMS458757 OWO458755:OWO458757 PGK458755:PGK458757 PQG458755:PQG458757 QAC458755:QAC458757 QJY458755:QJY458757 QTU458755:QTU458757 RDQ458755:RDQ458757 RNM458755:RNM458757 RXI458755:RXI458757 SHE458755:SHE458757 SRA458755:SRA458757 TAW458755:TAW458757 TKS458755:TKS458757 TUO458755:TUO458757 UEK458755:UEK458757 UOG458755:UOG458757 UYC458755:UYC458757 VHY458755:VHY458757 VRU458755:VRU458757 WBQ458755:WBQ458757 WLM458755:WLM458757 WVI458755:WVI458757 A524291:A524293 IW524291:IW524293 SS524291:SS524293 ACO524291:ACO524293 AMK524291:AMK524293 AWG524291:AWG524293 BGC524291:BGC524293 BPY524291:BPY524293 BZU524291:BZU524293 CJQ524291:CJQ524293 CTM524291:CTM524293 DDI524291:DDI524293 DNE524291:DNE524293 DXA524291:DXA524293 EGW524291:EGW524293 EQS524291:EQS524293 FAO524291:FAO524293 FKK524291:FKK524293 FUG524291:FUG524293 GEC524291:GEC524293 GNY524291:GNY524293 GXU524291:GXU524293 HHQ524291:HHQ524293 HRM524291:HRM524293 IBI524291:IBI524293 ILE524291:ILE524293 IVA524291:IVA524293 JEW524291:JEW524293 JOS524291:JOS524293 JYO524291:JYO524293 KIK524291:KIK524293 KSG524291:KSG524293 LCC524291:LCC524293 LLY524291:LLY524293 LVU524291:LVU524293 MFQ524291:MFQ524293 MPM524291:MPM524293 MZI524291:MZI524293 NJE524291:NJE524293 NTA524291:NTA524293 OCW524291:OCW524293 OMS524291:OMS524293 OWO524291:OWO524293 PGK524291:PGK524293 PQG524291:PQG524293 QAC524291:QAC524293 QJY524291:QJY524293 QTU524291:QTU524293 RDQ524291:RDQ524293 RNM524291:RNM524293 RXI524291:RXI524293 SHE524291:SHE524293 SRA524291:SRA524293 TAW524291:TAW524293 TKS524291:TKS524293 TUO524291:TUO524293 UEK524291:UEK524293 UOG524291:UOG524293 UYC524291:UYC524293 VHY524291:VHY524293 VRU524291:VRU524293 WBQ524291:WBQ524293 WLM524291:WLM524293 WVI524291:WVI524293 A589827:A589829 IW589827:IW589829 SS589827:SS589829 ACO589827:ACO589829 AMK589827:AMK589829 AWG589827:AWG589829 BGC589827:BGC589829 BPY589827:BPY589829 BZU589827:BZU589829 CJQ589827:CJQ589829 CTM589827:CTM589829 DDI589827:DDI589829 DNE589827:DNE589829 DXA589827:DXA589829 EGW589827:EGW589829 EQS589827:EQS589829 FAO589827:FAO589829 FKK589827:FKK589829 FUG589827:FUG589829 GEC589827:GEC589829 GNY589827:GNY589829 GXU589827:GXU589829 HHQ589827:HHQ589829 HRM589827:HRM589829 IBI589827:IBI589829 ILE589827:ILE589829 IVA589827:IVA589829 JEW589827:JEW589829 JOS589827:JOS589829 JYO589827:JYO589829 KIK589827:KIK589829 KSG589827:KSG589829 LCC589827:LCC589829 LLY589827:LLY589829 LVU589827:LVU589829 MFQ589827:MFQ589829 MPM589827:MPM589829 MZI589827:MZI589829 NJE589827:NJE589829 NTA589827:NTA589829 OCW589827:OCW589829 OMS589827:OMS589829 OWO589827:OWO589829 PGK589827:PGK589829 PQG589827:PQG589829 QAC589827:QAC589829 QJY589827:QJY589829 QTU589827:QTU589829 RDQ589827:RDQ589829 RNM589827:RNM589829 RXI589827:RXI589829 SHE589827:SHE589829 SRA589827:SRA589829 TAW589827:TAW589829 TKS589827:TKS589829 TUO589827:TUO589829 UEK589827:UEK589829 UOG589827:UOG589829 UYC589827:UYC589829 VHY589827:VHY589829 VRU589827:VRU589829 WBQ589827:WBQ589829 WLM589827:WLM589829 WVI589827:WVI589829 A655363:A655365 IW655363:IW655365 SS655363:SS655365 ACO655363:ACO655365 AMK655363:AMK655365 AWG655363:AWG655365 BGC655363:BGC655365 BPY655363:BPY655365 BZU655363:BZU655365 CJQ655363:CJQ655365 CTM655363:CTM655365 DDI655363:DDI655365 DNE655363:DNE655365 DXA655363:DXA655365 EGW655363:EGW655365 EQS655363:EQS655365 FAO655363:FAO655365 FKK655363:FKK655365 FUG655363:FUG655365 GEC655363:GEC655365 GNY655363:GNY655365 GXU655363:GXU655365 HHQ655363:HHQ655365 HRM655363:HRM655365 IBI655363:IBI655365 ILE655363:ILE655365 IVA655363:IVA655365 JEW655363:JEW655365 JOS655363:JOS655365 JYO655363:JYO655365 KIK655363:KIK655365 KSG655363:KSG655365 LCC655363:LCC655365 LLY655363:LLY655365 LVU655363:LVU655365 MFQ655363:MFQ655365 MPM655363:MPM655365 MZI655363:MZI655365 NJE655363:NJE655365 NTA655363:NTA655365 OCW655363:OCW655365 OMS655363:OMS655365 OWO655363:OWO655365 PGK655363:PGK655365 PQG655363:PQG655365 QAC655363:QAC655365 QJY655363:QJY655365 QTU655363:QTU655365 RDQ655363:RDQ655365 RNM655363:RNM655365 RXI655363:RXI655365 SHE655363:SHE655365 SRA655363:SRA655365 TAW655363:TAW655365 TKS655363:TKS655365 TUO655363:TUO655365 UEK655363:UEK655365 UOG655363:UOG655365 UYC655363:UYC655365 VHY655363:VHY655365 VRU655363:VRU655365 WBQ655363:WBQ655365 WLM655363:WLM655365 WVI655363:WVI655365 A720899:A720901 IW720899:IW720901 SS720899:SS720901 ACO720899:ACO720901 AMK720899:AMK720901 AWG720899:AWG720901 BGC720899:BGC720901 BPY720899:BPY720901 BZU720899:BZU720901 CJQ720899:CJQ720901 CTM720899:CTM720901 DDI720899:DDI720901 DNE720899:DNE720901 DXA720899:DXA720901 EGW720899:EGW720901 EQS720899:EQS720901 FAO720899:FAO720901 FKK720899:FKK720901 FUG720899:FUG720901 GEC720899:GEC720901 GNY720899:GNY720901 GXU720899:GXU720901 HHQ720899:HHQ720901 HRM720899:HRM720901 IBI720899:IBI720901 ILE720899:ILE720901 IVA720899:IVA720901 JEW720899:JEW720901 JOS720899:JOS720901 JYO720899:JYO720901 KIK720899:KIK720901 KSG720899:KSG720901 LCC720899:LCC720901 LLY720899:LLY720901 LVU720899:LVU720901 MFQ720899:MFQ720901 MPM720899:MPM720901 MZI720899:MZI720901 NJE720899:NJE720901 NTA720899:NTA720901 OCW720899:OCW720901 OMS720899:OMS720901 OWO720899:OWO720901 PGK720899:PGK720901 PQG720899:PQG720901 QAC720899:QAC720901 QJY720899:QJY720901 QTU720899:QTU720901 RDQ720899:RDQ720901 RNM720899:RNM720901 RXI720899:RXI720901 SHE720899:SHE720901 SRA720899:SRA720901 TAW720899:TAW720901 TKS720899:TKS720901 TUO720899:TUO720901 UEK720899:UEK720901 UOG720899:UOG720901 UYC720899:UYC720901 VHY720899:VHY720901 VRU720899:VRU720901 WBQ720899:WBQ720901 WLM720899:WLM720901 WVI720899:WVI720901 A786435:A786437 IW786435:IW786437 SS786435:SS786437 ACO786435:ACO786437 AMK786435:AMK786437 AWG786435:AWG786437 BGC786435:BGC786437 BPY786435:BPY786437 BZU786435:BZU786437 CJQ786435:CJQ786437 CTM786435:CTM786437 DDI786435:DDI786437 DNE786435:DNE786437 DXA786435:DXA786437 EGW786435:EGW786437 EQS786435:EQS786437 FAO786435:FAO786437 FKK786435:FKK786437 FUG786435:FUG786437 GEC786435:GEC786437 GNY786435:GNY786437 GXU786435:GXU786437 HHQ786435:HHQ786437 HRM786435:HRM786437 IBI786435:IBI786437 ILE786435:ILE786437 IVA786435:IVA786437 JEW786435:JEW786437 JOS786435:JOS786437 JYO786435:JYO786437 KIK786435:KIK786437 KSG786435:KSG786437 LCC786435:LCC786437 LLY786435:LLY786437 LVU786435:LVU786437 MFQ786435:MFQ786437 MPM786435:MPM786437 MZI786435:MZI786437 NJE786435:NJE786437 NTA786435:NTA786437 OCW786435:OCW786437 OMS786435:OMS786437 OWO786435:OWO786437 PGK786435:PGK786437 PQG786435:PQG786437 QAC786435:QAC786437 QJY786435:QJY786437 QTU786435:QTU786437 RDQ786435:RDQ786437 RNM786435:RNM786437 RXI786435:RXI786437 SHE786435:SHE786437 SRA786435:SRA786437 TAW786435:TAW786437 TKS786435:TKS786437 TUO786435:TUO786437 UEK786435:UEK786437 UOG786435:UOG786437 UYC786435:UYC786437 VHY786435:VHY786437 VRU786435:VRU786437 WBQ786435:WBQ786437 WLM786435:WLM786437 WVI786435:WVI786437 A851971:A851973 IW851971:IW851973 SS851971:SS851973 ACO851971:ACO851973 AMK851971:AMK851973 AWG851971:AWG851973 BGC851971:BGC851973 BPY851971:BPY851973 BZU851971:BZU851973 CJQ851971:CJQ851973 CTM851971:CTM851973 DDI851971:DDI851973 DNE851971:DNE851973 DXA851971:DXA851973 EGW851971:EGW851973 EQS851971:EQS851973 FAO851971:FAO851973 FKK851971:FKK851973 FUG851971:FUG851973 GEC851971:GEC851973 GNY851971:GNY851973 GXU851971:GXU851973 HHQ851971:HHQ851973 HRM851971:HRM851973 IBI851971:IBI851973 ILE851971:ILE851973 IVA851971:IVA851973 JEW851971:JEW851973 JOS851971:JOS851973 JYO851971:JYO851973 KIK851971:KIK851973 KSG851971:KSG851973 LCC851971:LCC851973 LLY851971:LLY851973 LVU851971:LVU851973 MFQ851971:MFQ851973 MPM851971:MPM851973 MZI851971:MZI851973 NJE851971:NJE851973 NTA851971:NTA851973 OCW851971:OCW851973 OMS851971:OMS851973 OWO851971:OWO851973 PGK851971:PGK851973 PQG851971:PQG851973 QAC851971:QAC851973 QJY851971:QJY851973 QTU851971:QTU851973 RDQ851971:RDQ851973 RNM851971:RNM851973 RXI851971:RXI851973 SHE851971:SHE851973 SRA851971:SRA851973 TAW851971:TAW851973 TKS851971:TKS851973 TUO851971:TUO851973 UEK851971:UEK851973 UOG851971:UOG851973 UYC851971:UYC851973 VHY851971:VHY851973 VRU851971:VRU851973 WBQ851971:WBQ851973 WLM851971:WLM851973 WVI851971:WVI851973 A917507:A917509 IW917507:IW917509 SS917507:SS917509 ACO917507:ACO917509 AMK917507:AMK917509 AWG917507:AWG917509 BGC917507:BGC917509 BPY917507:BPY917509 BZU917507:BZU917509 CJQ917507:CJQ917509 CTM917507:CTM917509 DDI917507:DDI917509 DNE917507:DNE917509 DXA917507:DXA917509 EGW917507:EGW917509 EQS917507:EQS917509 FAO917507:FAO917509 FKK917507:FKK917509 FUG917507:FUG917509 GEC917507:GEC917509 GNY917507:GNY917509 GXU917507:GXU917509 HHQ917507:HHQ917509 HRM917507:HRM917509 IBI917507:IBI917509 ILE917507:ILE917509 IVA917507:IVA917509 JEW917507:JEW917509 JOS917507:JOS917509 JYO917507:JYO917509 KIK917507:KIK917509 KSG917507:KSG917509 LCC917507:LCC917509 LLY917507:LLY917509 LVU917507:LVU917509 MFQ917507:MFQ917509 MPM917507:MPM917509 MZI917507:MZI917509 NJE917507:NJE917509 NTA917507:NTA917509 OCW917507:OCW917509 OMS917507:OMS917509 OWO917507:OWO917509 PGK917507:PGK917509 PQG917507:PQG917509 QAC917507:QAC917509 QJY917507:QJY917509 QTU917507:QTU917509 RDQ917507:RDQ917509 RNM917507:RNM917509 RXI917507:RXI917509 SHE917507:SHE917509 SRA917507:SRA917509 TAW917507:TAW917509 TKS917507:TKS917509 TUO917507:TUO917509 UEK917507:UEK917509 UOG917507:UOG917509 UYC917507:UYC917509 VHY917507:VHY917509 VRU917507:VRU917509 WBQ917507:WBQ917509 WLM917507:WLM917509 WVI917507:WVI917509 A983043:A983045 IW983043:IW983045 SS983043:SS983045 ACO983043:ACO983045 AMK983043:AMK983045 AWG983043:AWG983045 BGC983043:BGC983045 BPY983043:BPY983045 BZU983043:BZU983045 CJQ983043:CJQ983045 CTM983043:CTM983045 DDI983043:DDI983045 DNE983043:DNE983045 DXA983043:DXA983045 EGW983043:EGW983045 EQS983043:EQS983045 FAO983043:FAO983045 FKK983043:FKK983045 FUG983043:FUG983045 GEC983043:GEC983045 GNY983043:GNY983045 GXU983043:GXU983045 HHQ983043:HHQ983045 HRM983043:HRM983045 IBI983043:IBI983045 ILE983043:ILE983045 IVA983043:IVA983045 JEW983043:JEW983045 JOS983043:JOS983045 JYO983043:JYO983045 KIK983043:KIK983045 KSG983043:KSG983045 LCC983043:LCC983045 LLY983043:LLY983045 LVU983043:LVU983045 MFQ983043:MFQ983045 MPM983043:MPM983045 MZI983043:MZI983045 NJE983043:NJE983045 NTA983043:NTA983045 OCW983043:OCW983045 OMS983043:OMS983045 OWO983043:OWO983045 PGK983043:PGK983045 PQG983043:PQG983045 QAC983043:QAC983045 QJY983043:QJY983045 QTU983043:QTU983045 RDQ983043:RDQ983045 RNM983043:RNM983045 RXI983043:RXI983045 SHE983043:SHE983045 SRA983043:SRA983045 TAW983043:TAW983045 TKS983043:TKS983045 TUO983043:TUO983045 UEK983043:UEK983045 UOG983043:UOG983045 UYC983043:UYC983045 VHY983043:VHY983045 VRU983043:VRU983045 WBQ983043:WBQ983045 WLM983043:WLM983045 WVI983043:WVI983045">
      <formula1>"40,50,70"</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zoomScale="90" zoomScaleNormal="90" workbookViewId="0">
      <selection activeCell="G44" sqref="G44"/>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2462</v>
      </c>
      <c r="B1" s="1583"/>
      <c r="C1" s="1584"/>
      <c r="D1" s="1582"/>
      <c r="E1" s="320"/>
      <c r="F1" s="320"/>
      <c r="G1" s="1583"/>
      <c r="H1" s="320"/>
      <c r="I1" s="320"/>
      <c r="J1" s="320"/>
      <c r="K1" s="320">
        <f>MATCH(C1,'数据-取费表'!A6:A16,0)+5</f>
        <v>7</v>
      </c>
    </row>
    <row r="2" spans="1:33" ht="18" customHeight="1">
      <c r="A2" s="245" t="s">
        <v>2330</v>
      </c>
      <c r="B2" s="248">
        <f ca="1">C32</f>
        <v>51736</v>
      </c>
      <c r="C2" s="320" t="s">
        <v>2463</v>
      </c>
      <c r="D2" s="320"/>
      <c r="E2" s="320"/>
      <c r="F2" s="320"/>
      <c r="G2" s="320"/>
      <c r="H2" s="320"/>
      <c r="I2" s="320"/>
      <c r="J2" s="320"/>
      <c r="K2" s="320"/>
    </row>
    <row r="3" spans="1:33" ht="18" customHeight="1" thickBot="1">
      <c r="A3" s="247" t="s">
        <v>2332</v>
      </c>
      <c r="B3" s="248">
        <f ca="1">ROUND(B2*10000/IF(C1="",'数据-汇总表'!E3,INDIRECT("'数据-取费表'!K"&amp;$K$1)),0)</f>
        <v>15067</v>
      </c>
      <c r="C3" s="320" t="s">
        <v>2464</v>
      </c>
      <c r="D3" s="320"/>
      <c r="E3" s="320"/>
      <c r="F3" s="320"/>
      <c r="G3" s="320"/>
      <c r="H3" s="320"/>
      <c r="I3" s="320"/>
      <c r="J3" s="320"/>
      <c r="K3" s="320"/>
    </row>
    <row r="4" spans="1:33" s="959" customFormat="1" ht="16.5" customHeight="1">
      <c r="A4" s="956" t="s">
        <v>2465</v>
      </c>
      <c r="B4" s="957"/>
      <c r="C4" s="999">
        <f>SUM(C8:K8)</f>
        <v>62911</v>
      </c>
      <c r="D4" s="957"/>
      <c r="E4" s="957"/>
      <c r="F4" s="957"/>
      <c r="G4" s="957"/>
      <c r="H4" s="957"/>
      <c r="I4" s="957"/>
      <c r="J4" s="957"/>
      <c r="K4" s="958"/>
    </row>
    <row r="5" spans="1:33" s="963" customFormat="1" ht="15">
      <c r="A5" s="960" t="s">
        <v>2466</v>
      </c>
      <c r="B5" s="961" t="s">
        <v>2467</v>
      </c>
      <c r="C5" s="2560" t="s">
        <v>3868</v>
      </c>
      <c r="D5" s="2560"/>
      <c r="E5" s="2560"/>
      <c r="F5" s="2560"/>
      <c r="G5" s="2560"/>
      <c r="H5" s="2560"/>
      <c r="I5" s="2560"/>
      <c r="J5" s="2560"/>
      <c r="K5" s="2560"/>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2468</v>
      </c>
      <c r="C6" s="965">
        <f>'比较法-住宅'!B3</f>
        <v>18321</v>
      </c>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2469</v>
      </c>
      <c r="B7" s="140" t="s">
        <v>2470</v>
      </c>
      <c r="C7" s="321">
        <f>SUMIF('数据-汇总表'!$C19:$C33,假设开发法!C5,'数据-汇总表'!$E19:$E33)</f>
        <v>34338.32</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61" t="s">
        <v>2471</v>
      </c>
      <c r="B8" s="177" t="s">
        <v>2472</v>
      </c>
      <c r="C8" s="1000">
        <f>'比较法-住宅'!B2</f>
        <v>62911</v>
      </c>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2473</v>
      </c>
      <c r="B9" s="957"/>
      <c r="C9" s="957"/>
      <c r="D9" s="957"/>
      <c r="E9" s="957"/>
      <c r="F9" s="957"/>
      <c r="G9" s="957"/>
      <c r="H9" s="957"/>
      <c r="I9" s="957"/>
      <c r="J9" s="957"/>
      <c r="K9" s="958"/>
    </row>
    <row r="10" spans="1:33" s="973" customFormat="1" ht="13.5" customHeight="1">
      <c r="A10" s="960" t="s">
        <v>2474</v>
      </c>
      <c r="B10" s="8" t="s">
        <v>2475</v>
      </c>
      <c r="C10" s="969" t="s">
        <v>2476</v>
      </c>
      <c r="D10" s="970" t="s">
        <v>2477</v>
      </c>
      <c r="E10" s="970" t="s">
        <v>2478</v>
      </c>
      <c r="F10" s="970" t="s">
        <v>2479</v>
      </c>
      <c r="G10" s="8"/>
      <c r="H10" s="971"/>
      <c r="I10" s="971"/>
      <c r="J10" s="971"/>
      <c r="K10" s="972"/>
    </row>
    <row r="11" spans="1:33" s="978" customFormat="1" ht="13.5" customHeight="1">
      <c r="A11" s="974" t="s">
        <v>1330</v>
      </c>
      <c r="B11" s="975" t="s">
        <v>2480</v>
      </c>
      <c r="C11" s="323">
        <f ca="1">IF(C1="",'数据-取费表'!P16,INDIRECT("'数据-取费表'!p"&amp;$K$1)+INDIRECT("'数据-取费表'!ar"&amp;$K$1))</f>
        <v>2318</v>
      </c>
      <c r="D11" s="976"/>
      <c r="E11" s="375"/>
      <c r="F11" s="977">
        <f ca="1">1-IF('数据-取费表'!B24=0,1,IF(C1="",'数据-取费表'!N16,INDIRECT("'数据-取费表'!n"&amp;$K$1)))</f>
        <v>0.15000000000000002</v>
      </c>
      <c r="G11" s="8"/>
      <c r="H11" s="971"/>
      <c r="I11" s="971"/>
      <c r="J11" s="971"/>
      <c r="K11" s="972"/>
    </row>
    <row r="12" spans="1:33" s="978" customFormat="1" ht="13.5" customHeight="1">
      <c r="A12" s="974" t="s">
        <v>1331</v>
      </c>
      <c r="B12" s="975" t="s">
        <v>2481</v>
      </c>
      <c r="C12" s="24">
        <f ca="1">ROUND(C11*F12,0)</f>
        <v>70</v>
      </c>
      <c r="D12" s="976"/>
      <c r="E12" s="375"/>
      <c r="F12" s="979">
        <f>'数据-取费表'!B33</f>
        <v>0.03</v>
      </c>
      <c r="G12" s="8" t="s">
        <v>2482</v>
      </c>
      <c r="H12" s="971"/>
      <c r="I12" s="971"/>
      <c r="J12" s="971"/>
      <c r="K12" s="972"/>
    </row>
    <row r="13" spans="1:33" s="978" customFormat="1" ht="13.5" customHeight="1">
      <c r="A13" s="974" t="s">
        <v>1332</v>
      </c>
      <c r="B13" s="975" t="s">
        <v>2483</v>
      </c>
      <c r="C13" s="24">
        <f ca="1">ROUND(IF(C1="",SUMIF('数据-取费表'!C:C,"住宅",'数据-取费表'!P:P)*F13,IF(INDIRECT("'数据-取费表'!c"&amp;$K$1)="住宅",INDIRECT("'数据-取费表'!P"&amp;$K$1)*F13,0)),0)</f>
        <v>116</v>
      </c>
      <c r="D13" s="1036"/>
      <c r="E13" s="375"/>
      <c r="F13" s="979">
        <f>'数据-取费表'!B34</f>
        <v>0.05</v>
      </c>
      <c r="G13" s="8" t="s">
        <v>2484</v>
      </c>
      <c r="H13" s="971"/>
      <c r="I13" s="971"/>
      <c r="J13" s="971"/>
      <c r="K13" s="972"/>
    </row>
    <row r="14" spans="1:33" s="980" customFormat="1" ht="13.5" customHeight="1">
      <c r="A14" s="974" t="s">
        <v>1333</v>
      </c>
      <c r="B14" s="975" t="s">
        <v>2485</v>
      </c>
      <c r="C14" s="24">
        <f ca="1">ROUND(D14*E14*F11/10000,0)</f>
        <v>103</v>
      </c>
      <c r="D14" s="1036">
        <f ca="1">IF(C1="",'数据-汇总表'!E3,INDIRECT("'数据-取费表'!K"&amp;$K$1)+INDIRECT("'数据-取费表'!S"&amp;$K$1))</f>
        <v>34338.32</v>
      </c>
      <c r="E14" s="24">
        <f>'数据-取费表'!B35</f>
        <v>200</v>
      </c>
      <c r="F14" s="979"/>
      <c r="G14" s="8" t="s">
        <v>2486</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2487</v>
      </c>
      <c r="C15" s="986">
        <f ca="1">ROUND(C11*F15,0)</f>
        <v>35</v>
      </c>
      <c r="D15" s="981"/>
      <c r="E15" s="986"/>
      <c r="F15" s="987">
        <f>'数据-取费表'!B36</f>
        <v>1.4999999999999999E-2</v>
      </c>
      <c r="G15" s="140" t="s">
        <v>2488</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2489</v>
      </c>
      <c r="C16" s="986">
        <f ca="1">SUM(C11:C15)</f>
        <v>2642</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2490</v>
      </c>
      <c r="C17" s="24">
        <f ca="1">ROUND(D17*E17/10000,0)</f>
        <v>0</v>
      </c>
      <c r="D17" s="1036">
        <f ca="1">D14</f>
        <v>34338.32</v>
      </c>
      <c r="E17" s="24">
        <f>'数据-取费表'!B32</f>
        <v>0</v>
      </c>
      <c r="F17" s="981"/>
      <c r="G17" s="140" t="s">
        <v>2491</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2492</v>
      </c>
      <c r="C18" s="24">
        <f ca="1">C19+C20-IF(C1="",'数据-取费表'!B29,IF(G18="已全部缴纳",C19+C20,H18))</f>
        <v>0</v>
      </c>
      <c r="D18" s="1036"/>
      <c r="E18" s="24"/>
      <c r="F18" s="979"/>
      <c r="G18" s="2562" t="s">
        <v>3870</v>
      </c>
      <c r="H18" s="1579"/>
      <c r="I18" s="2563" t="s">
        <v>2493</v>
      </c>
      <c r="J18" s="982"/>
      <c r="K18" s="983"/>
    </row>
    <row r="19" spans="1:33" s="978" customFormat="1" ht="13.5" customHeight="1">
      <c r="A19" s="974" t="s">
        <v>805</v>
      </c>
      <c r="B19" s="975" t="s">
        <v>2494</v>
      </c>
      <c r="C19" s="24">
        <f ca="1">ROUND(D19*E19/10000,0)</f>
        <v>755</v>
      </c>
      <c r="D19" s="1036">
        <f ca="1">IF(C1="",'数据-汇总表'!E5,IF(INDIRECT("'数据-取费表'!c"&amp;$K$1)="住宅",INDIRECT("'数据-取费表'!k"&amp;$K$1),0))</f>
        <v>34338.32</v>
      </c>
      <c r="E19" s="24">
        <f>'数据-取费表'!B27</f>
        <v>220</v>
      </c>
      <c r="F19" s="979"/>
      <c r="G19" s="15"/>
      <c r="H19" s="1581"/>
      <c r="I19" s="984"/>
      <c r="J19" s="984"/>
      <c r="K19" s="985"/>
    </row>
    <row r="20" spans="1:33" s="978" customFormat="1" ht="13.5" customHeight="1">
      <c r="A20" s="974" t="s">
        <v>806</v>
      </c>
      <c r="B20" s="975" t="s">
        <v>2495</v>
      </c>
      <c r="C20" s="24">
        <f ca="1">ROUND(D20*E20/10000,0)</f>
        <v>0</v>
      </c>
      <c r="D20" s="1036">
        <f ca="1">IF(C1="",'数据-汇总表'!E6,IF(INDIRECT("'数据-取费表'!c"&amp;$K$1)="住宅",INDIRECT("'数据-取费表'!s"&amp;$K$1),INDIRECT("'数据-取费表'!k"&amp;$K$1)+INDIRECT("'数据-取费表'!s"&amp;$K$1)))</f>
        <v>0</v>
      </c>
      <c r="E20" s="24">
        <f>'数据-取费表'!B28</f>
        <v>220</v>
      </c>
      <c r="F20" s="979"/>
      <c r="G20" s="15"/>
      <c r="H20" s="984"/>
      <c r="I20" s="984"/>
      <c r="J20" s="984"/>
      <c r="K20" s="985"/>
    </row>
    <row r="21" spans="1:33" s="978" customFormat="1" ht="13.5" customHeight="1">
      <c r="A21" s="964" t="s">
        <v>802</v>
      </c>
      <c r="B21" s="988" t="s">
        <v>2496</v>
      </c>
      <c r="C21" s="989">
        <f ca="1">C16+C17+C18</f>
        <v>2642</v>
      </c>
      <c r="D21" s="990"/>
      <c r="E21" s="325"/>
      <c r="F21" s="325"/>
      <c r="G21" s="140" t="s">
        <v>2497</v>
      </c>
      <c r="H21" s="982"/>
      <c r="I21" s="982"/>
      <c r="J21" s="982"/>
      <c r="K21" s="983"/>
    </row>
    <row r="22" spans="1:33" s="978" customFormat="1" ht="13.5" customHeight="1">
      <c r="A22" s="964" t="s">
        <v>2469</v>
      </c>
      <c r="B22" s="988" t="s">
        <v>2498</v>
      </c>
      <c r="C22" s="989">
        <f ca="1">ROUND(C21*F22,0)</f>
        <v>79</v>
      </c>
      <c r="D22" s="325"/>
      <c r="E22" s="325"/>
      <c r="F22" s="991">
        <f>'数据-取费表'!B37</f>
        <v>0.03</v>
      </c>
      <c r="G22" s="8" t="s">
        <v>2499</v>
      </c>
      <c r="H22" s="971"/>
      <c r="I22" s="971"/>
      <c r="J22" s="971"/>
      <c r="K22" s="972"/>
    </row>
    <row r="23" spans="1:33" s="978" customFormat="1" ht="13.5" customHeight="1">
      <c r="A23" s="964" t="s">
        <v>2471</v>
      </c>
      <c r="B23" s="988" t="s">
        <v>2500</v>
      </c>
      <c r="C23" s="989">
        <f ca="1">ROUND(C4*F23*F11,0)</f>
        <v>283</v>
      </c>
      <c r="D23" s="325"/>
      <c r="E23" s="325"/>
      <c r="F23" s="991">
        <f>'数据-取费表'!B38</f>
        <v>0.03</v>
      </c>
      <c r="G23" s="8" t="s">
        <v>2501</v>
      </c>
      <c r="H23" s="971"/>
      <c r="I23" s="971"/>
      <c r="J23" s="971"/>
      <c r="K23" s="972"/>
    </row>
    <row r="24" spans="1:33" s="978" customFormat="1" ht="13.5" customHeight="1">
      <c r="A24" s="964" t="s">
        <v>2502</v>
      </c>
      <c r="B24" s="988" t="s">
        <v>2503</v>
      </c>
      <c r="C24" s="324">
        <f>ROUND(F24/(1+'数据-取费表'!C42),4)</f>
        <v>3.8600000000000002E-2</v>
      </c>
      <c r="D24" s="325" t="s">
        <v>15</v>
      </c>
      <c r="E24" s="325"/>
      <c r="F24" s="991">
        <f>'数据-取费表'!B48+'数据-取费表'!B49</f>
        <v>4.0500000000000001E-2</v>
      </c>
      <c r="G24" s="8" t="s">
        <v>2504</v>
      </c>
      <c r="H24" s="993"/>
      <c r="I24" s="993"/>
      <c r="J24" s="993"/>
      <c r="K24" s="994"/>
    </row>
    <row r="25" spans="1:33" s="978" customFormat="1" ht="13.5" customHeight="1">
      <c r="A25" s="964" t="s">
        <v>2505</v>
      </c>
      <c r="B25" s="990" t="s">
        <v>2506</v>
      </c>
      <c r="C25" s="1359">
        <f ca="1">C27</f>
        <v>14</v>
      </c>
      <c r="D25" s="324">
        <f ca="1">C26</f>
        <v>9.7000000000000003E-3</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2507</v>
      </c>
      <c r="C26" s="1360">
        <f ca="1">ROUND(IF('数据-取费表'!B22&lt;=1,(1+C24)*F25*'数据-取费表'!B24,(1+C24)*(POWER((1+F25),'数据-取费表'!B24)-1)),4)</f>
        <v>9.7000000000000003E-3</v>
      </c>
      <c r="D26" s="328"/>
      <c r="E26" s="329"/>
      <c r="F26" s="330"/>
      <c r="G26" s="2564"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2508</v>
      </c>
      <c r="C27" s="1361">
        <f ca="1">ROUND(IF('数据-取费表'!B22&lt;=1,(C21+C22+C23)*F25*'数据-取费表'!B24/2,(C21+C22+C23)*(POWER((1+F25),'数据-取费表'!B24/2)-1)),0)</f>
        <v>14</v>
      </c>
      <c r="D27" s="328"/>
      <c r="E27" s="329"/>
      <c r="F27" s="330"/>
      <c r="G27" s="2564" t="str">
        <f>IF('数据-取费表'!B22&lt;=1,"（1）-（3）项×年利率×建设期÷2","（1）-（3）项×((1+年利率)^(建设期÷2)-1)")</f>
        <v>（1）-（3）项×((1+年利率)^(建设期÷2)-1)</v>
      </c>
      <c r="H27" s="982"/>
      <c r="I27" s="982"/>
      <c r="J27" s="982"/>
      <c r="K27" s="983"/>
    </row>
    <row r="28" spans="1:33" s="333" customFormat="1" ht="13.5" customHeight="1">
      <c r="A28" s="964" t="s">
        <v>2509</v>
      </c>
      <c r="B28" s="2565" t="s">
        <v>2510</v>
      </c>
      <c r="C28" s="331">
        <f ca="1">C30</f>
        <v>1051</v>
      </c>
      <c r="D28" s="324">
        <f ca="1">C29</f>
        <v>2.4199999999999999E-2</v>
      </c>
      <c r="E28" s="326" t="s">
        <v>15</v>
      </c>
      <c r="F28" s="332">
        <f ca="1">IF(C1="",'数据-取费表'!Q16,INDIRECT("'数据-取费表'!q"&amp;$K$1))</f>
        <v>0.35</v>
      </c>
      <c r="G28" s="992"/>
      <c r="H28" s="993"/>
      <c r="I28" s="993"/>
      <c r="J28" s="993"/>
      <c r="K28" s="994"/>
    </row>
    <row r="29" spans="1:33" s="335" customFormat="1" ht="13.5" customHeight="1">
      <c r="A29" s="974" t="s">
        <v>803</v>
      </c>
      <c r="B29" s="997" t="s">
        <v>2511</v>
      </c>
      <c r="C29" s="328">
        <f ca="1">ROUND((1+C24)*F28*'数据-取费表'!B24/'数据-取费表'!B20,4)</f>
        <v>2.4199999999999999E-2</v>
      </c>
      <c r="D29" s="328"/>
      <c r="E29" s="329"/>
      <c r="F29" s="334"/>
      <c r="G29" s="140" t="s">
        <v>2512</v>
      </c>
      <c r="H29" s="982"/>
      <c r="I29" s="982"/>
      <c r="J29" s="982"/>
      <c r="K29" s="983"/>
    </row>
    <row r="30" spans="1:33" s="335" customFormat="1" ht="13.5" customHeight="1">
      <c r="A30" s="974" t="s">
        <v>804</v>
      </c>
      <c r="B30" s="997" t="s">
        <v>2513</v>
      </c>
      <c r="C30" s="336">
        <f ca="1">ROUND((C21+C22+C23)*F28,0)</f>
        <v>1051</v>
      </c>
      <c r="D30" s="328"/>
      <c r="E30" s="329"/>
      <c r="F30" s="334"/>
      <c r="G30" s="140"/>
      <c r="H30" s="982"/>
      <c r="I30" s="982"/>
      <c r="J30" s="982"/>
      <c r="K30" s="983"/>
    </row>
    <row r="31" spans="1:33" s="978" customFormat="1" ht="13.5" customHeight="1" thickBot="1">
      <c r="A31" s="2566" t="s">
        <v>2514</v>
      </c>
      <c r="B31" s="1008" t="s">
        <v>2515</v>
      </c>
      <c r="C31" s="1009">
        <f>ROUND(C4*F31/(1+'数据-取费表'!C42),0)</f>
        <v>3355</v>
      </c>
      <c r="D31" s="1010"/>
      <c r="E31" s="1011"/>
      <c r="F31" s="1012">
        <f>'数据-取费表'!B41</f>
        <v>5.6000000000000001E-2</v>
      </c>
      <c r="G31" s="1013" t="s">
        <v>2516</v>
      </c>
      <c r="H31" s="1014"/>
      <c r="I31" s="1014"/>
      <c r="J31" s="1014"/>
      <c r="K31" s="1015"/>
    </row>
    <row r="32" spans="1:33" s="973" customFormat="1" ht="13.5" customHeight="1" thickBot="1">
      <c r="A32" s="1003" t="s">
        <v>2517</v>
      </c>
      <c r="B32" s="1004"/>
      <c r="C32" s="1005">
        <f ca="1">ROUND((C4-C21-C22-C23-C25-C28-C31)/(1+C24+D25+D28),0)</f>
        <v>51736</v>
      </c>
      <c r="D32" s="1004"/>
      <c r="E32" s="1004"/>
      <c r="F32" s="1004"/>
      <c r="G32" s="1006" t="s">
        <v>2518</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D1" zoomScale="70" zoomScaleNormal="70" zoomScaleSheetLayoutView="90" workbookViewId="0">
      <selection activeCell="H47" sqref="H47"/>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1511</v>
      </c>
      <c r="B2" s="1846" t="e">
        <f ca="1">C40+J29+L46</f>
        <v>#DIV/0!</v>
      </c>
      <c r="C2" s="1847" t="s">
        <v>1512</v>
      </c>
      <c r="D2" s="1847"/>
      <c r="E2" s="1848"/>
      <c r="F2" s="1849"/>
      <c r="G2" s="1850"/>
      <c r="H2" s="1842"/>
      <c r="I2" s="1842"/>
      <c r="J2" s="1842"/>
      <c r="K2" s="1843"/>
      <c r="L2" s="1842"/>
      <c r="M2" s="1842"/>
    </row>
    <row r="3" spans="1:37" ht="18" customHeight="1" thickBot="1">
      <c r="A3" s="1851" t="s">
        <v>1513</v>
      </c>
      <c r="B3" s="1852">
        <f ca="1">IF(ISERROR(B2*10000/F43),0,ROUND(B2*10000/F43,0))</f>
        <v>0</v>
      </c>
      <c r="C3" s="1847" t="s">
        <v>1514</v>
      </c>
      <c r="D3" s="1847"/>
      <c r="E3" s="1848"/>
      <c r="F3" s="1849"/>
      <c r="G3" s="1850"/>
      <c r="H3" s="744" t="s">
        <v>1584</v>
      </c>
      <c r="I3" s="1842"/>
      <c r="J3" s="1842"/>
      <c r="K3" s="1843"/>
      <c r="L3" s="1842"/>
      <c r="M3" s="1842"/>
    </row>
    <row r="4" spans="1:37" ht="18" customHeight="1">
      <c r="A4" s="340" t="s">
        <v>1392</v>
      </c>
      <c r="B4" s="341" t="s">
        <v>1393</v>
      </c>
      <c r="C4" s="341" t="s">
        <v>1394</v>
      </c>
      <c r="D4" s="341" t="s">
        <v>1395</v>
      </c>
      <c r="E4" s="342" t="s">
        <v>1396</v>
      </c>
      <c r="F4" s="343"/>
      <c r="G4" s="1853"/>
      <c r="H4" s="340" t="s">
        <v>1392</v>
      </c>
      <c r="I4" s="341" t="s">
        <v>1393</v>
      </c>
      <c r="J4" s="341" t="s">
        <v>1394</v>
      </c>
      <c r="K4" s="341" t="s">
        <v>1395</v>
      </c>
      <c r="L4" s="342" t="s">
        <v>1396</v>
      </c>
      <c r="M4" s="343"/>
    </row>
    <row r="5" spans="1:37" ht="18" customHeight="1">
      <c r="A5" s="344">
        <v>1</v>
      </c>
      <c r="B5" s="345" t="s">
        <v>1397</v>
      </c>
      <c r="C5" s="1295">
        <f ca="1">C6+C10+C12</f>
        <v>0</v>
      </c>
      <c r="D5" s="1824" t="s">
        <v>1398</v>
      </c>
      <c r="E5" s="1296"/>
      <c r="F5" s="1297"/>
      <c r="G5" s="1853"/>
      <c r="H5" s="344">
        <v>1</v>
      </c>
      <c r="I5" s="345" t="s">
        <v>1397</v>
      </c>
      <c r="J5" s="1295">
        <f ca="1">J6+J10+J12</f>
        <v>0</v>
      </c>
      <c r="K5" s="1824" t="s">
        <v>1398</v>
      </c>
      <c r="L5" s="1296"/>
      <c r="M5" s="1297"/>
    </row>
    <row r="6" spans="1:37" ht="18" customHeight="1">
      <c r="A6" s="1294" t="s">
        <v>1032</v>
      </c>
      <c r="B6" s="3257" t="s">
        <v>1399</v>
      </c>
      <c r="C6" s="1299">
        <f ca="1">ROUND(F6*F8*F7*(1-F9)/10000,0)</f>
        <v>0</v>
      </c>
      <c r="D6" s="164" t="s">
        <v>3034</v>
      </c>
      <c r="E6" s="347" t="s">
        <v>1401</v>
      </c>
      <c r="F6" s="348">
        <f ca="1">INDIRECT("'数据-取费表'!u"&amp;$G$1)</f>
        <v>0</v>
      </c>
      <c r="G6" s="1853"/>
      <c r="H6" s="1294" t="s">
        <v>1032</v>
      </c>
      <c r="I6" s="3257" t="s">
        <v>1399</v>
      </c>
      <c r="J6" s="346">
        <f ca="1">ROUND(M6*M8*M7*(1-M9)/10000,0)</f>
        <v>0</v>
      </c>
      <c r="K6" s="164" t="s">
        <v>3033</v>
      </c>
      <c r="L6" s="347" t="s">
        <v>1401</v>
      </c>
      <c r="M6" s="348">
        <f ca="1">INDIRECT("'数据-取费表'!z"&amp;$G$1)</f>
        <v>0</v>
      </c>
    </row>
    <row r="7" spans="1:37" ht="18" customHeight="1">
      <c r="A7" s="1298"/>
      <c r="B7" s="3258"/>
      <c r="C7" s="1300"/>
      <c r="D7" s="352"/>
      <c r="E7" s="1301" t="s">
        <v>1402</v>
      </c>
      <c r="F7" s="348">
        <f ca="1">IF(INDIRECT("'数据-取费表'!ah"&amp;$G$1)="",INDIRECT("'数据-取费表'!k"&amp;$G$1),INDIRECT("'数据-取费表'!ah"&amp;$G$1))</f>
        <v>0</v>
      </c>
      <c r="G7" s="1853"/>
      <c r="H7" s="349"/>
      <c r="I7" s="3258"/>
      <c r="J7" s="351"/>
      <c r="K7" s="352"/>
      <c r="L7" s="347" t="s">
        <v>1402</v>
      </c>
      <c r="M7" s="348">
        <f ca="1">F7</f>
        <v>0</v>
      </c>
    </row>
    <row r="8" spans="1:37" ht="18" customHeight="1">
      <c r="A8" s="349"/>
      <c r="B8" s="3258"/>
      <c r="C8" s="351"/>
      <c r="D8" s="352"/>
      <c r="E8" s="347" t="s">
        <v>1403</v>
      </c>
      <c r="F8" s="348">
        <f ca="1">INDIRECT("'数据-取费表'!ai"&amp;$G$1)</f>
        <v>0</v>
      </c>
      <c r="G8" s="1853"/>
      <c r="H8" s="349"/>
      <c r="I8" s="3258"/>
      <c r="J8" s="351"/>
      <c r="K8" s="352"/>
      <c r="L8" s="347" t="s">
        <v>1403</v>
      </c>
      <c r="M8" s="348">
        <f ca="1">INDIRECT("'数据-取费表'!ai"&amp;$G$1)</f>
        <v>0</v>
      </c>
    </row>
    <row r="9" spans="1:37" ht="18" customHeight="1">
      <c r="A9" s="349"/>
      <c r="B9" s="3259"/>
      <c r="C9" s="351"/>
      <c r="D9" s="352"/>
      <c r="E9" s="347" t="s">
        <v>1404</v>
      </c>
      <c r="F9" s="357">
        <f ca="1">INDIRECT("'数据-取费表'!w"&amp;$G$1)</f>
        <v>0</v>
      </c>
      <c r="G9" s="1853"/>
      <c r="H9" s="349"/>
      <c r="I9" s="3259"/>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3043</v>
      </c>
      <c r="E10" s="358" t="s">
        <v>1406</v>
      </c>
      <c r="F10" s="1369"/>
      <c r="G10" s="1853"/>
      <c r="H10" s="1294" t="s">
        <v>1036</v>
      </c>
      <c r="I10" s="1825" t="s">
        <v>1405</v>
      </c>
      <c r="J10" s="346">
        <f ca="1">ROUND(IF(M10="押一",J6/12*M11,IF(M10="押二",J6/12*2*M11,IF(M10="押三",J6/12*3*M11,J11*M11))),0)</f>
        <v>0</v>
      </c>
      <c r="K10" s="1826" t="s">
        <v>3042</v>
      </c>
      <c r="L10" s="358" t="s">
        <v>1406</v>
      </c>
      <c r="M10" s="1369" t="s">
        <v>1407</v>
      </c>
    </row>
    <row r="11" spans="1:37" ht="18" customHeight="1">
      <c r="A11" s="353"/>
      <c r="B11" s="1827" t="s">
        <v>1384</v>
      </c>
      <c r="C11" s="1181"/>
      <c r="D11" s="1828"/>
      <c r="E11" s="358" t="s">
        <v>1408</v>
      </c>
      <c r="F11" s="359">
        <f ca="1">'数据-取费表'!B39</f>
        <v>1.4999999999999999E-2</v>
      </c>
      <c r="G11" s="1853"/>
      <c r="H11" s="1302"/>
      <c r="I11" s="1827" t="s">
        <v>1384</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INDIRECT("'数据-取费表'!m"&amp;$G$1)+INDIRECT("'数据-取费表'!t"&amp;$G$1)</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ROUND(F17*(F43+INDIRECT("'数据-取费表'!S"&amp;$G$1))/10000,0)</f>
        <v>0</v>
      </c>
      <c r="D17" s="347" t="s">
        <v>1423</v>
      </c>
      <c r="E17" s="347" t="s">
        <v>1424</v>
      </c>
      <c r="F17" s="26">
        <f>'数据-取费表'!B35</f>
        <v>200</v>
      </c>
      <c r="G17" s="1856"/>
      <c r="H17" s="1204" t="s">
        <v>1032</v>
      </c>
      <c r="I17" s="347" t="s">
        <v>1425</v>
      </c>
      <c r="J17" s="24">
        <f ca="1">ROUND(IF(项目基本情况!B11="自然人",J5*M17,J18+J19+J20),1)</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ROUND(J5*M18/(1+'数据-取费表'!C42),2)</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IF(K19="按租金收入计税",ROUND(J5*M19,2),ROUND(C29*M19*0.7,2))</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ROUND(M20*M21/10000,2)</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18</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ROUND(J14*M22,1)</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ROUND(J13*M23,1)</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ROUND(J5*M24,1)</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ROUND(IF(项目基本情况!B11="自然人",C5*F31,C32+C33+C34),1)</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IF(项目基本情况!B11="自然人","——",ROUND(C5*F32/(1+'数据-取费表'!C42),2))</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IF(项目基本情况!B11="自然人","——",ROUND(F34*F35/10000,2))</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ROUND(C29*F36,1)</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ROUND(C13*F37,1)</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ROUND(C40*10000/F43,0)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1515</v>
      </c>
      <c r="P45" s="1841"/>
      <c r="Q45" s="1841"/>
      <c r="R45" s="1841"/>
    </row>
    <row r="46" spans="1:18" s="1844" customFormat="1" ht="13.5" thickBot="1">
      <c r="A46" s="1872" t="s">
        <v>1516</v>
      </c>
      <c r="C46" s="1873" t="e">
        <f ca="1">C68-C40</f>
        <v>#DIV/0!</v>
      </c>
      <c r="D46" s="1874" t="str">
        <f>C2</f>
        <v>万元</v>
      </c>
      <c r="E46" s="1868"/>
      <c r="F46" s="1868"/>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37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ROUND(F49*F51*F50*(1-F52)/10000,0)</f>
        <v>0</v>
      </c>
      <c r="D49" s="1279" t="s">
        <v>3035</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371"/>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24.75" thickBot="1">
      <c r="A53" s="1408" t="s">
        <v>1134</v>
      </c>
      <c r="B53" s="1833" t="s">
        <v>1405</v>
      </c>
      <c r="C53" s="361">
        <f ca="1">ROUND(IF(F53="押一",C49/12*F11,IF(F53="押二",C49/12*2*F11,IF(F53="押三",C49/12*3*F11,C54*F11))),0)</f>
        <v>0</v>
      </c>
      <c r="D53" s="1826" t="s">
        <v>3042</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5" t="s">
        <v>1544</v>
      </c>
      <c r="L53" s="3256"/>
      <c r="O53" s="1886" t="s">
        <v>1043</v>
      </c>
      <c r="P53" s="1887" t="s">
        <v>1545</v>
      </c>
      <c r="Q53" s="1888" t="e">
        <f ca="1">Q47+Q48</f>
        <v>#DIV/0!</v>
      </c>
      <c r="R53" s="1888" t="s">
        <v>1044</v>
      </c>
    </row>
    <row r="54" spans="1:18" s="1844" customFormat="1" ht="13.5" thickBot="1">
      <c r="A54" s="1409"/>
      <c r="B54" s="1827" t="s">
        <v>1384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t="s">
        <v>1549</v>
      </c>
      <c r="O55" s="1879" t="s">
        <v>1518</v>
      </c>
      <c r="P55" s="1880" t="s">
        <v>1519</v>
      </c>
      <c r="Q55" s="1881" t="s">
        <v>1520</v>
      </c>
      <c r="R55" s="1881" t="s">
        <v>1521</v>
      </c>
    </row>
    <row r="56" spans="1:18" s="1844" customFormat="1" ht="25.5" thickTop="1" thickBot="1">
      <c r="A56" s="1179">
        <v>2</v>
      </c>
      <c r="B56" s="1180" t="s">
        <v>1410</v>
      </c>
      <c r="C56" s="276">
        <f ca="1">C13</f>
        <v>0</v>
      </c>
      <c r="D56" s="1916"/>
      <c r="E56" s="1917"/>
      <c r="F56" s="1909"/>
      <c r="I56" s="1918" t="s">
        <v>1550</v>
      </c>
      <c r="J56" s="1919"/>
      <c r="K56" s="1889" t="s">
        <v>1551</v>
      </c>
      <c r="L56" s="1892">
        <f ca="1">IF(L48&lt;J51,"——",L48-J53)</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1553</v>
      </c>
      <c r="L57" s="1892">
        <f ca="1">IF(L48&lt;J51,"——",IF(L55="比较法",L49,IF(L55="基准地价",L50,L51)))</f>
        <v>0</v>
      </c>
      <c r="O57" s="1886" t="s">
        <v>1038</v>
      </c>
      <c r="P57" s="1887" t="s">
        <v>1554</v>
      </c>
      <c r="Q57" s="1888" t="e">
        <f ca="1">L60</f>
        <v>#DIV/0!</v>
      </c>
      <c r="R57" s="1888" t="s">
        <v>1555</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1557</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ROUND(IF(项目基本情况!B11="自然人",C48*F59,C60+C61+C62),1)</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IF(项目基本情况!B11="自然人","——",IF(D61="按租金收入计税",ROUND(C48*F61,2),IF(D61="按房产原值计税",ROUND(C57*F61*0.7,2),INDIRECT("'数据-取费表'!Aj"&amp;$G$1))))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IF(项目基本情况!B11="自然人","——",ROUND(F62*F63/10000,2))</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ROUND(C57*F64,1)</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ROUND(C56*F65,1)</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ROUND(C48*F66,1)</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c r="O70" s="1896" t="s">
        <v>1046</v>
      </c>
      <c r="P70" s="1936" t="s">
        <v>1581</v>
      </c>
      <c r="Q70" s="1888">
        <f ca="1">C13</f>
        <v>0</v>
      </c>
      <c r="R70" s="1888" t="s">
        <v>1525</v>
      </c>
    </row>
    <row r="71" spans="1:18" s="1844" customFormat="1" ht="13.5" thickBot="1">
      <c r="A71" s="1193" t="s">
        <v>1030</v>
      </c>
      <c r="B71" s="1194" t="s">
        <v>1483</v>
      </c>
      <c r="C71" s="382" t="e">
        <f ca="1">ROUND(C68*10000/F71,0)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8" priority="56">
      <formula>$L$48&gt;$J$51</formula>
    </cfRule>
  </conditionalFormatting>
  <conditionalFormatting sqref="I55 I60">
    <cfRule type="expression" dxfId="117" priority="57">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1585</v>
      </c>
      <c r="B1" s="782"/>
      <c r="C1" s="1839"/>
      <c r="D1" s="1822"/>
      <c r="E1" s="1823" t="s">
        <v>1383</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1586</v>
      </c>
      <c r="B2" s="1846" t="e">
        <f ca="1">ROUND(D2/10000,0)</f>
        <v>#DIV/0!</v>
      </c>
      <c r="C2" s="1847" t="s">
        <v>1587</v>
      </c>
      <c r="D2" s="1940" t="e">
        <f ca="1">C40+J29+L46</f>
        <v>#DIV/0!</v>
      </c>
      <c r="E2" s="1848" t="s">
        <v>1588</v>
      </c>
      <c r="F2" s="1849"/>
      <c r="G2" s="1850"/>
      <c r="H2" s="1842"/>
      <c r="I2" s="1842"/>
      <c r="J2" s="1842"/>
      <c r="K2" s="1843"/>
      <c r="L2" s="1842"/>
      <c r="M2" s="1842"/>
    </row>
    <row r="3" spans="1:37" ht="18" customHeight="1" thickBot="1">
      <c r="A3" s="1851" t="s">
        <v>1589</v>
      </c>
      <c r="B3" s="1852">
        <f ca="1">IF(ISERROR(D2/F43),0,ROUND(D2/F43,0))</f>
        <v>0</v>
      </c>
      <c r="C3" s="1847" t="s">
        <v>1590</v>
      </c>
      <c r="D3" s="1847"/>
      <c r="E3" s="1848"/>
      <c r="F3" s="1849"/>
      <c r="G3" s="1850"/>
      <c r="H3" s="744" t="s">
        <v>1584</v>
      </c>
      <c r="I3" s="1842"/>
      <c r="J3" s="1842"/>
      <c r="K3" s="1843"/>
      <c r="L3" s="1842"/>
      <c r="M3" s="1842"/>
    </row>
    <row r="4" spans="1:37" ht="18" customHeight="1">
      <c r="A4" s="340" t="s">
        <v>1591</v>
      </c>
      <c r="B4" s="341" t="s">
        <v>1592</v>
      </c>
      <c r="C4" s="341" t="s">
        <v>1593</v>
      </c>
      <c r="D4" s="341" t="s">
        <v>1594</v>
      </c>
      <c r="E4" s="342" t="s">
        <v>1595</v>
      </c>
      <c r="F4" s="343"/>
      <c r="G4" s="1853"/>
      <c r="H4" s="340" t="s">
        <v>1591</v>
      </c>
      <c r="I4" s="341" t="s">
        <v>1592</v>
      </c>
      <c r="J4" s="341" t="s">
        <v>1593</v>
      </c>
      <c r="K4" s="341" t="s">
        <v>1594</v>
      </c>
      <c r="L4" s="342" t="s">
        <v>1595</v>
      </c>
      <c r="M4" s="343"/>
    </row>
    <row r="5" spans="1:37" ht="18" customHeight="1">
      <c r="A5" s="344">
        <v>1</v>
      </c>
      <c r="B5" s="345" t="s">
        <v>1596</v>
      </c>
      <c r="C5" s="1295">
        <f ca="1">C6+C10+C12</f>
        <v>0</v>
      </c>
      <c r="D5" s="1824" t="s">
        <v>1597</v>
      </c>
      <c r="E5" s="1296"/>
      <c r="F5" s="1297"/>
      <c r="G5" s="1853"/>
      <c r="H5" s="344">
        <v>1</v>
      </c>
      <c r="I5" s="345" t="s">
        <v>1596</v>
      </c>
      <c r="J5" s="1295">
        <f ca="1">J6+J10+J12</f>
        <v>0</v>
      </c>
      <c r="K5" s="1824" t="s">
        <v>1597</v>
      </c>
      <c r="L5" s="1296"/>
      <c r="M5" s="1297"/>
    </row>
    <row r="6" spans="1:37" ht="18" customHeight="1">
      <c r="A6" s="1294" t="s">
        <v>1032</v>
      </c>
      <c r="B6" s="3257" t="s">
        <v>1399</v>
      </c>
      <c r="C6" s="1299">
        <f ca="1">ROUND(F6*F8*F7*(1-F9),0)</f>
        <v>0</v>
      </c>
      <c r="D6" s="164" t="s">
        <v>3031</v>
      </c>
      <c r="E6" s="347" t="s">
        <v>1401</v>
      </c>
      <c r="F6" s="348">
        <f ca="1">INDIRECT("'数据-取费表'!u"&amp;$G$1)</f>
        <v>0</v>
      </c>
      <c r="G6" s="1853"/>
      <c r="H6" s="1294" t="s">
        <v>1032</v>
      </c>
      <c r="I6" s="3257" t="s">
        <v>1399</v>
      </c>
      <c r="J6" s="346">
        <f ca="1">ROUND(M6*M8*M7*(1-M9),0)</f>
        <v>0</v>
      </c>
      <c r="K6" s="1836" t="s">
        <v>3032</v>
      </c>
      <c r="L6" s="347" t="s">
        <v>1401</v>
      </c>
      <c r="M6" s="348">
        <f ca="1">INDIRECT("'数据-取费表'!z"&amp;$G$1)</f>
        <v>0</v>
      </c>
    </row>
    <row r="7" spans="1:37" ht="18" customHeight="1">
      <c r="A7" s="1298"/>
      <c r="B7" s="3258"/>
      <c r="C7" s="1300"/>
      <c r="D7" s="352"/>
      <c r="E7" s="1301" t="s">
        <v>1402</v>
      </c>
      <c r="F7" s="348">
        <f ca="1">IF(INDIRECT("'数据-取费表'!ah"&amp;$G$1)="",INDIRECT("'数据-取费表'!k"&amp;$G$1),INDIRECT("'数据-取费表'!ah"&amp;$G$1))</f>
        <v>0</v>
      </c>
      <c r="G7" s="1853"/>
      <c r="H7" s="349"/>
      <c r="I7" s="3258"/>
      <c r="J7" s="351"/>
      <c r="K7" s="352"/>
      <c r="L7" s="347" t="s">
        <v>1402</v>
      </c>
      <c r="M7" s="348">
        <f ca="1">F7</f>
        <v>0</v>
      </c>
    </row>
    <row r="8" spans="1:37" ht="18" customHeight="1">
      <c r="A8" s="349"/>
      <c r="B8" s="3258"/>
      <c r="C8" s="351"/>
      <c r="D8" s="352"/>
      <c r="E8" s="347" t="s">
        <v>1403</v>
      </c>
      <c r="F8" s="348">
        <f ca="1">INDIRECT("'数据-取费表'!ai"&amp;$G$1)</f>
        <v>0</v>
      </c>
      <c r="G8" s="1853"/>
      <c r="H8" s="349"/>
      <c r="I8" s="3258"/>
      <c r="J8" s="351"/>
      <c r="K8" s="352"/>
      <c r="L8" s="347" t="s">
        <v>1403</v>
      </c>
      <c r="M8" s="348">
        <f ca="1">INDIRECT("'数据-取费表'!ai"&amp;$G$1)</f>
        <v>0</v>
      </c>
    </row>
    <row r="9" spans="1:37" ht="18" customHeight="1">
      <c r="A9" s="349"/>
      <c r="B9" s="3259"/>
      <c r="C9" s="351"/>
      <c r="D9" s="352"/>
      <c r="E9" s="347" t="s">
        <v>1404</v>
      </c>
      <c r="F9" s="357">
        <f ca="1">INDIRECT("'数据-取费表'!w"&amp;$G$1)</f>
        <v>0</v>
      </c>
      <c r="G9" s="1853"/>
      <c r="H9" s="349"/>
      <c r="I9" s="3259"/>
      <c r="J9" s="351"/>
      <c r="K9" s="352"/>
      <c r="L9" s="358" t="s">
        <v>1404</v>
      </c>
      <c r="M9" s="359">
        <f ca="1">INDIRECT("'数据-取费表'!ab"&amp;$G$1)</f>
        <v>0</v>
      </c>
    </row>
    <row r="10" spans="1:37" ht="18" customHeight="1">
      <c r="A10" s="1294" t="s">
        <v>1036</v>
      </c>
      <c r="B10" s="1825" t="s">
        <v>1405</v>
      </c>
      <c r="C10" s="361">
        <f ca="1">ROUND(IF(F10="押一",C6/12*F11,IF(F10="押二",C6/12*2*F11,IF(F10="押三",C6/12*3*F11,C11*F11))),0)</f>
        <v>0</v>
      </c>
      <c r="D10" s="1826" t="s">
        <v>3042</v>
      </c>
      <c r="E10" s="358" t="s">
        <v>1406</v>
      </c>
      <c r="F10" s="1369"/>
      <c r="G10" s="1853"/>
      <c r="H10" s="1294" t="s">
        <v>1036</v>
      </c>
      <c r="I10" s="1825" t="s">
        <v>1405</v>
      </c>
      <c r="J10" s="346">
        <f ca="1">ROUND(IF(M10="押一",J6/12*M11,IF(M10="押二",J6/12*2*M11,IF(M10="押三",J6/12*3*M11,J11*M11))),0)</f>
        <v>0</v>
      </c>
      <c r="K10" s="1837" t="s">
        <v>3044</v>
      </c>
      <c r="L10" s="358" t="s">
        <v>1406</v>
      </c>
      <c r="M10" s="1369"/>
    </row>
    <row r="11" spans="1:37" ht="18" customHeight="1">
      <c r="A11" s="353"/>
      <c r="B11" s="1827" t="s">
        <v>1598</v>
      </c>
      <c r="C11" s="1181"/>
      <c r="D11" s="352"/>
      <c r="E11" s="358" t="s">
        <v>1408</v>
      </c>
      <c r="F11" s="359">
        <f ca="1">'数据-取费表'!B39</f>
        <v>1.4999999999999999E-2</v>
      </c>
      <c r="G11" s="1853"/>
      <c r="H11" s="1302"/>
      <c r="I11" s="1827" t="s">
        <v>1599</v>
      </c>
      <c r="J11" s="1181"/>
      <c r="K11" s="748"/>
      <c r="L11" s="358" t="s">
        <v>1408</v>
      </c>
      <c r="M11" s="1059">
        <f ca="1">'数据-取费表'!B39</f>
        <v>1.4999999999999999E-2</v>
      </c>
    </row>
    <row r="12" spans="1:37" ht="18" customHeight="1" thickBot="1">
      <c r="A12" s="1336" t="s">
        <v>1072</v>
      </c>
      <c r="B12" s="1829" t="s">
        <v>1409</v>
      </c>
      <c r="C12" s="1337"/>
      <c r="D12" s="1338"/>
      <c r="E12" s="1343"/>
      <c r="F12" s="1339"/>
      <c r="G12" s="1853"/>
      <c r="H12" s="1336" t="s">
        <v>1072</v>
      </c>
      <c r="I12" s="1829"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3"/>
      <c r="H13" s="1332">
        <v>2</v>
      </c>
      <c r="I13" s="1333" t="s">
        <v>1410</v>
      </c>
      <c r="J13" s="1293">
        <f ca="1">ROUND(J14*J15,0)</f>
        <v>0</v>
      </c>
      <c r="K13" s="1340" t="s">
        <v>1411</v>
      </c>
      <c r="L13" s="1854"/>
      <c r="M13" s="1855"/>
    </row>
    <row r="14" spans="1:37" ht="18" customHeight="1">
      <c r="A14" s="1204" t="s">
        <v>1031</v>
      </c>
      <c r="B14" s="347" t="s">
        <v>1413</v>
      </c>
      <c r="C14" s="363">
        <f ca="1">ROUND(INDIRECT("'数据-取费表'!l"&amp;$G$1)*F43+'数据-取费表'!L14*INDIRECT("'数据-取费表'!S"&amp;$G$1),0)</f>
        <v>0</v>
      </c>
      <c r="D14" s="1802" t="s">
        <v>1414</v>
      </c>
      <c r="E14" s="1796"/>
      <c r="F14" s="364"/>
      <c r="G14" s="1853"/>
      <c r="H14" s="1204" t="s">
        <v>1032</v>
      </c>
      <c r="I14" s="347" t="s">
        <v>1415</v>
      </c>
      <c r="J14" s="24">
        <f ca="1">C29</f>
        <v>0</v>
      </c>
      <c r="K14" s="15"/>
      <c r="L14" s="982"/>
      <c r="M14" s="983"/>
    </row>
    <row r="15" spans="1:37" s="1860" customFormat="1" ht="18" customHeight="1" thickBot="1">
      <c r="A15" s="1204" t="s">
        <v>1033</v>
      </c>
      <c r="B15" s="347" t="s">
        <v>1416</v>
      </c>
      <c r="C15" s="24">
        <f ca="1">ROUND(C14*F15,0)</f>
        <v>0</v>
      </c>
      <c r="D15" s="365" t="s">
        <v>1417</v>
      </c>
      <c r="E15" s="365" t="s">
        <v>1418</v>
      </c>
      <c r="F15" s="366">
        <f>'数据-取费表'!B33</f>
        <v>0.03</v>
      </c>
      <c r="G15" s="1856"/>
      <c r="H15" s="1342" t="s">
        <v>1036</v>
      </c>
      <c r="I15" s="1343" t="s">
        <v>1412</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3"/>
      <c r="H16" s="1332" t="s">
        <v>1027</v>
      </c>
      <c r="I16" s="1333" t="s">
        <v>1420</v>
      </c>
      <c r="J16" s="355">
        <f ca="1">ROUND(J17+J22+J23+J24,0)</f>
        <v>0</v>
      </c>
      <c r="K16" s="1340" t="s">
        <v>1421</v>
      </c>
      <c r="L16" s="1341"/>
      <c r="M16" s="1297"/>
    </row>
    <row r="17" spans="1:37" s="1860" customFormat="1" ht="18" customHeight="1">
      <c r="A17" s="1204" t="s">
        <v>1386</v>
      </c>
      <c r="B17" s="347" t="s">
        <v>1422</v>
      </c>
      <c r="C17" s="24">
        <f ca="1">ROUND(F17*(F43+INDIRECT("'数据-取费表'!S"&amp;$G$1)),0)</f>
        <v>0</v>
      </c>
      <c r="D17" s="347" t="s">
        <v>1423</v>
      </c>
      <c r="E17" s="347" t="s">
        <v>1424</v>
      </c>
      <c r="F17" s="26">
        <f>'数据-取费表'!B35</f>
        <v>200</v>
      </c>
      <c r="G17" s="1856"/>
      <c r="H17" s="1204" t="s">
        <v>1032</v>
      </c>
      <c r="I17" s="347" t="s">
        <v>1425</v>
      </c>
      <c r="J17" s="24">
        <f ca="1">ROUND(IF(项目基本情况!B11="自然人",J5*M17,J18+J19+J20),0)</f>
        <v>0</v>
      </c>
      <c r="K17" s="1802" t="s">
        <v>1426</v>
      </c>
      <c r="L17" s="1800" t="s">
        <v>1427</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1387</v>
      </c>
      <c r="B18" s="347" t="s">
        <v>1428</v>
      </c>
      <c r="C18" s="24">
        <f ca="1">ROUND(C14*F18,0)</f>
        <v>0</v>
      </c>
      <c r="D18" s="347" t="s">
        <v>1417</v>
      </c>
      <c r="E18" s="347" t="s">
        <v>1418</v>
      </c>
      <c r="F18" s="367">
        <f>'数据-取费表'!B36</f>
        <v>1.4999999999999999E-2</v>
      </c>
      <c r="G18" s="1856"/>
      <c r="H18" s="1204" t="s">
        <v>1031</v>
      </c>
      <c r="I18" s="347" t="s">
        <v>1429</v>
      </c>
      <c r="J18" s="24">
        <f ca="1">ROUND(J5*M18/(1+'数据-取费表'!C42),0)</f>
        <v>0</v>
      </c>
      <c r="K18" s="1800" t="s">
        <v>1430</v>
      </c>
      <c r="L18" s="347" t="s">
        <v>1418</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1032</v>
      </c>
      <c r="B19" s="347" t="s">
        <v>1431</v>
      </c>
      <c r="C19" s="24">
        <f ca="1">SUM(C14:C18)</f>
        <v>0</v>
      </c>
      <c r="D19" s="140" t="s">
        <v>1432</v>
      </c>
      <c r="E19" s="1820"/>
      <c r="F19" s="26"/>
      <c r="G19" s="1853"/>
      <c r="H19" s="1204" t="s">
        <v>1033</v>
      </c>
      <c r="I19" s="347" t="s">
        <v>1433</v>
      </c>
      <c r="J19" s="24">
        <f ca="1">IF(K19="按租金收入计税",ROUND(J5*M19,0),ROUND(C29*M19*0.7,0))</f>
        <v>0</v>
      </c>
      <c r="K19" s="1830" t="s">
        <v>1434</v>
      </c>
      <c r="L19" s="347" t="s">
        <v>1418</v>
      </c>
      <c r="M19" s="367">
        <f>IF(K19="按租金收入计税",'数据-取费表'!B51,'数据-取费表'!B50)</f>
        <v>1.2E-2</v>
      </c>
    </row>
    <row r="20" spans="1:37" s="1860" customFormat="1" ht="18" customHeight="1">
      <c r="A20" s="1204" t="s">
        <v>1036</v>
      </c>
      <c r="B20" s="347" t="s">
        <v>1435</v>
      </c>
      <c r="C20" s="24">
        <f ca="1">ROUND(C19*F20,0)</f>
        <v>0</v>
      </c>
      <c r="D20" s="369" t="s">
        <v>1436</v>
      </c>
      <c r="E20" s="347" t="s">
        <v>1418</v>
      </c>
      <c r="F20" s="367">
        <f>'数据-取费表'!B37</f>
        <v>0.03</v>
      </c>
      <c r="G20" s="1856"/>
      <c r="H20" s="1204" t="s">
        <v>1385</v>
      </c>
      <c r="I20" s="164" t="s">
        <v>1437</v>
      </c>
      <c r="J20" s="25">
        <f ca="1">ROUND(M20*M21,0)</f>
        <v>0</v>
      </c>
      <c r="K20" s="370" t="s">
        <v>1438</v>
      </c>
      <c r="L20" s="347" t="s">
        <v>1439</v>
      </c>
      <c r="M20" s="371">
        <f>'数据-取费表'!B52</f>
        <v>0</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1072</v>
      </c>
      <c r="B21" s="347" t="s">
        <v>1440</v>
      </c>
      <c r="C21" s="24" t="s">
        <v>1</v>
      </c>
      <c r="D21" s="369" t="s">
        <v>1441</v>
      </c>
      <c r="E21" s="347" t="s">
        <v>1442</v>
      </c>
      <c r="F21" s="367">
        <f>'数据-取费表'!B38</f>
        <v>0.03</v>
      </c>
      <c r="G21" s="1856"/>
      <c r="H21" s="372"/>
      <c r="I21" s="356"/>
      <c r="J21" s="29"/>
      <c r="K21" s="373"/>
      <c r="L21" s="347" t="s">
        <v>1443</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0"/>
      <c r="F22" s="26"/>
      <c r="G22" s="1853"/>
      <c r="H22" s="1204" t="s">
        <v>1036</v>
      </c>
      <c r="I22" s="347" t="s">
        <v>1445</v>
      </c>
      <c r="J22" s="24">
        <f ca="1">ROUND(J14*M22,0)</f>
        <v>0</v>
      </c>
      <c r="K22" s="1800" t="s">
        <v>1446</v>
      </c>
      <c r="L22" s="347" t="s">
        <v>1418</v>
      </c>
      <c r="M22" s="374">
        <f ca="1">INDIRECT("'数据-取费表'!Ak"&amp;$G$1)</f>
        <v>0</v>
      </c>
    </row>
    <row r="23" spans="1:37" s="1860"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3</v>
      </c>
      <c r="G23" s="1856"/>
      <c r="H23" s="1204" t="s">
        <v>1072</v>
      </c>
      <c r="I23" s="347" t="s">
        <v>1449</v>
      </c>
      <c r="J23" s="24">
        <f ca="1">ROUND(J13*M23,0)</f>
        <v>0</v>
      </c>
      <c r="K23" s="1800" t="s">
        <v>1450</v>
      </c>
      <c r="L23" s="347" t="s">
        <v>1451</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1452</v>
      </c>
      <c r="B24" s="347" t="s">
        <v>1453</v>
      </c>
      <c r="C24" s="24">
        <f ca="1">ROUND(IF('数据-取费表'!B22&lt;=1,F21*F24*F23/2,F21*(POWER((1+F24),F23/2)-1)),4)</f>
        <v>2.2000000000000001E-3</v>
      </c>
      <c r="D24" s="375" t="str">
        <f>IF(F23&lt;=1,"销售费用×利率×(建设周期÷2)","销售费用×((1+利率)^(建设周期÷2)-1)")</f>
        <v>销售费用×((1+利率)^(建设周期÷2)-1)</v>
      </c>
      <c r="E24" s="347" t="s">
        <v>1454</v>
      </c>
      <c r="F24" s="377">
        <f ca="1">'数据-取费表'!B40</f>
        <v>4.7500000000000001E-2</v>
      </c>
      <c r="G24" s="1856"/>
      <c r="H24" s="1342" t="s">
        <v>1389</v>
      </c>
      <c r="I24" s="1343" t="s">
        <v>1435</v>
      </c>
      <c r="J24" s="1344">
        <f ca="1">ROUND(J5*M24,0)</f>
        <v>0</v>
      </c>
      <c r="K24" s="1345" t="s">
        <v>1455</v>
      </c>
      <c r="L24" s="1343" t="s">
        <v>1451</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1456</v>
      </c>
      <c r="B25" s="347" t="s">
        <v>1457</v>
      </c>
      <c r="C25" s="24"/>
      <c r="D25" s="140" t="s">
        <v>1458</v>
      </c>
      <c r="E25" s="1820"/>
      <c r="F25" s="26"/>
      <c r="G25" s="1853"/>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3"/>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3"/>
      <c r="H27" s="349"/>
      <c r="I27" s="350"/>
      <c r="J27" s="351"/>
      <c r="K27" s="378" t="s">
        <v>1469</v>
      </c>
      <c r="L27" s="347" t="s">
        <v>1470</v>
      </c>
      <c r="M27" s="379">
        <f ca="1">INDIRECT("'数据-取费表'!ag"&amp;$G$1)</f>
        <v>0</v>
      </c>
    </row>
    <row r="28" spans="1:37" s="1860" customFormat="1" ht="18" customHeight="1">
      <c r="A28" s="1204" t="s">
        <v>1034</v>
      </c>
      <c r="B28" s="347" t="s">
        <v>1471</v>
      </c>
      <c r="C28" s="24">
        <f>ROUND(F28/(1+'数据-取费表'!C42),4)</f>
        <v>5.33E-2</v>
      </c>
      <c r="D28" s="369" t="s">
        <v>1472</v>
      </c>
      <c r="E28" s="347" t="s">
        <v>1418</v>
      </c>
      <c r="F28" s="367">
        <f>'数据-取费表'!B41</f>
        <v>5.6000000000000001E-2</v>
      </c>
      <c r="G28" s="1856"/>
      <c r="H28" s="353"/>
      <c r="I28" s="354"/>
      <c r="J28" s="355"/>
      <c r="K28" s="373"/>
      <c r="L28" s="347" t="s">
        <v>1473</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1035</v>
      </c>
      <c r="B29" s="1343" t="s">
        <v>1474</v>
      </c>
      <c r="C29" s="1344">
        <f ca="1">ROUND((C19+C20+C23+C26)/(1-F21-C24-C27-C28),0)</f>
        <v>0</v>
      </c>
      <c r="D29" s="1345"/>
      <c r="E29" s="1343"/>
      <c r="F29" s="1346"/>
      <c r="G29" s="1856"/>
      <c r="H29" s="380" t="s">
        <v>1030</v>
      </c>
      <c r="I29" s="381" t="s">
        <v>1475</v>
      </c>
      <c r="J29" s="382">
        <f ca="1">ROUND(J26/(1+F40)^F41,0)</f>
        <v>0</v>
      </c>
      <c r="K29" s="383" t="s">
        <v>1476</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1027</v>
      </c>
      <c r="B30" s="1333" t="s">
        <v>1420</v>
      </c>
      <c r="C30" s="355">
        <f ca="1">ROUND(C31+C36+C37+C38,0)</f>
        <v>0</v>
      </c>
      <c r="D30" s="1340" t="s">
        <v>1421</v>
      </c>
      <c r="E30" s="1341"/>
      <c r="F30" s="1297"/>
      <c r="G30" s="1853"/>
      <c r="H30" s="745"/>
      <c r="I30" s="746"/>
      <c r="J30" s="747"/>
      <c r="K30" s="748"/>
      <c r="L30" s="749"/>
      <c r="M30" s="750"/>
    </row>
    <row r="31" spans="1:37" ht="18" customHeight="1">
      <c r="A31" s="1204" t="s">
        <v>1032</v>
      </c>
      <c r="B31" s="347" t="s">
        <v>1425</v>
      </c>
      <c r="C31" s="24">
        <f ca="1">ROUND(IF(项目基本情况!B11="自然人",C5*F31,C32+C33+C34),0)</f>
        <v>0</v>
      </c>
      <c r="D31" s="1802" t="s">
        <v>1426</v>
      </c>
      <c r="E31" s="1800" t="s">
        <v>1477</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1031</v>
      </c>
      <c r="B32" s="347" t="s">
        <v>1429</v>
      </c>
      <c r="C32" s="24">
        <f ca="1">IF(项目基本情况!B11="自然人","——",ROUND(C5*F32/(1+'数据-取费表'!C42),0))</f>
        <v>0</v>
      </c>
      <c r="D32" s="1800" t="s">
        <v>1430</v>
      </c>
      <c r="E32" s="347" t="s">
        <v>1418</v>
      </c>
      <c r="F32" s="377">
        <f>'数据-取费表'!B41</f>
        <v>5.6000000000000001E-2</v>
      </c>
      <c r="G32" s="1853"/>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0" t="s">
        <v>1434</v>
      </c>
      <c r="E33" s="347" t="s">
        <v>1418</v>
      </c>
      <c r="F33" s="367">
        <f>IF(D33="按票据","——",IF(D33="按租金收入计税",'数据-取费表'!B51,'数据-取费表'!B50))</f>
        <v>1.2E-2</v>
      </c>
      <c r="G33" s="1853"/>
      <c r="H33" s="1861"/>
      <c r="I33" s="1862"/>
      <c r="J33" s="1863"/>
      <c r="K33" s="1864"/>
      <c r="L33" s="1861"/>
      <c r="M33" s="1861"/>
    </row>
    <row r="34" spans="1:18" ht="18" customHeight="1">
      <c r="A34" s="1294" t="s">
        <v>1385</v>
      </c>
      <c r="B34" s="164" t="s">
        <v>1437</v>
      </c>
      <c r="C34" s="25">
        <f ca="1">IF(项目基本情况!B11="自然人","——",ROUND(F34*F35,))</f>
        <v>0</v>
      </c>
      <c r="D34" s="370" t="s">
        <v>1438</v>
      </c>
      <c r="E34" s="347" t="s">
        <v>1439</v>
      </c>
      <c r="F34" s="371">
        <f>'数据-取费表'!B52</f>
        <v>0</v>
      </c>
      <c r="G34" s="1853"/>
      <c r="H34" s="745"/>
      <c r="I34" s="1862"/>
      <c r="J34" s="1863"/>
      <c r="K34" s="1865"/>
      <c r="L34" s="1866"/>
      <c r="M34" s="1866"/>
    </row>
    <row r="35" spans="1:18" ht="18" customHeight="1">
      <c r="A35" s="1356"/>
      <c r="B35" s="1354"/>
      <c r="C35" s="29"/>
      <c r="D35" s="373"/>
      <c r="E35" s="347" t="s">
        <v>1443</v>
      </c>
      <c r="F35" s="348">
        <f ca="1">INDIRECT("'数据-取费表'!r"&amp;$G$1)</f>
        <v>0</v>
      </c>
      <c r="G35" s="1853"/>
      <c r="H35" s="745"/>
      <c r="I35" s="1862"/>
      <c r="J35" s="1863"/>
      <c r="K35" s="1864"/>
      <c r="L35" s="1861"/>
      <c r="M35" s="1861"/>
    </row>
    <row r="36" spans="1:18" ht="18" customHeight="1">
      <c r="A36" s="1355" t="s">
        <v>1036</v>
      </c>
      <c r="B36" s="347" t="s">
        <v>1445</v>
      </c>
      <c r="C36" s="24">
        <f ca="1">ROUND(C29*F36,0)</f>
        <v>0</v>
      </c>
      <c r="D36" s="1800" t="s">
        <v>1478</v>
      </c>
      <c r="E36" s="347" t="s">
        <v>1418</v>
      </c>
      <c r="F36" s="374">
        <f ca="1">INDIRECT("'数据-取费表'!Ak"&amp;$G$1)</f>
        <v>0</v>
      </c>
      <c r="G36" s="1853"/>
      <c r="H36" s="1861"/>
      <c r="I36" s="1862"/>
      <c r="J36" s="1863"/>
      <c r="K36" s="751"/>
      <c r="L36" s="1861"/>
      <c r="M36" s="1861"/>
    </row>
    <row r="37" spans="1:18" ht="18" customHeight="1">
      <c r="A37" s="1204" t="s">
        <v>1072</v>
      </c>
      <c r="B37" s="347" t="s">
        <v>1449</v>
      </c>
      <c r="C37" s="24">
        <f ca="1">ROUND(C13*F37,0)</f>
        <v>0</v>
      </c>
      <c r="D37" s="1800" t="s">
        <v>1450</v>
      </c>
      <c r="E37" s="347" t="s">
        <v>1451</v>
      </c>
      <c r="F37" s="376">
        <f ca="1">INDIRECT("'数据-取费表'!Al"&amp;$G$1)</f>
        <v>0</v>
      </c>
      <c r="G37" s="1853"/>
      <c r="H37" s="1861"/>
      <c r="I37" s="1862"/>
      <c r="J37" s="1863"/>
      <c r="K37" s="751"/>
      <c r="L37" s="1861"/>
      <c r="M37" s="1861"/>
    </row>
    <row r="38" spans="1:18" ht="18" customHeight="1" thickBot="1">
      <c r="A38" s="1342" t="s">
        <v>1389</v>
      </c>
      <c r="B38" s="1343" t="s">
        <v>1435</v>
      </c>
      <c r="C38" s="1344">
        <f ca="1">ROUND(C5*F38,1)</f>
        <v>0</v>
      </c>
      <c r="D38" s="1345" t="s">
        <v>1455</v>
      </c>
      <c r="E38" s="1343" t="s">
        <v>1451</v>
      </c>
      <c r="F38" s="1339">
        <f ca="1">INDIRECT("'数据-取费表'!Am"&amp;$G$1)</f>
        <v>0</v>
      </c>
      <c r="G38" s="1853"/>
      <c r="H38" s="1861"/>
      <c r="I38" s="1862"/>
      <c r="J38" s="1863"/>
      <c r="K38" s="1867"/>
      <c r="L38" s="1861"/>
      <c r="M38" s="1861"/>
    </row>
    <row r="39" spans="1:18" ht="24.6" customHeight="1" thickTop="1">
      <c r="A39" s="1332" t="s">
        <v>1028</v>
      </c>
      <c r="B39" s="1347" t="s">
        <v>1479</v>
      </c>
      <c r="C39" s="355">
        <f ca="1">C5-C30</f>
        <v>0</v>
      </c>
      <c r="D39" s="1348" t="s">
        <v>1480</v>
      </c>
      <c r="E39" s="1349"/>
      <c r="F39" s="1350"/>
      <c r="G39" s="1853"/>
      <c r="H39" s="1861"/>
      <c r="I39" s="1862"/>
      <c r="J39" s="1863"/>
      <c r="K39" s="1867"/>
      <c r="L39" s="1861"/>
      <c r="M39" s="1861"/>
    </row>
    <row r="40" spans="1:18" ht="18" customHeight="1">
      <c r="A40" s="344" t="s">
        <v>1029</v>
      </c>
      <c r="B40" s="345" t="s">
        <v>1481</v>
      </c>
      <c r="C40" s="346" t="e">
        <f ca="1">ROUND(C39*(1-((1+F42)/(1+F40))^F41)/(F40-F42),0)</f>
        <v>#DIV/0!</v>
      </c>
      <c r="D40" s="370" t="s">
        <v>1465</v>
      </c>
      <c r="E40" s="347" t="s">
        <v>1466</v>
      </c>
      <c r="F40" s="357">
        <f ca="1">INDIRECT("'数据-取费表'!I"&amp;$G$1)</f>
        <v>0</v>
      </c>
      <c r="G40" s="1853"/>
      <c r="H40" s="1841"/>
      <c r="I40" s="1862"/>
      <c r="J40" s="1863"/>
      <c r="K40" s="1867"/>
      <c r="L40" s="1841"/>
      <c r="M40" s="1841"/>
    </row>
    <row r="41" spans="1:18" ht="18" customHeight="1">
      <c r="A41" s="349"/>
      <c r="B41" s="350"/>
      <c r="C41" s="351"/>
      <c r="D41" s="378" t="s">
        <v>1482</v>
      </c>
      <c r="E41" s="347" t="s">
        <v>1470</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1473</v>
      </c>
      <c r="F42" s="357">
        <f ca="1">INDIRECT("'数据-取费表'!v"&amp;$G$1)</f>
        <v>0</v>
      </c>
      <c r="G42" s="1853"/>
      <c r="H42" s="732"/>
      <c r="I42" s="1862"/>
      <c r="J42" s="1863"/>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1600</v>
      </c>
      <c r="E45" s="1868"/>
      <c r="F45" s="1868"/>
      <c r="O45" s="1871" t="s">
        <v>1515</v>
      </c>
      <c r="P45" s="1841"/>
      <c r="Q45" s="1841"/>
      <c r="R45" s="1841"/>
    </row>
    <row r="46" spans="1:18" s="1844" customFormat="1" ht="13.5" thickBot="1">
      <c r="A46" s="1872" t="s">
        <v>1516</v>
      </c>
      <c r="C46" s="1873" t="e">
        <f ca="1">ROUND(C45/10000,0)</f>
        <v>#DIV/0!</v>
      </c>
      <c r="D46" s="1874" t="str">
        <f>C2</f>
        <v>万元</v>
      </c>
      <c r="I46" s="1875" t="s">
        <v>1517</v>
      </c>
      <c r="J46" s="1876"/>
      <c r="K46" s="1877"/>
      <c r="L46" s="1878" t="e">
        <f ca="1">IF(M47="住宅",0,IF(L48&gt;J51,L60,J60))</f>
        <v>#DIV/0!</v>
      </c>
      <c r="O46" s="1879" t="s">
        <v>1518</v>
      </c>
      <c r="P46" s="1880" t="s">
        <v>1519</v>
      </c>
      <c r="Q46" s="1881" t="s">
        <v>1520</v>
      </c>
      <c r="R46" s="1881" t="s">
        <v>1521</v>
      </c>
    </row>
    <row r="47" spans="1:18" s="1844" customFormat="1" ht="13.5" thickBot="1">
      <c r="A47" s="1168" t="s">
        <v>1392</v>
      </c>
      <c r="B47" s="1200" t="s">
        <v>1393</v>
      </c>
      <c r="C47" s="1200" t="s">
        <v>1394</v>
      </c>
      <c r="D47" s="1200" t="s">
        <v>1395</v>
      </c>
      <c r="E47" s="1282" t="s">
        <v>1396</v>
      </c>
      <c r="F47" s="1283"/>
      <c r="G47" s="792"/>
      <c r="I47" s="1882" t="s">
        <v>1522</v>
      </c>
      <c r="J47" s="1883"/>
      <c r="K47" s="1884" t="s">
        <v>1523</v>
      </c>
      <c r="L47" s="1885">
        <f ca="1">INDIRECT("'数据-取费表'!d"&amp;$G$1)</f>
        <v>0</v>
      </c>
      <c r="M47" s="1840" t="str">
        <f>IF(ISNUMBER(FIND("住宅",C1)),"住宅","非住宅")</f>
        <v>非住宅</v>
      </c>
      <c r="O47" s="1886" t="s">
        <v>1037</v>
      </c>
      <c r="P47" s="1887" t="s">
        <v>1524</v>
      </c>
      <c r="Q47" s="1888" t="e">
        <f ca="1">C40+J29</f>
        <v>#DIV/0!</v>
      </c>
      <c r="R47" s="1888" t="s">
        <v>1525</v>
      </c>
    </row>
    <row r="48" spans="1:18" s="1844" customFormat="1" ht="28.5" thickBot="1">
      <c r="A48" s="1363" t="s">
        <v>1132</v>
      </c>
      <c r="B48" s="345" t="s">
        <v>1397</v>
      </c>
      <c r="C48" s="1819">
        <f ca="1">C49+C53+C55</f>
        <v>0</v>
      </c>
      <c r="D48" s="1365"/>
      <c r="E48" s="1366"/>
      <c r="F48" s="1184"/>
      <c r="G48" s="792"/>
      <c r="H48" s="793"/>
      <c r="I48" s="1889" t="s">
        <v>1526</v>
      </c>
      <c r="J48" s="1890"/>
      <c r="K48" s="1891" t="s">
        <v>1527</v>
      </c>
      <c r="L48" s="1892">
        <f ca="1">INDIRECT("'数据-取费表'!f"&amp;$G$1)</f>
        <v>0</v>
      </c>
      <c r="O48" s="1886" t="s">
        <v>1038</v>
      </c>
      <c r="P48" s="1887" t="s">
        <v>1528</v>
      </c>
      <c r="Q48" s="1888" t="e">
        <f ca="1">J60</f>
        <v>#DIV/0!</v>
      </c>
      <c r="R48" s="1888" t="s">
        <v>1529</v>
      </c>
    </row>
    <row r="49" spans="1:18" s="1844" customFormat="1" ht="13.5" thickBot="1">
      <c r="A49" s="1197" t="s">
        <v>1133</v>
      </c>
      <c r="B49" s="1831" t="s">
        <v>1486</v>
      </c>
      <c r="C49" s="1367">
        <f ca="1">ROUND(F49*F51*F50*(1-F52),0)</f>
        <v>0</v>
      </c>
      <c r="D49" s="1279" t="s">
        <v>1400</v>
      </c>
      <c r="E49" s="1832" t="s">
        <v>1487</v>
      </c>
      <c r="F49" s="1284"/>
      <c r="G49" s="1893"/>
      <c r="H49" s="793"/>
      <c r="I49" s="1889" t="s">
        <v>1530</v>
      </c>
      <c r="J49" s="1894"/>
      <c r="K49" s="1891" t="s">
        <v>1531</v>
      </c>
      <c r="L49" s="1895"/>
      <c r="O49" s="1896" t="s">
        <v>1039</v>
      </c>
      <c r="P49" s="1887" t="s">
        <v>1532</v>
      </c>
      <c r="Q49" s="1888">
        <f ca="1">C29</f>
        <v>0</v>
      </c>
      <c r="R49" s="1888" t="s">
        <v>1525</v>
      </c>
    </row>
    <row r="50" spans="1:18" s="1844" customFormat="1" ht="13.5" thickBot="1">
      <c r="A50" s="1198"/>
      <c r="B50" s="1201"/>
      <c r="C50" s="1202"/>
      <c r="D50" s="1175"/>
      <c r="E50" s="1280" t="s">
        <v>1402</v>
      </c>
      <c r="F50" s="1281">
        <f ca="1">F7</f>
        <v>0</v>
      </c>
      <c r="H50" s="793"/>
      <c r="I50" s="1889" t="s">
        <v>1533</v>
      </c>
      <c r="J50" s="1897">
        <f>SUMPRODUCT((I63:I65=J47)*(J62:L62=J48)*(J63:L65))</f>
        <v>0</v>
      </c>
      <c r="K50" s="1891" t="s">
        <v>1534</v>
      </c>
      <c r="L50" s="1895"/>
      <c r="M50" s="1898"/>
      <c r="O50" s="1896" t="s">
        <v>1040</v>
      </c>
      <c r="P50" s="1887" t="s">
        <v>1535</v>
      </c>
      <c r="Q50" s="1899" t="e">
        <f ca="1">J58</f>
        <v>#DIV/0!</v>
      </c>
      <c r="R50" s="1888"/>
    </row>
    <row r="51" spans="1:18" s="1844" customFormat="1" ht="13.5" thickBot="1">
      <c r="A51" s="1199"/>
      <c r="B51" s="1201"/>
      <c r="C51" s="1202"/>
      <c r="D51" s="1175"/>
      <c r="E51" s="1203" t="s">
        <v>1403</v>
      </c>
      <c r="F51" s="348">
        <f ca="1">F8</f>
        <v>0</v>
      </c>
      <c r="I51" s="1900" t="s">
        <v>1536</v>
      </c>
      <c r="J51" s="1901">
        <f>IF(J49="",J50,J49+J50-YEAR('数据-取费表'!B2))</f>
        <v>0</v>
      </c>
      <c r="K51" s="1902" t="s">
        <v>1537</v>
      </c>
      <c r="L51" s="1903">
        <f ca="1">ROUND(-PV(INDIRECT("'数据-取费表'!h"&amp;$G$1),L48,(C39-C13*C76),0),0)</f>
        <v>0</v>
      </c>
      <c r="M51" s="1904"/>
      <c r="O51" s="1896" t="s">
        <v>1041</v>
      </c>
      <c r="P51" s="1887" t="s">
        <v>1538</v>
      </c>
      <c r="Q51" s="1899">
        <f>J52</f>
        <v>0</v>
      </c>
      <c r="R51" s="1888"/>
    </row>
    <row r="52" spans="1:18" s="1844" customFormat="1" ht="13.5" thickBot="1">
      <c r="A52" s="1199"/>
      <c r="B52" s="1201"/>
      <c r="C52" s="1202"/>
      <c r="D52" s="1175"/>
      <c r="E52" s="1203" t="s">
        <v>1404</v>
      </c>
      <c r="F52" s="1278"/>
      <c r="I52" s="1905" t="s">
        <v>1539</v>
      </c>
      <c r="J52" s="1906"/>
      <c r="K52" s="1905" t="s">
        <v>1540</v>
      </c>
      <c r="L52" s="1906"/>
      <c r="O52" s="1896" t="s">
        <v>1042</v>
      </c>
      <c r="P52" s="1887" t="s">
        <v>1541</v>
      </c>
      <c r="Q52" s="1888" t="b">
        <f>J53</f>
        <v>0</v>
      </c>
      <c r="R52" s="1888" t="s">
        <v>1542</v>
      </c>
    </row>
    <row r="53" spans="1:18" s="1844" customFormat="1" ht="30.75" customHeight="1" thickBot="1">
      <c r="A53" s="1364" t="s">
        <v>1134</v>
      </c>
      <c r="B53" s="369" t="s">
        <v>1405</v>
      </c>
      <c r="C53" s="361">
        <f ca="1">ROUND(IF(F53="押一",C49/12*F11,IF(F53="押二",C49/12*2*F11,IF(F53="押三",C49/12*3*F11,C54*F11))),0)</f>
        <v>0</v>
      </c>
      <c r="D53" s="1826" t="s">
        <v>3045</v>
      </c>
      <c r="E53" s="358" t="s">
        <v>1406</v>
      </c>
      <c r="F53" s="1369"/>
      <c r="I53" s="1907" t="s">
        <v>1543</v>
      </c>
      <c r="J53" s="1908" t="b">
        <f>IF(M47="住宅",IF(D1="——",MAX(J51,L48),IF(D1="在建（套用方法）",MAX(J51,L48-'数据-取费表'!B24),MAX(J51,L48-'数据-取费表'!B20))),IF(D1="——",MIN(J51,L48),IF(D1="在建（套用方法）",MIN(J51,L48-'数据-取费表'!B24),IF(D1="土地（套用方法）",MIN(J51,L48-'数据-取费表'!B20)))))</f>
        <v>0</v>
      </c>
      <c r="K53" s="3255" t="s">
        <v>1544</v>
      </c>
      <c r="L53" s="3256"/>
      <c r="O53" s="1886" t="s">
        <v>1043</v>
      </c>
      <c r="P53" s="1887" t="s">
        <v>1545</v>
      </c>
      <c r="Q53" s="1888" t="e">
        <f ca="1">Q47+Q48</f>
        <v>#DIV/0!</v>
      </c>
      <c r="R53" s="1888" t="s">
        <v>1044</v>
      </c>
    </row>
    <row r="54" spans="1:18" s="1844" customFormat="1" ht="13.5" thickBot="1">
      <c r="A54" s="1197"/>
      <c r="B54" s="1943" t="s">
        <v>1599</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1546</v>
      </c>
      <c r="P54" s="1841"/>
      <c r="Q54" s="1841"/>
      <c r="R54" s="1841"/>
    </row>
    <row r="55" spans="1:18" s="1844" customFormat="1" ht="13.5" thickBot="1">
      <c r="A55" s="1336" t="s">
        <v>1072</v>
      </c>
      <c r="B55" s="1829" t="s">
        <v>1409</v>
      </c>
      <c r="C55" s="1337"/>
      <c r="D55" s="1826"/>
      <c r="E55" s="1834"/>
      <c r="F55" s="1909"/>
      <c r="I55" s="1912" t="s">
        <v>1547</v>
      </c>
      <c r="J55" s="1913" t="e">
        <f ca="1">ROUND(IF(J47="钢混",J57/J50,1-(1-2%)*(J50-J57)/J50),3)</f>
        <v>#DIV/0!</v>
      </c>
      <c r="K55" s="1914" t="s">
        <v>1548</v>
      </c>
      <c r="L55" s="1915"/>
      <c r="O55" s="1879" t="s">
        <v>1518</v>
      </c>
      <c r="P55" s="1880" t="s">
        <v>1519</v>
      </c>
      <c r="Q55" s="1881" t="s">
        <v>1520</v>
      </c>
      <c r="R55" s="1881" t="s">
        <v>1521</v>
      </c>
    </row>
    <row r="56" spans="1:18" s="1844" customFormat="1" ht="36" customHeight="1" thickTop="1" thickBot="1">
      <c r="A56" s="1179">
        <v>2</v>
      </c>
      <c r="B56" s="1180" t="s">
        <v>1410</v>
      </c>
      <c r="C56" s="276">
        <f ca="1">C13</f>
        <v>0</v>
      </c>
      <c r="D56" s="1916"/>
      <c r="E56" s="1917"/>
      <c r="F56" s="1909"/>
      <c r="I56" s="1918" t="s">
        <v>1550</v>
      </c>
      <c r="J56" s="1919"/>
      <c r="K56" s="1889" t="s">
        <v>1551</v>
      </c>
      <c r="L56" s="1892">
        <f ca="1">IF(L48&lt;J51,"——",L48-J51)</f>
        <v>0</v>
      </c>
      <c r="O56" s="1886" t="s">
        <v>1037</v>
      </c>
      <c r="P56" s="1887" t="s">
        <v>1524</v>
      </c>
      <c r="Q56" s="1888" t="e">
        <f ca="1">C40+J29</f>
        <v>#DIV/0!</v>
      </c>
      <c r="R56" s="1888" t="s">
        <v>1525</v>
      </c>
    </row>
    <row r="57" spans="1:18" s="1844" customFormat="1" ht="24.75" thickBot="1">
      <c r="A57" s="1920"/>
      <c r="B57" s="1172" t="s">
        <v>1474</v>
      </c>
      <c r="C57" s="282">
        <f ca="1">C29</f>
        <v>0</v>
      </c>
      <c r="D57" s="1921"/>
      <c r="E57" s="1922"/>
      <c r="F57" s="1923"/>
      <c r="I57" s="1924" t="s">
        <v>1552</v>
      </c>
      <c r="J57" s="1925">
        <f ca="1">IF(OR(M47="住宅",J51&lt;L48,J56="是"),"——",J51-L48)</f>
        <v>0</v>
      </c>
      <c r="K57" s="1889" t="s">
        <v>1601</v>
      </c>
      <c r="L57" s="1892">
        <f ca="1">IF(L48&lt;J51,"——",IF(L55="比较法",L49,IF(L55="基准地价",L50,L51)))</f>
        <v>0</v>
      </c>
      <c r="O57" s="1886" t="s">
        <v>1038</v>
      </c>
      <c r="P57" s="1887" t="s">
        <v>1602</v>
      </c>
      <c r="Q57" s="1888" t="e">
        <f ca="1">L60</f>
        <v>#DIV/0!</v>
      </c>
      <c r="R57" s="1888" t="s">
        <v>1603</v>
      </c>
    </row>
    <row r="58" spans="1:18" s="1844" customFormat="1" ht="24.75" thickBot="1">
      <c r="A58" s="360" t="s">
        <v>1027</v>
      </c>
      <c r="B58" s="1180" t="s">
        <v>1420</v>
      </c>
      <c r="C58" s="361">
        <f ca="1">ROUND(C59+C64+C65+C66,0)</f>
        <v>0</v>
      </c>
      <c r="D58" s="1182" t="s">
        <v>1421</v>
      </c>
      <c r="E58" s="1183"/>
      <c r="F58" s="1184"/>
      <c r="I58" s="1924" t="s">
        <v>1556</v>
      </c>
      <c r="J58" s="1926" t="e">
        <f ca="1">IF(J55&lt;0.4,0.4,J55)</f>
        <v>#DIV/0!</v>
      </c>
      <c r="K58" s="1902" t="s">
        <v>1604</v>
      </c>
      <c r="L58" s="1892" t="e">
        <f ca="1">ROUND(POWER(1+L52,L47-L48)*(POWER(1+L52,L48)-1)/(POWER(1+L52,L47)-1),4)</f>
        <v>#DIV/0!</v>
      </c>
      <c r="O58" s="1896" t="s">
        <v>1039</v>
      </c>
      <c r="P58" s="1887" t="s">
        <v>1558</v>
      </c>
      <c r="Q58" s="1888">
        <f>IF(L55="比较法",L49,IF(L55="基准地价",L50,0))</f>
        <v>0</v>
      </c>
      <c r="R58" s="1888" t="s">
        <v>1525</v>
      </c>
    </row>
    <row r="59" spans="1:18" s="1844" customFormat="1" ht="24.75" thickBot="1">
      <c r="A59" s="1204" t="s">
        <v>1032</v>
      </c>
      <c r="B59" s="1172" t="s">
        <v>1425</v>
      </c>
      <c r="C59" s="24">
        <f ca="1">ROUND(IF(项目基本情况!B11="自然人",C48*F59,C60+C61+C62),0)</f>
        <v>0</v>
      </c>
      <c r="D59" s="1185" t="s">
        <v>1426</v>
      </c>
      <c r="E59" s="1186" t="s">
        <v>1427</v>
      </c>
      <c r="F59" s="368">
        <f ca="1">IF(项目基本情况!B11="企业","",IF(INDIRECT("'数据-取费表'!c"&amp;$G$1)="住宅",5%,IF(F49*F50*F51/12/(1+'数据-取费表'!C42)&gt;20000,12%,7%)))</f>
        <v>7.0000000000000007E-2</v>
      </c>
      <c r="I59" s="1924" t="s">
        <v>1559</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1040</v>
      </c>
      <c r="P59" s="1887" t="s">
        <v>1560</v>
      </c>
      <c r="Q59" s="1899">
        <f>L52</f>
        <v>0</v>
      </c>
      <c r="R59" s="1888"/>
    </row>
    <row r="60" spans="1:18" s="1844"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7" t="s">
        <v>1561</v>
      </c>
      <c r="J60" s="1928" t="e">
        <f ca="1">IF(OR(M47="住宅",J51&lt;L48,J56="是"),"0",ROUND(J59/(1+J52)^J53,0))</f>
        <v>#DIV/0!</v>
      </c>
      <c r="K60" s="1929" t="s">
        <v>1562</v>
      </c>
      <c r="L60" s="1928" t="e">
        <f ca="1">IF(OR(M47="住宅",L48&lt;J51),0,ROUND(L57*(L58/L59-1),0))</f>
        <v>#DIV/0!</v>
      </c>
      <c r="O60" s="1896" t="s">
        <v>1041</v>
      </c>
      <c r="P60" s="1887" t="s">
        <v>1563</v>
      </c>
      <c r="Q60" s="1888" t="e">
        <f ca="1">L58</f>
        <v>#DIV/0!</v>
      </c>
      <c r="R60" s="1888" t="s">
        <v>1564</v>
      </c>
    </row>
    <row r="61" spans="1:18" s="1844" customFormat="1" ht="13.5" thickBot="1">
      <c r="A61" s="1204" t="s">
        <v>1488</v>
      </c>
      <c r="B61" s="1172" t="s">
        <v>1489</v>
      </c>
      <c r="C61" s="24">
        <f ca="1">IF(项目基本情况!B11="自然人","——",IF(D61="按租金收入计税",ROUND(C48*F61,0),IF(D61="按房产原值计税",ROUND(C57*F61*0.7,0),INDIRECT("'数据-取费表'!Aj"&amp;$G$1))))</f>
        <v>0</v>
      </c>
      <c r="D61" s="1830" t="s">
        <v>1434</v>
      </c>
      <c r="E61" s="1172" t="s">
        <v>1490</v>
      </c>
      <c r="F61" s="367">
        <f t="shared" si="0"/>
        <v>1.2E-2</v>
      </c>
      <c r="I61" s="1930"/>
      <c r="J61" s="1930"/>
      <c r="K61" s="1930"/>
      <c r="L61" s="1930"/>
      <c r="O61" s="1896" t="s">
        <v>1042</v>
      </c>
      <c r="P61" s="1887" t="str">
        <f>K59</f>
        <v>建设期及建筑物耐用年限下的土地年期修正系数Kn</v>
      </c>
      <c r="Q61" s="1888" t="e">
        <f ca="1">L59</f>
        <v>#DIV/0!</v>
      </c>
      <c r="R61" s="1888" t="s">
        <v>1565</v>
      </c>
    </row>
    <row r="62" spans="1:18" s="1844" customFormat="1" ht="13.5" thickBot="1">
      <c r="A62" s="1204" t="s">
        <v>1491</v>
      </c>
      <c r="B62" s="1171" t="s">
        <v>1492</v>
      </c>
      <c r="C62" s="25">
        <f ca="1">IF(项目基本情况!B11="自然人","——",ROUND(F62*F63,0))</f>
        <v>0</v>
      </c>
      <c r="D62" s="1187" t="s">
        <v>1493</v>
      </c>
      <c r="E62" s="1172" t="s">
        <v>1494</v>
      </c>
      <c r="F62" s="371">
        <f t="shared" si="0"/>
        <v>0</v>
      </c>
      <c r="I62" s="1931" t="s">
        <v>1566</v>
      </c>
      <c r="J62" s="1932" t="s">
        <v>1567</v>
      </c>
      <c r="K62" s="1932" t="s">
        <v>1568</v>
      </c>
      <c r="L62" s="1932" t="s">
        <v>1569</v>
      </c>
      <c r="M62" s="1933" t="s">
        <v>1570</v>
      </c>
      <c r="O62" s="1886" t="s">
        <v>1043</v>
      </c>
      <c r="P62" s="1887" t="s">
        <v>1571</v>
      </c>
      <c r="Q62" s="1888" t="e">
        <f ca="1">Q56+Q57</f>
        <v>#DIV/0!</v>
      </c>
      <c r="R62" s="1888" t="s">
        <v>1044</v>
      </c>
    </row>
    <row r="63" spans="1:18" s="1844" customFormat="1" ht="13.5" thickBot="1">
      <c r="A63" s="372"/>
      <c r="B63" s="1178"/>
      <c r="C63" s="29"/>
      <c r="D63" s="1188"/>
      <c r="E63" s="1172" t="s">
        <v>1495</v>
      </c>
      <c r="F63" s="348">
        <f t="shared" ca="1" si="0"/>
        <v>0</v>
      </c>
      <c r="I63" s="1931" t="s">
        <v>1572</v>
      </c>
      <c r="J63" s="1932">
        <v>70</v>
      </c>
      <c r="K63" s="1932">
        <v>50</v>
      </c>
      <c r="L63" s="1932">
        <v>80</v>
      </c>
      <c r="M63" s="1934">
        <v>0.02</v>
      </c>
      <c r="O63" s="1871" t="s">
        <v>1573</v>
      </c>
      <c r="P63" s="1841"/>
      <c r="Q63" s="1841"/>
      <c r="R63" s="1841"/>
    </row>
    <row r="64" spans="1:18" s="1844" customFormat="1" ht="13.5" thickBot="1">
      <c r="A64" s="1204" t="s">
        <v>1496</v>
      </c>
      <c r="B64" s="1172" t="s">
        <v>1497</v>
      </c>
      <c r="C64" s="24">
        <f ca="1">ROUND(C57*F64,0)</f>
        <v>0</v>
      </c>
      <c r="D64" s="1186" t="s">
        <v>1498</v>
      </c>
      <c r="E64" s="1172" t="s">
        <v>1490</v>
      </c>
      <c r="F64" s="374">
        <f t="shared" ca="1" si="0"/>
        <v>0</v>
      </c>
      <c r="I64" s="1931" t="s">
        <v>1574</v>
      </c>
      <c r="J64" s="1932">
        <v>50</v>
      </c>
      <c r="K64" s="1932">
        <v>35</v>
      </c>
      <c r="L64" s="1932">
        <v>60</v>
      </c>
      <c r="M64" s="1933">
        <v>0</v>
      </c>
      <c r="O64" s="1879" t="s">
        <v>1518</v>
      </c>
      <c r="P64" s="1880" t="s">
        <v>1519</v>
      </c>
      <c r="Q64" s="1881" t="s">
        <v>1520</v>
      </c>
      <c r="R64" s="1881" t="s">
        <v>1521</v>
      </c>
    </row>
    <row r="65" spans="1:18" s="1844" customFormat="1" ht="13.5" thickBot="1">
      <c r="A65" s="1204" t="s">
        <v>1499</v>
      </c>
      <c r="B65" s="1172" t="s">
        <v>1449</v>
      </c>
      <c r="C65" s="24">
        <f ca="1">ROUND(C56*F65,0)</f>
        <v>0</v>
      </c>
      <c r="D65" s="1186" t="s">
        <v>1450</v>
      </c>
      <c r="E65" s="1172" t="s">
        <v>1451</v>
      </c>
      <c r="F65" s="376">
        <f t="shared" ca="1" si="0"/>
        <v>0</v>
      </c>
      <c r="I65" s="1931" t="s">
        <v>1575</v>
      </c>
      <c r="J65" s="1932">
        <v>40</v>
      </c>
      <c r="K65" s="1932">
        <v>30</v>
      </c>
      <c r="L65" s="1932">
        <v>50</v>
      </c>
      <c r="M65" s="1934">
        <v>0.02</v>
      </c>
      <c r="O65" s="1886" t="s">
        <v>1037</v>
      </c>
      <c r="P65" s="1887" t="s">
        <v>1576</v>
      </c>
      <c r="Q65" s="1888" t="e">
        <f ca="1">C40+J29</f>
        <v>#DIV/0!</v>
      </c>
      <c r="R65" s="1888" t="s">
        <v>1525</v>
      </c>
    </row>
    <row r="66" spans="1:18" s="1844" customFormat="1" ht="16.5" thickBot="1">
      <c r="A66" s="1204" t="s">
        <v>1500</v>
      </c>
      <c r="B66" s="1172" t="s">
        <v>1435</v>
      </c>
      <c r="C66" s="24">
        <f ca="1">ROUND(C48*F66,0)</f>
        <v>0</v>
      </c>
      <c r="D66" s="1186" t="s">
        <v>1501</v>
      </c>
      <c r="E66" s="1172" t="s">
        <v>1418</v>
      </c>
      <c r="F66" s="357">
        <f t="shared" ca="1" si="0"/>
        <v>0</v>
      </c>
      <c r="O66" s="1886" t="s">
        <v>1038</v>
      </c>
      <c r="P66" s="1887" t="s">
        <v>1554</v>
      </c>
      <c r="Q66" s="1888" t="e">
        <f ca="1">L60</f>
        <v>#DIV/0!</v>
      </c>
      <c r="R66" s="1888" t="s">
        <v>1577</v>
      </c>
    </row>
    <row r="67" spans="1:18" s="1844" customFormat="1" ht="16.5" thickBot="1">
      <c r="A67" s="1179" t="s">
        <v>1028</v>
      </c>
      <c r="B67" s="1189" t="s">
        <v>1459</v>
      </c>
      <c r="C67" s="361">
        <f ca="1">C48-C58</f>
        <v>0</v>
      </c>
      <c r="D67" s="1185" t="s">
        <v>1460</v>
      </c>
      <c r="E67" s="1190"/>
      <c r="F67" s="1191"/>
      <c r="O67" s="1896" t="s">
        <v>1039</v>
      </c>
      <c r="P67" s="1887" t="s">
        <v>1558</v>
      </c>
      <c r="Q67" s="1935">
        <f ca="1">L51</f>
        <v>0</v>
      </c>
      <c r="R67" s="1888" t="s">
        <v>1578</v>
      </c>
    </row>
    <row r="68" spans="1:18" s="1844" customFormat="1" ht="16.5" thickBot="1">
      <c r="A68" s="1169" t="s">
        <v>1029</v>
      </c>
      <c r="B68" s="1170" t="s">
        <v>1481</v>
      </c>
      <c r="C68" s="346" t="e">
        <f ca="1">ROUND(C67*(1-((1+F70)/(1+F68))^F69)/(F68-F70),0)</f>
        <v>#DIV/0!</v>
      </c>
      <c r="D68" s="1187" t="s">
        <v>1465</v>
      </c>
      <c r="E68" s="1172" t="s">
        <v>1466</v>
      </c>
      <c r="F68" s="357">
        <f ca="1">F40</f>
        <v>0</v>
      </c>
      <c r="O68" s="1896" t="s">
        <v>1040</v>
      </c>
      <c r="P68" s="1936" t="s">
        <v>1579</v>
      </c>
      <c r="Q68" s="1888">
        <f ca="1">ROUND(Q69-Q70*Q71,0)</f>
        <v>0</v>
      </c>
      <c r="R68" s="1888" t="s">
        <v>1048</v>
      </c>
    </row>
    <row r="69" spans="1:18" s="1844" customFormat="1" ht="13.5" thickBot="1">
      <c r="A69" s="1173"/>
      <c r="B69" s="1174"/>
      <c r="C69" s="351"/>
      <c r="D69" s="1192" t="s">
        <v>1469</v>
      </c>
      <c r="E69" s="1172" t="s">
        <v>1470</v>
      </c>
      <c r="F69" s="379">
        <f ca="1">F41</f>
        <v>0</v>
      </c>
      <c r="O69" s="1896" t="s">
        <v>1045</v>
      </c>
      <c r="P69" s="1936" t="s">
        <v>1580</v>
      </c>
      <c r="Q69" s="1888">
        <f ca="1">C39</f>
        <v>0</v>
      </c>
      <c r="R69" s="1888" t="s">
        <v>1525</v>
      </c>
    </row>
    <row r="70" spans="1:18" s="1844" customFormat="1" ht="13.5" thickBot="1">
      <c r="A70" s="1176"/>
      <c r="B70" s="1177"/>
      <c r="C70" s="355"/>
      <c r="D70" s="1188"/>
      <c r="E70" s="1172" t="s">
        <v>1473</v>
      </c>
      <c r="F70" s="1278">
        <f ca="1">F42</f>
        <v>0</v>
      </c>
      <c r="O70" s="1896" t="s">
        <v>1046</v>
      </c>
      <c r="P70" s="1936" t="s">
        <v>1581</v>
      </c>
      <c r="Q70" s="1888">
        <f ca="1">C13</f>
        <v>0</v>
      </c>
      <c r="R70" s="1888" t="s">
        <v>1525</v>
      </c>
    </row>
    <row r="71" spans="1:18" s="1844" customFormat="1" ht="13.5" thickBot="1">
      <c r="A71" s="1193" t="s">
        <v>1030</v>
      </c>
      <c r="B71" s="1194" t="s">
        <v>1483</v>
      </c>
      <c r="C71" s="382" t="e">
        <f ca="1">ROUND(C68/F71,0)</f>
        <v>#DIV/0!</v>
      </c>
      <c r="D71" s="1195" t="s">
        <v>1484</v>
      </c>
      <c r="E71" s="1196" t="s">
        <v>1485</v>
      </c>
      <c r="F71" s="385">
        <f ca="1">F43</f>
        <v>0</v>
      </c>
      <c r="O71" s="1896" t="s">
        <v>1047</v>
      </c>
      <c r="P71" s="1936" t="s">
        <v>1582</v>
      </c>
      <c r="Q71" s="1899">
        <f ca="1">C76</f>
        <v>0</v>
      </c>
      <c r="R71" s="1888"/>
    </row>
    <row r="72" spans="1:18" s="1844" customFormat="1" ht="13.5" thickBot="1">
      <c r="B72" s="796"/>
      <c r="C72" s="796"/>
      <c r="O72" s="1896" t="s">
        <v>1041</v>
      </c>
      <c r="P72" s="1887" t="s">
        <v>1560</v>
      </c>
      <c r="Q72" s="1899">
        <f>L52</f>
        <v>0</v>
      </c>
      <c r="R72" s="1888"/>
    </row>
    <row r="73" spans="1:18" ht="16.5" thickBot="1">
      <c r="A73" s="1844"/>
      <c r="B73" s="796"/>
      <c r="C73" s="796"/>
      <c r="D73" s="1844"/>
      <c r="E73" s="1844"/>
      <c r="F73" s="1844"/>
      <c r="O73" s="1896" t="s">
        <v>1042</v>
      </c>
      <c r="P73" s="1887" t="s">
        <v>1563</v>
      </c>
      <c r="Q73" s="1888" t="e">
        <f ca="1">L58</f>
        <v>#DIV/0!</v>
      </c>
      <c r="R73" s="1888" t="s">
        <v>1564</v>
      </c>
    </row>
    <row r="74" spans="1:18" ht="13.5" thickBot="1">
      <c r="A74" s="1844"/>
      <c r="B74" s="317" t="s">
        <v>1583</v>
      </c>
      <c r="C74" s="1938"/>
      <c r="D74" s="1844"/>
      <c r="E74" s="1844"/>
      <c r="F74" s="1844"/>
      <c r="O74" s="1896" t="s">
        <v>1049</v>
      </c>
      <c r="P74" s="1887" t="str">
        <f>K59</f>
        <v>建设期及建筑物耐用年限下的土地年期修正系数Kn</v>
      </c>
      <c r="Q74" s="1888" t="e">
        <f ca="1">L59</f>
        <v>#DIV/0!</v>
      </c>
      <c r="R74" s="1888" t="s">
        <v>1565</v>
      </c>
    </row>
    <row r="75" spans="1:18" ht="13.5" thickBot="1">
      <c r="A75" s="1844"/>
      <c r="B75" s="386" t="s">
        <v>1502</v>
      </c>
      <c r="C75" s="387">
        <f ca="1">ROUND(C13*C76,0)</f>
        <v>0</v>
      </c>
      <c r="D75" s="1844"/>
      <c r="E75" s="1844"/>
      <c r="F75" s="1844"/>
      <c r="K75" s="1870"/>
      <c r="L75" s="1844"/>
      <c r="O75" s="1886" t="s">
        <v>1043</v>
      </c>
      <c r="P75" s="1887" t="s">
        <v>1545</v>
      </c>
      <c r="Q75" s="1888" t="e">
        <f ca="1">Q65+Q66</f>
        <v>#DIV/0!</v>
      </c>
      <c r="R75" s="1888" t="s">
        <v>1044</v>
      </c>
    </row>
    <row r="76" spans="1:18">
      <c r="B76" s="388" t="s">
        <v>1503</v>
      </c>
      <c r="C76" s="389">
        <f ca="1">INDIRECT("'数据-取费表'!j"&amp;$G$1)</f>
        <v>0</v>
      </c>
      <c r="I76" s="1844"/>
      <c r="J76" s="1844"/>
      <c r="K76" s="1870"/>
      <c r="L76" s="1844"/>
    </row>
    <row r="77" spans="1:18">
      <c r="B77" s="390" t="s">
        <v>1504</v>
      </c>
      <c r="C77" s="391"/>
      <c r="I77" s="1844"/>
      <c r="J77" s="1844"/>
      <c r="K77" s="1870"/>
      <c r="L77" s="1844"/>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J53" sqref="J53"/>
    </sheetView>
  </sheetViews>
  <sheetFormatPr defaultColWidth="9"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7" t="s">
        <v>2526</v>
      </c>
      <c r="B1" s="2568"/>
      <c r="C1" s="2568"/>
      <c r="D1" s="2568"/>
      <c r="E1" s="2569"/>
    </row>
    <row r="2" spans="1:6" ht="15.75">
      <c r="A2" s="2570" t="s">
        <v>2330</v>
      </c>
      <c r="B2" s="2571">
        <f ca="1">SUMIF(B6:B13,"&lt;&gt;#ref!",B6:B13)</f>
        <v>0</v>
      </c>
      <c r="C2" s="2572" t="s">
        <v>2519</v>
      </c>
      <c r="D2" s="2573" t="s">
        <v>2520</v>
      </c>
      <c r="E2" s="2574">
        <f>SUM(E6:E13)</f>
        <v>0</v>
      </c>
    </row>
    <row r="3" spans="1:6" ht="15.75">
      <c r="A3" s="2570" t="s">
        <v>1391</v>
      </c>
      <c r="B3" s="2571" t="e">
        <f ca="1">ROUND(B2*10000/E2,0)</f>
        <v>#DIV/0!</v>
      </c>
      <c r="C3" s="2572" t="s">
        <v>2527</v>
      </c>
      <c r="D3" s="2575"/>
      <c r="E3" s="2576"/>
    </row>
    <row r="4" spans="1:6" ht="15.75">
      <c r="A4" s="2577"/>
      <c r="B4" s="2575"/>
      <c r="C4" s="2575"/>
      <c r="D4" s="2575"/>
      <c r="E4" s="2576"/>
    </row>
    <row r="5" spans="1:6" ht="15">
      <c r="A5" s="2578" t="s">
        <v>2521</v>
      </c>
      <c r="B5" s="3260" t="s">
        <v>2522</v>
      </c>
      <c r="C5" s="3260"/>
      <c r="D5" s="2579"/>
      <c r="E5" s="2580" t="s">
        <v>2523</v>
      </c>
      <c r="F5" s="2581" t="s">
        <v>2524</v>
      </c>
    </row>
    <row r="6" spans="1:6">
      <c r="A6" s="2582">
        <f>'数据-取费表'!AN6</f>
        <v>0</v>
      </c>
      <c r="B6" s="2581" t="e">
        <f ca="1">IF(F6="是",'数据-取费表'!AO6,0)</f>
        <v>#REF!</v>
      </c>
      <c r="C6" s="2572" t="s">
        <v>2519</v>
      </c>
      <c r="D6" s="2575"/>
      <c r="E6" s="2583">
        <f>IF(OR(A6=0,F6="否"),0,'数据-取费表'!K6+'数据-取费表'!S6)</f>
        <v>0</v>
      </c>
      <c r="F6" s="2584" t="s">
        <v>2525</v>
      </c>
    </row>
    <row r="7" spans="1:6">
      <c r="A7" s="2582">
        <f>'数据-取费表'!AN7</f>
        <v>0</v>
      </c>
      <c r="B7" s="2581" t="e">
        <f ca="1">IF(F7="是",'数据-取费表'!AO7,0)</f>
        <v>#REF!</v>
      </c>
      <c r="C7" s="2572" t="s">
        <v>2519</v>
      </c>
      <c r="D7" s="2575"/>
      <c r="E7" s="2583">
        <f>IF(OR(A7=0,F7="否"),0,'数据-取费表'!K7+'数据-取费表'!S7)</f>
        <v>0</v>
      </c>
      <c r="F7" s="2584" t="s">
        <v>2525</v>
      </c>
    </row>
    <row r="8" spans="1:6">
      <c r="A8" s="2582">
        <f>'数据-取费表'!AN8</f>
        <v>0</v>
      </c>
      <c r="B8" s="2581" t="e">
        <f ca="1">IF(F8="是",'数据-取费表'!AO8,0)</f>
        <v>#REF!</v>
      </c>
      <c r="C8" s="2572" t="s">
        <v>2519</v>
      </c>
      <c r="D8" s="2575"/>
      <c r="E8" s="2583">
        <f>IF(OR(A8=0,F8="否"),0,'数据-取费表'!K8+'数据-取费表'!S8)</f>
        <v>0</v>
      </c>
      <c r="F8" s="2584" t="s">
        <v>2525</v>
      </c>
    </row>
    <row r="9" spans="1:6">
      <c r="A9" s="2582">
        <f>'数据-取费表'!AN9</f>
        <v>0</v>
      </c>
      <c r="B9" s="2581" t="e">
        <f ca="1">IF(F9="是",'数据-取费表'!AO9,0)</f>
        <v>#REF!</v>
      </c>
      <c r="C9" s="2572" t="s">
        <v>2519</v>
      </c>
      <c r="D9" s="2575"/>
      <c r="E9" s="2583">
        <f>IF(OR(A9=0,F9="否"),0,'数据-取费表'!K9+'数据-取费表'!S9)</f>
        <v>0</v>
      </c>
      <c r="F9" s="2584" t="s">
        <v>2525</v>
      </c>
    </row>
    <row r="10" spans="1:6">
      <c r="A10" s="2582">
        <f>'数据-取费表'!AN10</f>
        <v>0</v>
      </c>
      <c r="B10" s="2581" t="e">
        <f ca="1">IF(F10="是",'数据-取费表'!AO10,0)</f>
        <v>#REF!</v>
      </c>
      <c r="C10" s="2572" t="s">
        <v>2519</v>
      </c>
      <c r="D10" s="2575"/>
      <c r="E10" s="2583">
        <f>IF(OR(A10=0,F10="否"),0,'数据-取费表'!K10+'数据-取费表'!S10)</f>
        <v>0</v>
      </c>
      <c r="F10" s="2584" t="s">
        <v>2525</v>
      </c>
    </row>
    <row r="11" spans="1:6">
      <c r="A11" s="2582">
        <f>'数据-取费表'!AN11</f>
        <v>0</v>
      </c>
      <c r="B11" s="2581" t="e">
        <f ca="1">IF(F11="是",'数据-取费表'!AO11,0)</f>
        <v>#REF!</v>
      </c>
      <c r="C11" s="2572" t="s">
        <v>2519</v>
      </c>
      <c r="D11" s="2575"/>
      <c r="E11" s="2583">
        <f>IF(OR(A11=0,F11="否"),0,'数据-取费表'!K11+'数据-取费表'!S11)</f>
        <v>0</v>
      </c>
      <c r="F11" s="2584" t="s">
        <v>2525</v>
      </c>
    </row>
    <row r="12" spans="1:6">
      <c r="A12" s="2582">
        <f>'数据-取费表'!AN12</f>
        <v>0</v>
      </c>
      <c r="B12" s="2581" t="e">
        <f ca="1">IF(F12="是",'数据-取费表'!AO12,0)</f>
        <v>#REF!</v>
      </c>
      <c r="C12" s="2572" t="s">
        <v>2519</v>
      </c>
      <c r="D12" s="2575"/>
      <c r="E12" s="2583">
        <f>IF(OR(A12=0,F12="否"),0,'数据-取费表'!K12+'数据-取费表'!S12)</f>
        <v>0</v>
      </c>
      <c r="F12" s="2584" t="s">
        <v>2525</v>
      </c>
    </row>
    <row r="13" spans="1:6" ht="15" thickBot="1">
      <c r="A13" s="2585">
        <f>'数据-取费表'!AN13</f>
        <v>0</v>
      </c>
      <c r="B13" s="2581" t="e">
        <f ca="1">IF(F13="是",'数据-取费表'!AO13,0)</f>
        <v>#REF!</v>
      </c>
      <c r="C13" s="2586" t="s">
        <v>2519</v>
      </c>
      <c r="D13" s="2587"/>
      <c r="E13" s="2583">
        <f>IF(OR(A13=0,F13="否"),0,'数据-取费表'!K13+'数据-取费表'!S13)</f>
        <v>0</v>
      </c>
      <c r="F13" s="2584"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53" sqref="J53"/>
    </sheetView>
  </sheetViews>
  <sheetFormatPr defaultRowHeight="13.5"/>
  <cols>
    <col min="1" max="1" width="10.5" customWidth="1"/>
    <col min="2" max="2" width="12.875" customWidth="1"/>
    <col min="3" max="3" width="8.75" customWidth="1"/>
  </cols>
  <sheetData>
    <row r="1" spans="1:9" ht="14.25">
      <c r="A1" s="3277" t="s">
        <v>1073</v>
      </c>
      <c r="B1" s="3278"/>
      <c r="C1" s="3279"/>
      <c r="D1" s="3280">
        <f>SUM(I10,I15,I20,I21,I23)</f>
        <v>0</v>
      </c>
      <c r="E1" s="3280"/>
      <c r="F1" s="3280"/>
      <c r="G1" s="3280"/>
      <c r="H1" s="3280"/>
      <c r="I1" s="3281"/>
    </row>
    <row r="2" spans="1:9">
      <c r="A2" s="3267" t="s">
        <v>1074</v>
      </c>
      <c r="B2" s="3268" t="s">
        <v>1075</v>
      </c>
      <c r="C2" s="3268"/>
      <c r="D2" s="1304" t="s">
        <v>1076</v>
      </c>
      <c r="E2" s="1304" t="s">
        <v>1077</v>
      </c>
      <c r="F2" s="1304" t="s">
        <v>1078</v>
      </c>
      <c r="G2" s="1304" t="s">
        <v>1079</v>
      </c>
      <c r="H2" s="1304" t="s">
        <v>1080</v>
      </c>
      <c r="I2" s="1305" t="s">
        <v>1081</v>
      </c>
    </row>
    <row r="3" spans="1:9">
      <c r="A3" s="3267"/>
      <c r="B3" s="3268" t="s">
        <v>1082</v>
      </c>
      <c r="C3" s="3268"/>
      <c r="D3" s="1306"/>
      <c r="E3" s="1304"/>
      <c r="F3" s="1307"/>
      <c r="G3" s="1307"/>
      <c r="H3" s="1308"/>
      <c r="I3" s="1309">
        <f>ROUND(D3*E3*F3*G3*H3/10000,0)</f>
        <v>0</v>
      </c>
    </row>
    <row r="4" spans="1:9">
      <c r="A4" s="3267"/>
      <c r="B4" s="3268" t="s">
        <v>1083</v>
      </c>
      <c r="C4" s="3268"/>
      <c r="D4" s="1306"/>
      <c r="E4" s="1304"/>
      <c r="F4" s="1307"/>
      <c r="G4" s="1307"/>
      <c r="H4" s="1308"/>
      <c r="I4" s="1309">
        <f t="shared" ref="I4:I9" si="0">ROUND(D4*E4*F4*G4*H4/10000,0)</f>
        <v>0</v>
      </c>
    </row>
    <row r="5" spans="1:9">
      <c r="A5" s="3267"/>
      <c r="B5" s="3268" t="s">
        <v>1084</v>
      </c>
      <c r="C5" s="3268"/>
      <c r="D5" s="1306"/>
      <c r="E5" s="1304"/>
      <c r="F5" s="1307"/>
      <c r="G5" s="1307"/>
      <c r="H5" s="1308"/>
      <c r="I5" s="1309">
        <f t="shared" si="0"/>
        <v>0</v>
      </c>
    </row>
    <row r="6" spans="1:9">
      <c r="A6" s="3267"/>
      <c r="B6" s="3268" t="s">
        <v>1085</v>
      </c>
      <c r="C6" s="3268"/>
      <c r="D6" s="1306"/>
      <c r="E6" s="1304"/>
      <c r="F6" s="1307"/>
      <c r="G6" s="1307"/>
      <c r="H6" s="1308"/>
      <c r="I6" s="1309">
        <f t="shared" si="0"/>
        <v>0</v>
      </c>
    </row>
    <row r="7" spans="1:9">
      <c r="A7" s="3267"/>
      <c r="B7" s="3268" t="s">
        <v>1086</v>
      </c>
      <c r="C7" s="3268"/>
      <c r="D7" s="1306"/>
      <c r="E7" s="1304"/>
      <c r="F7" s="1307"/>
      <c r="G7" s="1307"/>
      <c r="H7" s="1308"/>
      <c r="I7" s="1309">
        <f t="shared" si="0"/>
        <v>0</v>
      </c>
    </row>
    <row r="8" spans="1:9">
      <c r="A8" s="3267"/>
      <c r="B8" s="3268" t="s">
        <v>1087</v>
      </c>
      <c r="C8" s="3268"/>
      <c r="D8" s="1306"/>
      <c r="E8" s="1304"/>
      <c r="F8" s="1307"/>
      <c r="G8" s="1307"/>
      <c r="H8" s="1308"/>
      <c r="I8" s="1309">
        <f t="shared" si="0"/>
        <v>0</v>
      </c>
    </row>
    <row r="9" spans="1:9">
      <c r="A9" s="3267"/>
      <c r="B9" s="3268" t="s">
        <v>1088</v>
      </c>
      <c r="C9" s="3268"/>
      <c r="D9" s="1306"/>
      <c r="E9" s="1304"/>
      <c r="F9" s="1307"/>
      <c r="G9" s="1307"/>
      <c r="H9" s="1308"/>
      <c r="I9" s="1309">
        <f t="shared" si="0"/>
        <v>0</v>
      </c>
    </row>
    <row r="10" spans="1:9">
      <c r="A10" s="3267"/>
      <c r="B10" s="3269" t="s">
        <v>1089</v>
      </c>
      <c r="C10" s="3269"/>
      <c r="D10" s="1310"/>
      <c r="E10" s="1310" t="e">
        <f>ROUND(D1*10000/D10/H9,0)</f>
        <v>#DIV/0!</v>
      </c>
      <c r="F10" s="1311"/>
      <c r="G10" s="1311"/>
      <c r="H10" s="1312"/>
      <c r="I10" s="1313">
        <f>SUM(I3:I9)</f>
        <v>0</v>
      </c>
    </row>
    <row r="11" spans="1:9" ht="14.25">
      <c r="A11" s="3267" t="s">
        <v>1090</v>
      </c>
      <c r="B11" s="3268" t="s">
        <v>1091</v>
      </c>
      <c r="C11" s="3268"/>
      <c r="D11" s="1306" t="s">
        <v>1092</v>
      </c>
      <c r="E11" s="1306" t="s">
        <v>1093</v>
      </c>
      <c r="F11" s="1307" t="s">
        <v>1094</v>
      </c>
      <c r="G11" s="1307" t="s">
        <v>1080</v>
      </c>
      <c r="H11" s="1314" t="s">
        <v>1095</v>
      </c>
      <c r="I11" s="1305" t="s">
        <v>1081</v>
      </c>
    </row>
    <row r="12" spans="1:9">
      <c r="A12" s="3267"/>
      <c r="B12" s="3268" t="s">
        <v>1096</v>
      </c>
      <c r="C12" s="3268"/>
      <c r="D12" s="1306"/>
      <c r="E12" s="1306"/>
      <c r="F12" s="1307"/>
      <c r="G12" s="1308"/>
      <c r="H12" s="1315"/>
      <c r="I12" s="1305">
        <f>ROUND(D12*E12*F12*G12/10000,0)</f>
        <v>0</v>
      </c>
    </row>
    <row r="13" spans="1:9">
      <c r="A13" s="3267"/>
      <c r="B13" s="3268" t="s">
        <v>1097</v>
      </c>
      <c r="C13" s="3268"/>
      <c r="D13" s="1306"/>
      <c r="E13" s="1306"/>
      <c r="F13" s="1307"/>
      <c r="G13" s="1308"/>
      <c r="H13" s="1315"/>
      <c r="I13" s="1305">
        <f>ROUND(D13*E13*F13*G13/10000,0)</f>
        <v>0</v>
      </c>
    </row>
    <row r="14" spans="1:9">
      <c r="A14" s="3267"/>
      <c r="B14" s="3268" t="s">
        <v>1098</v>
      </c>
      <c r="C14" s="3268"/>
      <c r="D14" s="1306"/>
      <c r="E14" s="1306"/>
      <c r="F14" s="1307"/>
      <c r="G14" s="1308"/>
      <c r="H14" s="1315"/>
      <c r="I14" s="1305">
        <f>ROUND(D14*E14*F14*G14/10000,0)</f>
        <v>0</v>
      </c>
    </row>
    <row r="15" spans="1:9">
      <c r="A15" s="3267"/>
      <c r="B15" s="3269" t="s">
        <v>1089</v>
      </c>
      <c r="C15" s="3269"/>
      <c r="D15" s="1310"/>
      <c r="E15" s="1310">
        <f>SUM(E12:E14)</f>
        <v>0</v>
      </c>
      <c r="F15" s="1311"/>
      <c r="G15" s="1308"/>
      <c r="H15" s="1315"/>
      <c r="I15" s="1316">
        <f>SUM(I12:I14)</f>
        <v>0</v>
      </c>
    </row>
    <row r="16" spans="1:9" ht="24">
      <c r="A16" s="3267" t="s">
        <v>1099</v>
      </c>
      <c r="B16" s="3268" t="s">
        <v>1100</v>
      </c>
      <c r="C16" s="3268"/>
      <c r="D16" s="1306" t="s">
        <v>1076</v>
      </c>
      <c r="E16" s="1317" t="s">
        <v>1101</v>
      </c>
      <c r="F16" s="1307" t="s">
        <v>1102</v>
      </c>
      <c r="G16" s="1308" t="s">
        <v>1080</v>
      </c>
      <c r="H16" s="1314" t="s">
        <v>1095</v>
      </c>
      <c r="I16" s="1305" t="s">
        <v>1081</v>
      </c>
    </row>
    <row r="17" spans="1:9" ht="14.25">
      <c r="A17" s="3267"/>
      <c r="B17" s="3268" t="s">
        <v>1103</v>
      </c>
      <c r="C17" s="3268"/>
      <c r="D17" s="1306"/>
      <c r="E17" s="1306"/>
      <c r="F17" s="1307"/>
      <c r="G17" s="1308"/>
      <c r="H17" s="1318"/>
      <c r="I17" s="1319">
        <f>ROUND(D17*E17*F17*G17/10000,0)</f>
        <v>0</v>
      </c>
    </row>
    <row r="18" spans="1:9" ht="14.25">
      <c r="A18" s="3267"/>
      <c r="B18" s="3268" t="s">
        <v>1104</v>
      </c>
      <c r="C18" s="3268"/>
      <c r="D18" s="1306"/>
      <c r="E18" s="1306"/>
      <c r="F18" s="1307"/>
      <c r="G18" s="1308"/>
      <c r="H18" s="1318"/>
      <c r="I18" s="1319">
        <f>ROUND(D18*E18*F18*G18/10000,0)</f>
        <v>0</v>
      </c>
    </row>
    <row r="19" spans="1:9" ht="14.25">
      <c r="A19" s="3267"/>
      <c r="B19" s="3268" t="s">
        <v>1105</v>
      </c>
      <c r="C19" s="3268"/>
      <c r="D19" s="1306"/>
      <c r="E19" s="1306"/>
      <c r="F19" s="1307"/>
      <c r="G19" s="1308"/>
      <c r="H19" s="1318"/>
      <c r="I19" s="1319">
        <f>ROUND(D19*E19*F19*G19/10000,0)</f>
        <v>0</v>
      </c>
    </row>
    <row r="20" spans="1:9">
      <c r="A20" s="3267"/>
      <c r="B20" s="3269" t="s">
        <v>1089</v>
      </c>
      <c r="C20" s="3269"/>
      <c r="D20" s="1310">
        <f>SUM(D17:D19)</f>
        <v>0</v>
      </c>
      <c r="E20" s="1310"/>
      <c r="F20" s="1311"/>
      <c r="G20" s="1308"/>
      <c r="H20" s="1315"/>
      <c r="I20" s="1316">
        <f>SUM(I17:I19)</f>
        <v>0</v>
      </c>
    </row>
    <row r="21" spans="1:9">
      <c r="A21" s="3267" t="s">
        <v>1106</v>
      </c>
      <c r="B21" s="3270"/>
      <c r="C21" s="3270"/>
      <c r="D21" s="3270"/>
      <c r="E21" s="3270"/>
      <c r="F21" s="3270"/>
      <c r="G21" s="3270"/>
      <c r="H21" s="1767">
        <v>0.1</v>
      </c>
      <c r="I21" s="1313">
        <f>ROUND(I10*H21,0)</f>
        <v>0</v>
      </c>
    </row>
    <row r="22" spans="1:9" ht="14.25">
      <c r="A22" s="3271" t="s">
        <v>1107</v>
      </c>
      <c r="B22" s="3272"/>
      <c r="C22" s="3273"/>
      <c r="D22" s="1320" t="s">
        <v>1108</v>
      </c>
      <c r="E22" s="1320" t="s">
        <v>1109</v>
      </c>
      <c r="F22" s="1321" t="s">
        <v>1110</v>
      </c>
      <c r="G22" s="1321" t="s">
        <v>1111</v>
      </c>
      <c r="H22" s="1314" t="s">
        <v>1112</v>
      </c>
      <c r="I22" s="1305" t="s">
        <v>1113</v>
      </c>
    </row>
    <row r="23" spans="1:9" ht="14.25" thickBot="1">
      <c r="A23" s="3274"/>
      <c r="B23" s="3275"/>
      <c r="C23" s="3276"/>
      <c r="D23" s="1322"/>
      <c r="E23" s="1322"/>
      <c r="F23" s="1322"/>
      <c r="G23" s="1323"/>
      <c r="H23" s="1324"/>
      <c r="I23" s="1325">
        <f>ROUND(E23*D23*F23*(1-G23)/10000,0)</f>
        <v>0</v>
      </c>
    </row>
    <row r="26" spans="1:9">
      <c r="A26" s="1326" t="s">
        <v>1114</v>
      </c>
      <c r="B26" s="1326"/>
      <c r="C26" s="1326"/>
      <c r="D26" s="1326"/>
      <c r="E26" s="3264">
        <f>C27-C30-C31-C32</f>
        <v>0</v>
      </c>
      <c r="F26" s="3264"/>
      <c r="G26" s="3264"/>
      <c r="H26" s="1739" t="s">
        <v>1336</v>
      </c>
    </row>
    <row r="27" spans="1:9">
      <c r="A27" s="1327">
        <v>1</v>
      </c>
      <c r="B27" s="1328" t="s">
        <v>1115</v>
      </c>
      <c r="C27" s="1328">
        <f>C28+C29</f>
        <v>0</v>
      </c>
      <c r="D27" s="1328"/>
      <c r="E27" s="3265"/>
      <c r="F27" s="3265"/>
      <c r="G27" s="3265"/>
    </row>
    <row r="28" spans="1:9">
      <c r="A28" s="1329" t="s">
        <v>1116</v>
      </c>
      <c r="B28" s="1328" t="s">
        <v>1117</v>
      </c>
      <c r="C28" s="1328"/>
      <c r="D28" s="1328"/>
      <c r="E28" s="3265"/>
      <c r="F28" s="3265"/>
      <c r="G28" s="3265"/>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266"/>
      <c r="F32" s="3266"/>
      <c r="G32" s="3266"/>
    </row>
    <row r="33" spans="1:7" hidden="1">
      <c r="A33" s="3261" t="s">
        <v>1126</v>
      </c>
      <c r="B33" s="3262"/>
      <c r="C33" s="3262"/>
      <c r="D33" s="3263"/>
      <c r="E33" s="3264"/>
      <c r="F33" s="3264"/>
      <c r="G33" s="3264"/>
    </row>
    <row r="34" spans="1:7" hidden="1">
      <c r="A34" s="1331">
        <v>1</v>
      </c>
      <c r="B34" s="1328" t="s">
        <v>1127</v>
      </c>
      <c r="C34" s="1328"/>
      <c r="D34" s="1328"/>
      <c r="E34" s="3265"/>
      <c r="F34" s="3265"/>
      <c r="G34" s="3265"/>
    </row>
    <row r="35" spans="1:7" hidden="1">
      <c r="A35" s="1331">
        <v>2</v>
      </c>
      <c r="B35" s="1328" t="s">
        <v>1128</v>
      </c>
      <c r="C35" s="1328"/>
      <c r="D35" s="1328"/>
      <c r="E35" s="3265"/>
      <c r="F35" s="3265"/>
      <c r="G35" s="3265"/>
    </row>
    <row r="36" spans="1:7" hidden="1">
      <c r="A36" s="1331">
        <v>3</v>
      </c>
      <c r="B36" s="1328" t="s">
        <v>1129</v>
      </c>
      <c r="C36" s="1328"/>
      <c r="D36" s="1328"/>
      <c r="E36" s="3265"/>
      <c r="F36" s="3265"/>
      <c r="G36" s="3265"/>
    </row>
    <row r="37" spans="1:7" hidden="1">
      <c r="A37" s="1331">
        <v>4</v>
      </c>
      <c r="B37" s="1328" t="s">
        <v>1130</v>
      </c>
      <c r="C37" s="1328"/>
      <c r="D37" s="1328"/>
      <c r="E37" s="3265"/>
      <c r="F37" s="3265"/>
      <c r="G37" s="3265"/>
    </row>
    <row r="38" spans="1:7" hidden="1">
      <c r="A38" s="3261" t="s">
        <v>1131</v>
      </c>
      <c r="B38" s="3262"/>
      <c r="C38" s="3262"/>
      <c r="D38" s="3263"/>
      <c r="E38" s="3264"/>
      <c r="F38" s="3264"/>
      <c r="G38" s="326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7" zoomScale="90" zoomScaleNormal="90" workbookViewId="0">
      <selection activeCell="K16" sqref="K1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2529</v>
      </c>
      <c r="C1" s="1636" t="s">
        <v>2530</v>
      </c>
      <c r="D1" s="1623" t="s">
        <v>3868</v>
      </c>
      <c r="E1" s="2589"/>
      <c r="F1" s="2590" t="s">
        <v>2531</v>
      </c>
      <c r="G1" s="1633" t="s">
        <v>2532</v>
      </c>
      <c r="H1" s="1632"/>
      <c r="I1" s="1632"/>
      <c r="J1" s="1632"/>
      <c r="K1" s="1634"/>
      <c r="L1" s="1635"/>
      <c r="M1" s="1636"/>
      <c r="N1" s="1636"/>
      <c r="O1" s="1636"/>
      <c r="P1" s="2591"/>
      <c r="Q1" s="1622"/>
      <c r="R1" s="1622"/>
      <c r="S1" s="1622"/>
      <c r="T1" s="1622"/>
      <c r="U1" s="1622"/>
      <c r="V1" s="1622"/>
      <c r="W1" s="1622"/>
      <c r="X1" s="1622"/>
      <c r="Y1" s="1622"/>
      <c r="Z1" s="1622"/>
      <c r="AA1" s="1622"/>
      <c r="AB1" s="1622"/>
      <c r="AC1" s="1630"/>
    </row>
    <row r="2" spans="1:29" s="393" customFormat="1" ht="28.5" customHeight="1" thickTop="1">
      <c r="A2" s="1619" t="s">
        <v>1390</v>
      </c>
      <c r="B2" s="1421">
        <f>IF(C2="——",ROUND(C49*D3/10000,0),ROUND(C49*D3/10000,0)-D2)</f>
        <v>62911</v>
      </c>
      <c r="C2" s="2592" t="s">
        <v>70</v>
      </c>
      <c r="D2" s="1368" t="e">
        <f ca="1">SUMIF(INDIRECT("'"&amp;F2&amp;"'"&amp;"!A:A"),"承租人权益价值",INDIRECT("'"&amp;F2&amp;"'"&amp;"!c:c"))</f>
        <v>#REF!</v>
      </c>
      <c r="E2" s="2593" t="s">
        <v>2533</v>
      </c>
      <c r="F2" s="2594"/>
      <c r="G2" s="1127"/>
      <c r="H2" s="1127"/>
      <c r="I2" s="1127"/>
      <c r="J2" s="1127"/>
      <c r="K2" s="2595"/>
      <c r="L2" s="2596"/>
      <c r="M2" s="2597"/>
      <c r="N2" s="2597"/>
      <c r="O2" s="2597"/>
      <c r="P2" s="2598"/>
      <c r="Q2" s="2599"/>
      <c r="R2" s="2599"/>
      <c r="S2" s="2599"/>
      <c r="T2" s="2599"/>
      <c r="U2" s="2599"/>
      <c r="V2" s="2599"/>
      <c r="W2" s="2599"/>
      <c r="X2" s="2599"/>
      <c r="Y2" s="2599"/>
      <c r="Z2" s="2599"/>
      <c r="AA2" s="2599"/>
      <c r="AB2" s="2599"/>
      <c r="AC2" s="2600"/>
    </row>
    <row r="3" spans="1:29" s="393" customFormat="1" ht="28.5" customHeight="1" thickBot="1">
      <c r="A3" s="247" t="s">
        <v>1391</v>
      </c>
      <c r="B3" s="399">
        <f>IF(C2="——",C49,ROUND(B2*10000/D3,0))</f>
        <v>18321</v>
      </c>
      <c r="C3" s="400" t="s">
        <v>2534</v>
      </c>
      <c r="D3" s="399">
        <f>IF(D1="",'数据-汇总表'!E3,SUMIF('数据-汇总表'!$C19:$C33,D1,'数据-汇总表'!$E19:$E33))</f>
        <v>34338.32</v>
      </c>
      <c r="E3" s="1127"/>
      <c r="F3" s="2601"/>
      <c r="G3" s="1127"/>
      <c r="H3" s="1127"/>
      <c r="I3" s="1127"/>
      <c r="J3" s="1127"/>
      <c r="K3" s="2595"/>
      <c r="L3" s="2596"/>
      <c r="M3" s="2597"/>
      <c r="N3" s="2597"/>
      <c r="O3" s="2597"/>
      <c r="P3" s="2598"/>
      <c r="Q3" s="2599"/>
      <c r="R3" s="2599"/>
      <c r="S3" s="2599"/>
      <c r="T3" s="2599"/>
      <c r="U3" s="2599"/>
      <c r="V3" s="2599"/>
      <c r="W3" s="2599"/>
      <c r="X3" s="2599"/>
      <c r="Y3" s="2599"/>
      <c r="Z3" s="2599"/>
      <c r="AA3" s="2599"/>
      <c r="AB3" s="2599"/>
      <c r="AC3" s="1285"/>
    </row>
    <row r="4" spans="1:29" ht="15">
      <c r="A4" s="401" t="s">
        <v>2535</v>
      </c>
      <c r="B4" s="402"/>
      <c r="C4" s="3214" t="s">
        <v>2536</v>
      </c>
      <c r="D4" s="3227"/>
      <c r="E4" s="3228" t="s">
        <v>2537</v>
      </c>
      <c r="F4" s="3229"/>
      <c r="G4" s="3214" t="s">
        <v>2538</v>
      </c>
      <c r="H4" s="3227"/>
      <c r="I4" s="3214" t="s">
        <v>2539</v>
      </c>
      <c r="J4" s="3227"/>
      <c r="K4" s="2602" t="s">
        <v>2540</v>
      </c>
      <c r="L4" s="1133"/>
      <c r="M4" s="1134"/>
      <c r="N4" s="1134"/>
      <c r="O4" s="1134"/>
      <c r="P4" s="3230" t="s">
        <v>2541</v>
      </c>
      <c r="Q4" s="3231"/>
      <c r="R4" s="3236" t="s">
        <v>2537</v>
      </c>
      <c r="S4" s="3237"/>
      <c r="T4" s="3236" t="s">
        <v>2538</v>
      </c>
      <c r="U4" s="3237"/>
      <c r="V4" s="3223" t="s">
        <v>2539</v>
      </c>
      <c r="W4" s="3223"/>
      <c r="X4" s="1815"/>
      <c r="Y4" s="3236" t="s">
        <v>2541</v>
      </c>
      <c r="Z4" s="3237"/>
      <c r="AA4" s="3224" t="s">
        <v>2537</v>
      </c>
      <c r="AB4" s="3224" t="s">
        <v>2538</v>
      </c>
      <c r="AC4" s="3224" t="s">
        <v>2539</v>
      </c>
    </row>
    <row r="5" spans="1:29" ht="15">
      <c r="A5" s="404"/>
      <c r="B5" s="405"/>
      <c r="C5" s="3244" t="s">
        <v>2542</v>
      </c>
      <c r="D5" s="3245"/>
      <c r="E5" s="3291" t="s">
        <v>3901</v>
      </c>
      <c r="F5" s="3252"/>
      <c r="G5" s="3290" t="s">
        <v>3902</v>
      </c>
      <c r="H5" s="3245"/>
      <c r="I5" s="3290" t="s">
        <v>3903</v>
      </c>
      <c r="J5" s="3245"/>
      <c r="K5" s="2603"/>
      <c r="L5" s="1133"/>
      <c r="M5" s="1134"/>
      <c r="N5" s="1134"/>
      <c r="O5" s="1134"/>
      <c r="P5" s="3232"/>
      <c r="Q5" s="3233"/>
      <c r="R5" s="3238"/>
      <c r="S5" s="3239"/>
      <c r="T5" s="3238"/>
      <c r="U5" s="3239"/>
      <c r="V5" s="3223"/>
      <c r="W5" s="3223"/>
      <c r="X5" s="1815"/>
      <c r="Y5" s="3238"/>
      <c r="Z5" s="3239"/>
      <c r="AA5" s="3225"/>
      <c r="AB5" s="3225"/>
      <c r="AC5" s="3225"/>
    </row>
    <row r="6" spans="1:29" ht="15.75" thickBot="1">
      <c r="A6" s="406"/>
      <c r="B6" s="407"/>
      <c r="C6" s="3242" t="s">
        <v>2546</v>
      </c>
      <c r="D6" s="3243"/>
      <c r="E6" s="3249" t="s">
        <v>2546</v>
      </c>
      <c r="F6" s="3250"/>
      <c r="G6" s="3242" t="s">
        <v>2546</v>
      </c>
      <c r="H6" s="3243"/>
      <c r="I6" s="3242" t="s">
        <v>2546</v>
      </c>
      <c r="J6" s="3243"/>
      <c r="K6" s="2603" t="s">
        <v>2547</v>
      </c>
      <c r="L6" s="1133"/>
      <c r="M6" s="1134"/>
      <c r="N6" s="1134"/>
      <c r="O6" s="1134"/>
      <c r="P6" s="3234"/>
      <c r="Q6" s="3235"/>
      <c r="R6" s="3238"/>
      <c r="S6" s="3239"/>
      <c r="T6" s="3240"/>
      <c r="U6" s="3241"/>
      <c r="V6" s="3223"/>
      <c r="W6" s="3223"/>
      <c r="X6" s="1815"/>
      <c r="Y6" s="3240"/>
      <c r="Z6" s="3241"/>
      <c r="AA6" s="3226"/>
      <c r="AB6" s="3226"/>
      <c r="AC6" s="3226"/>
    </row>
    <row r="7" spans="1:29" s="117" customFormat="1" ht="15.75" thickBot="1">
      <c r="A7" s="408" t="s">
        <v>2548</v>
      </c>
      <c r="B7" s="409"/>
      <c r="C7" s="410">
        <f>'数据-取费表'!B2</f>
        <v>43689</v>
      </c>
      <c r="D7" s="411">
        <v>100</v>
      </c>
      <c r="E7" s="412">
        <f>C7</f>
        <v>43689</v>
      </c>
      <c r="F7" s="413">
        <f>SUMIF(58:58,YEAR(E7)&amp;"-"&amp;MONTH(E7),59:59)</f>
        <v>100</v>
      </c>
      <c r="G7" s="412">
        <f>C7</f>
        <v>43689</v>
      </c>
      <c r="H7" s="411">
        <f>SUMIF(58:58,YEAR(G7)&amp;"-"&amp;MONTH(G7),59:59)</f>
        <v>100</v>
      </c>
      <c r="I7" s="412">
        <f>C7</f>
        <v>43689</v>
      </c>
      <c r="J7" s="411">
        <f>SUMIF(58:58,YEAR(I7)&amp;"-"&amp;MONTH(I7),59:59)</f>
        <v>100</v>
      </c>
      <c r="K7" s="2604"/>
      <c r="L7" s="1135"/>
      <c r="M7" s="1136"/>
      <c r="N7" s="1136"/>
      <c r="O7" s="1136"/>
      <c r="P7" s="3246" t="s">
        <v>2549</v>
      </c>
      <c r="Q7" s="3248"/>
      <c r="R7" s="770" t="s">
        <v>23</v>
      </c>
      <c r="S7" s="771">
        <f t="shared" ref="S7:S15" si="0">F7</f>
        <v>100</v>
      </c>
      <c r="T7" s="770" t="s">
        <v>23</v>
      </c>
      <c r="U7" s="771">
        <f t="shared" ref="U7:U15" si="1">H7</f>
        <v>100</v>
      </c>
      <c r="V7" s="770" t="s">
        <v>23</v>
      </c>
      <c r="W7" s="771">
        <f t="shared" ref="W7:W15" si="2">J7</f>
        <v>100</v>
      </c>
      <c r="X7" s="772"/>
      <c r="Y7" s="3246" t="s">
        <v>2549</v>
      </c>
      <c r="Z7" s="3247"/>
      <c r="AA7" s="773">
        <f>D7/F7</f>
        <v>1</v>
      </c>
      <c r="AB7" s="773">
        <f>D7/H7</f>
        <v>1</v>
      </c>
      <c r="AC7" s="773">
        <f>D7/J7</f>
        <v>1</v>
      </c>
    </row>
    <row r="8" spans="1:29" s="117" customFormat="1" ht="15.75" thickBot="1">
      <c r="A8" s="408" t="s">
        <v>2550</v>
      </c>
      <c r="B8" s="409"/>
      <c r="C8" s="414" t="s">
        <v>3110</v>
      </c>
      <c r="D8" s="411">
        <v>100</v>
      </c>
      <c r="E8" s="2605" t="s">
        <v>3110</v>
      </c>
      <c r="F8" s="413">
        <f>SUMIF(61:61,E8,62:62)-SUMIF(61:61,C8,62:62)+100</f>
        <v>100</v>
      </c>
      <c r="G8" s="414" t="s">
        <v>3110</v>
      </c>
      <c r="H8" s="411">
        <f>SUMIF(61:61,G8,62:62)-SUMIF(61:61,C8,62:62)+100</f>
        <v>100</v>
      </c>
      <c r="I8" s="2605" t="s">
        <v>3110</v>
      </c>
      <c r="J8" s="411">
        <f>SUMIF(61:61,I8,62:62)-SUMIF(61:61,C8,62:62)+100</f>
        <v>100</v>
      </c>
      <c r="K8" s="2604"/>
      <c r="L8" s="1135"/>
      <c r="M8" s="1136"/>
      <c r="N8" s="1136"/>
      <c r="O8" s="1136"/>
      <c r="P8" s="3246" t="s">
        <v>2552</v>
      </c>
      <c r="Q8" s="3247"/>
      <c r="R8" s="770" t="s">
        <v>23</v>
      </c>
      <c r="S8" s="771">
        <f t="shared" si="0"/>
        <v>100</v>
      </c>
      <c r="T8" s="770" t="s">
        <v>23</v>
      </c>
      <c r="U8" s="771">
        <f t="shared" si="1"/>
        <v>100</v>
      </c>
      <c r="V8" s="770" t="s">
        <v>23</v>
      </c>
      <c r="W8" s="771">
        <f t="shared" si="2"/>
        <v>100</v>
      </c>
      <c r="X8" s="772"/>
      <c r="Y8" s="3246" t="s">
        <v>2552</v>
      </c>
      <c r="Z8" s="3247"/>
      <c r="AA8" s="773">
        <f t="shared" ref="AA8:AA19" si="3">D8/F8</f>
        <v>1</v>
      </c>
      <c r="AB8" s="773">
        <f t="shared" ref="AB8:AB19" si="4">D8/H8</f>
        <v>1</v>
      </c>
      <c r="AC8" s="773">
        <f t="shared" ref="AC8:AC19" si="5">D8/J8</f>
        <v>1</v>
      </c>
    </row>
    <row r="9" spans="1:29" s="117" customFormat="1">
      <c r="A9" s="415" t="s">
        <v>2553</v>
      </c>
      <c r="B9" s="71" t="s">
        <v>2554</v>
      </c>
      <c r="C9" s="2971" t="s">
        <v>4066</v>
      </c>
      <c r="D9" s="135">
        <v>100</v>
      </c>
      <c r="E9" s="417" t="s">
        <v>3868</v>
      </c>
      <c r="F9" s="418">
        <f>SUMIF(63:63,E9,64:64)-SUMIF(63:63,C9,64:64)+100</f>
        <v>105</v>
      </c>
      <c r="G9" s="419" t="s">
        <v>3868</v>
      </c>
      <c r="H9" s="135">
        <f>SUMIF(63:63,G9,64:64)-SUMIF(63:63,C9,64:64)+100</f>
        <v>105</v>
      </c>
      <c r="I9" s="419" t="s">
        <v>3868</v>
      </c>
      <c r="J9" s="135">
        <f>SUMIF(63:63,I9,64:64)-SUMIF(63:63,C9,64:64)+100</f>
        <v>105</v>
      </c>
      <c r="K9" s="2604"/>
      <c r="L9" s="1135"/>
      <c r="M9" s="1136"/>
      <c r="N9" s="1136"/>
      <c r="O9" s="1136"/>
      <c r="P9" s="3216" t="s">
        <v>2555</v>
      </c>
      <c r="Q9" s="1797" t="str">
        <f t="shared" ref="Q9:Q15" si="6">B9</f>
        <v>用途</v>
      </c>
      <c r="R9" s="770" t="s">
        <v>17</v>
      </c>
      <c r="S9" s="771">
        <f t="shared" si="0"/>
        <v>105</v>
      </c>
      <c r="T9" s="770" t="s">
        <v>17</v>
      </c>
      <c r="U9" s="771">
        <f t="shared" si="1"/>
        <v>105</v>
      </c>
      <c r="V9" s="770" t="s">
        <v>17</v>
      </c>
      <c r="W9" s="771">
        <f t="shared" si="2"/>
        <v>105</v>
      </c>
      <c r="X9" s="772"/>
      <c r="Y9" s="3064" t="s">
        <v>2556</v>
      </c>
      <c r="Z9" s="55" t="str">
        <f t="shared" ref="Z9:Z15" si="7">Q9</f>
        <v>用途</v>
      </c>
      <c r="AA9" s="773">
        <f t="shared" si="3"/>
        <v>0.95238095238095233</v>
      </c>
      <c r="AB9" s="773">
        <f t="shared" si="4"/>
        <v>0.95238095238095233</v>
      </c>
      <c r="AC9" s="773">
        <f t="shared" si="5"/>
        <v>0.95238095238095233</v>
      </c>
    </row>
    <row r="10" spans="1:29" s="427" customFormat="1" ht="27">
      <c r="A10" s="421"/>
      <c r="B10" s="422" t="s">
        <v>2557</v>
      </c>
      <c r="C10" s="423" t="s">
        <v>4063</v>
      </c>
      <c r="D10" s="136">
        <v>100</v>
      </c>
      <c r="E10" s="424" t="s">
        <v>3897</v>
      </c>
      <c r="F10" s="3018">
        <f>年期修正系数!J10</f>
        <v>116.6</v>
      </c>
      <c r="G10" s="423" t="s">
        <v>3897</v>
      </c>
      <c r="H10" s="3019">
        <f>F10</f>
        <v>116.6</v>
      </c>
      <c r="I10" s="423" t="s">
        <v>3897</v>
      </c>
      <c r="J10" s="3019">
        <f>F10</f>
        <v>116.6</v>
      </c>
      <c r="K10" s="426">
        <v>2</v>
      </c>
      <c r="L10" s="1138"/>
      <c r="M10" s="1139"/>
      <c r="N10" s="1139"/>
      <c r="O10" s="1139"/>
      <c r="P10" s="3216"/>
      <c r="Q10" s="1797" t="str">
        <f t="shared" si="6"/>
        <v>土地使用年限（年）</v>
      </c>
      <c r="R10" s="770" t="s">
        <v>17</v>
      </c>
      <c r="S10" s="771">
        <f t="shared" si="0"/>
        <v>116.6</v>
      </c>
      <c r="T10" s="770" t="s">
        <v>17</v>
      </c>
      <c r="U10" s="771">
        <f t="shared" si="1"/>
        <v>116.6</v>
      </c>
      <c r="V10" s="770" t="s">
        <v>17</v>
      </c>
      <c r="W10" s="771">
        <f t="shared" si="2"/>
        <v>116.6</v>
      </c>
      <c r="X10" s="772"/>
      <c r="Y10" s="3064"/>
      <c r="Z10" s="55" t="str">
        <f t="shared" si="7"/>
        <v>土地使用年限（年）</v>
      </c>
      <c r="AA10" s="773">
        <f t="shared" si="3"/>
        <v>0.85763293310463129</v>
      </c>
      <c r="AB10" s="773">
        <f t="shared" si="4"/>
        <v>0.85763293310463129</v>
      </c>
      <c r="AC10" s="773">
        <f t="shared" si="5"/>
        <v>0.85763293310463129</v>
      </c>
    </row>
    <row r="11" spans="1:29" ht="15">
      <c r="A11" s="428"/>
      <c r="B11" s="422" t="s">
        <v>2558</v>
      </c>
      <c r="C11" s="429">
        <v>1.65</v>
      </c>
      <c r="D11" s="136">
        <v>100</v>
      </c>
      <c r="E11" s="430">
        <v>2</v>
      </c>
      <c r="F11" s="425">
        <f>LOOKUP(E11,68:68,69:69)-LOOKUP(C11,68:68,69:69)+100</f>
        <v>98</v>
      </c>
      <c r="G11" s="429">
        <v>4.95</v>
      </c>
      <c r="H11" s="136">
        <f>LOOKUP(G11,68:68,69:69)-LOOKUP(C11,68:68,69:69)+100</f>
        <v>94</v>
      </c>
      <c r="I11" s="429">
        <v>3.49</v>
      </c>
      <c r="J11" s="136">
        <f>LOOKUP(I11,68:68,69:69)-LOOKUP(C11,68:68,69:69)+100</f>
        <v>96</v>
      </c>
      <c r="K11" s="426">
        <v>2</v>
      </c>
      <c r="L11" s="1141"/>
      <c r="M11" s="1134"/>
      <c r="N11" s="1134"/>
      <c r="O11" s="1134"/>
      <c r="P11" s="3216"/>
      <c r="Q11" s="1797" t="str">
        <f t="shared" si="6"/>
        <v>容积率</v>
      </c>
      <c r="R11" s="770" t="s">
        <v>21</v>
      </c>
      <c r="S11" s="771">
        <f t="shared" si="0"/>
        <v>98</v>
      </c>
      <c r="T11" s="770" t="s">
        <v>21</v>
      </c>
      <c r="U11" s="771">
        <f t="shared" si="1"/>
        <v>94</v>
      </c>
      <c r="V11" s="770" t="s">
        <v>21</v>
      </c>
      <c r="W11" s="771">
        <f t="shared" si="2"/>
        <v>96</v>
      </c>
      <c r="X11" s="772"/>
      <c r="Y11" s="3064"/>
      <c r="Z11" s="55" t="str">
        <f t="shared" si="7"/>
        <v>容积率</v>
      </c>
      <c r="AA11" s="773">
        <f t="shared" si="3"/>
        <v>1.0204081632653061</v>
      </c>
      <c r="AB11" s="773">
        <f t="shared" si="4"/>
        <v>1.0638297872340425</v>
      </c>
      <c r="AC11" s="773">
        <f t="shared" si="5"/>
        <v>1.0416666666666667</v>
      </c>
    </row>
    <row r="12" spans="1:29" s="117" customFormat="1" ht="15">
      <c r="A12" s="431"/>
      <c r="B12" s="2606">
        <v>111</v>
      </c>
      <c r="C12" s="432"/>
      <c r="D12" s="433">
        <v>100</v>
      </c>
      <c r="E12" s="432"/>
      <c r="F12" s="425">
        <f>SUMIF(70:70,E12,71:71)-SUMIF(70:70,C12,71:71)+100</f>
        <v>100</v>
      </c>
      <c r="G12" s="432"/>
      <c r="H12" s="136">
        <f>SUMIF(70:70,G12,71:71)-SUMIF(70:70,C12,71:71)+100</f>
        <v>100</v>
      </c>
      <c r="I12" s="432"/>
      <c r="J12" s="136">
        <f>SUMIF(70:70,I12,71:71)-SUMIF(70:70,C12,71:71)+100</f>
        <v>100</v>
      </c>
      <c r="K12" s="2607"/>
      <c r="L12" s="1135"/>
      <c r="M12" s="1136"/>
      <c r="N12" s="1136"/>
      <c r="O12" s="1136"/>
      <c r="P12" s="3216"/>
      <c r="Q12" s="1797">
        <f t="shared" si="6"/>
        <v>111</v>
      </c>
      <c r="R12" s="770" t="s">
        <v>21</v>
      </c>
      <c r="S12" s="771">
        <f t="shared" si="0"/>
        <v>100</v>
      </c>
      <c r="T12" s="770" t="s">
        <v>21</v>
      </c>
      <c r="U12" s="771">
        <f t="shared" si="1"/>
        <v>100</v>
      </c>
      <c r="V12" s="770" t="s">
        <v>21</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2607"/>
      <c r="L13" s="1143"/>
      <c r="M13" s="1134"/>
      <c r="N13" s="1134"/>
      <c r="O13" s="1134"/>
      <c r="P13" s="3216"/>
      <c r="Q13" s="1797">
        <f t="shared" si="6"/>
        <v>111</v>
      </c>
      <c r="R13" s="770" t="s">
        <v>21</v>
      </c>
      <c r="S13" s="771">
        <f t="shared" si="0"/>
        <v>100</v>
      </c>
      <c r="T13" s="770" t="s">
        <v>21</v>
      </c>
      <c r="U13" s="771">
        <f t="shared" si="1"/>
        <v>100</v>
      </c>
      <c r="V13" s="770" t="s">
        <v>21</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7"/>
      <c r="F14" s="439">
        <f>SUMIF(74:74,E14,75:75)-SUMIF(74:74,C14,75:75)+100</f>
        <v>100</v>
      </c>
      <c r="G14" s="437"/>
      <c r="H14" s="438">
        <f>SUMIF(74:74,G14,75:75)-SUMIF(74:74,C14,75:75)+100</f>
        <v>100</v>
      </c>
      <c r="I14" s="437"/>
      <c r="J14" s="438">
        <f>SUMIF(74:74,I14,75:75)-SUMIF(74:74,C14,75:75)+100</f>
        <v>100</v>
      </c>
      <c r="K14" s="2607"/>
      <c r="L14" s="1143"/>
      <c r="M14" s="1134"/>
      <c r="N14" s="1134"/>
      <c r="O14" s="1134"/>
      <c r="P14" s="3216"/>
      <c r="Q14" s="1797">
        <f t="shared" si="6"/>
        <v>111</v>
      </c>
      <c r="R14" s="770" t="s">
        <v>21</v>
      </c>
      <c r="S14" s="771">
        <f t="shared" si="0"/>
        <v>100</v>
      </c>
      <c r="T14" s="770" t="s">
        <v>21</v>
      </c>
      <c r="U14" s="771">
        <f t="shared" si="1"/>
        <v>100</v>
      </c>
      <c r="V14" s="770" t="s">
        <v>21</v>
      </c>
      <c r="W14" s="771">
        <f t="shared" si="2"/>
        <v>100</v>
      </c>
      <c r="X14" s="772"/>
      <c r="Y14" s="3064"/>
      <c r="Z14" s="55">
        <f t="shared" si="7"/>
        <v>111</v>
      </c>
      <c r="AA14" s="773">
        <f t="shared" si="3"/>
        <v>1</v>
      </c>
      <c r="AB14" s="773">
        <f t="shared" si="4"/>
        <v>1</v>
      </c>
      <c r="AC14" s="773">
        <f t="shared" si="5"/>
        <v>1</v>
      </c>
    </row>
    <row r="15" spans="1:29" ht="99.75">
      <c r="A15" s="440" t="s">
        <v>2559</v>
      </c>
      <c r="B15" s="69" t="s">
        <v>2086</v>
      </c>
      <c r="C15" s="2609" t="str">
        <f>估价对象房地状况!C3</f>
        <v>估价对象周边居住用地比例、居住小区规模和社区发展完善程度，综合评价居住社区成熟度一般</v>
      </c>
      <c r="D15" s="441">
        <v>100</v>
      </c>
      <c r="E15" s="444"/>
      <c r="F15" s="441">
        <f>SUMIF(76:76,E16,77:77)-SUMIF(76:76,C16,77:77)+100</f>
        <v>103</v>
      </c>
      <c r="G15" s="442"/>
      <c r="H15" s="441">
        <f>SUMIF(76:76,G16,77:77)-SUMIF(76:76,C16,77:77)+100</f>
        <v>103</v>
      </c>
      <c r="I15" s="442"/>
      <c r="J15" s="441">
        <f>SUMIF(76:76,I16,77:77)-SUMIF(76:76,C16,77:77)+100</f>
        <v>103</v>
      </c>
      <c r="K15" s="445">
        <v>3</v>
      </c>
      <c r="L15" s="1143"/>
      <c r="M15" s="1134"/>
      <c r="N15" s="1134"/>
      <c r="O15" s="1134"/>
      <c r="P15" s="3288" t="s">
        <v>2560</v>
      </c>
      <c r="Q15" s="1812" t="str">
        <f t="shared" si="6"/>
        <v>居住社区成熟度</v>
      </c>
      <c r="R15" s="774" t="s">
        <v>21</v>
      </c>
      <c r="S15" s="775">
        <f t="shared" si="0"/>
        <v>103</v>
      </c>
      <c r="T15" s="774" t="s">
        <v>21</v>
      </c>
      <c r="U15" s="775">
        <f t="shared" si="1"/>
        <v>103</v>
      </c>
      <c r="V15" s="774" t="s">
        <v>21</v>
      </c>
      <c r="W15" s="775">
        <f t="shared" si="2"/>
        <v>103</v>
      </c>
      <c r="X15" s="1815"/>
      <c r="Y15" s="3219" t="s">
        <v>2560</v>
      </c>
      <c r="Z15" s="1816" t="str">
        <f t="shared" si="7"/>
        <v>居住社区成熟度</v>
      </c>
      <c r="AA15" s="1813">
        <f t="shared" si="3"/>
        <v>0.970873786407767</v>
      </c>
      <c r="AB15" s="1813">
        <f t="shared" si="4"/>
        <v>0.970873786407767</v>
      </c>
      <c r="AC15" s="1813">
        <f t="shared" si="5"/>
        <v>0.970873786407767</v>
      </c>
    </row>
    <row r="16" spans="1:29" ht="15">
      <c r="A16" s="428"/>
      <c r="B16" s="446"/>
      <c r="C16" s="447" t="s">
        <v>3898</v>
      </c>
      <c r="D16" s="448"/>
      <c r="E16" s="2610" t="s">
        <v>3899</v>
      </c>
      <c r="F16" s="448"/>
      <c r="G16" s="2611" t="s">
        <v>3899</v>
      </c>
      <c r="H16" s="450"/>
      <c r="I16" s="2611" t="s">
        <v>3899</v>
      </c>
      <c r="J16" s="448"/>
      <c r="K16" s="2612"/>
      <c r="L16" s="1143"/>
      <c r="M16" s="1134"/>
      <c r="N16" s="1134"/>
      <c r="O16" s="1134"/>
      <c r="P16" s="3289"/>
      <c r="Q16" s="1812"/>
      <c r="R16" s="774"/>
      <c r="S16" s="775"/>
      <c r="T16" s="774"/>
      <c r="U16" s="775"/>
      <c r="V16" s="774"/>
      <c r="W16" s="775"/>
      <c r="X16" s="1815"/>
      <c r="Y16" s="3220"/>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4"/>
      <c r="F17" s="450">
        <f>SUMIF(78:78,E18,79:79)-SUMIF(78:78,C18,79:79)+100</f>
        <v>102</v>
      </c>
      <c r="G17" s="452"/>
      <c r="H17" s="455">
        <f>SUMIF(78:78,G18,79:79)-SUMIF(78:78,C18,79:79)+100</f>
        <v>102</v>
      </c>
      <c r="I17" s="452"/>
      <c r="J17" s="455">
        <f>SUMIF(78:78,I18,79:79)-SUMIF(78:78,C18,79:79)+100</f>
        <v>102</v>
      </c>
      <c r="K17" s="445">
        <v>2</v>
      </c>
      <c r="L17" s="1143"/>
      <c r="M17" s="1134"/>
      <c r="N17" s="1134"/>
      <c r="O17" s="1134"/>
      <c r="P17" s="3289"/>
      <c r="Q17" s="1812" t="str">
        <f>B17</f>
        <v>交通便捷度</v>
      </c>
      <c r="R17" s="774" t="s">
        <v>21</v>
      </c>
      <c r="S17" s="775">
        <f>F17</f>
        <v>102</v>
      </c>
      <c r="T17" s="774" t="s">
        <v>21</v>
      </c>
      <c r="U17" s="775">
        <f>H17</f>
        <v>102</v>
      </c>
      <c r="V17" s="774" t="s">
        <v>21</v>
      </c>
      <c r="W17" s="775">
        <f>J17</f>
        <v>102</v>
      </c>
      <c r="X17" s="1815"/>
      <c r="Y17" s="3220"/>
      <c r="Z17" s="1816" t="str">
        <f>Q17</f>
        <v>交通便捷度</v>
      </c>
      <c r="AA17" s="1813">
        <f t="shared" si="3"/>
        <v>0.98039215686274506</v>
      </c>
      <c r="AB17" s="1813">
        <f t="shared" si="4"/>
        <v>0.98039215686274506</v>
      </c>
      <c r="AC17" s="1813">
        <f t="shared" si="5"/>
        <v>0.98039215686274506</v>
      </c>
    </row>
    <row r="18" spans="1:29" ht="15">
      <c r="A18" s="428"/>
      <c r="B18" s="456"/>
      <c r="C18" s="2614" t="s">
        <v>3899</v>
      </c>
      <c r="D18" s="450"/>
      <c r="E18" s="2615" t="s">
        <v>3900</v>
      </c>
      <c r="F18" s="450"/>
      <c r="G18" s="2616" t="s">
        <v>3900</v>
      </c>
      <c r="H18" s="448"/>
      <c r="I18" s="2616" t="s">
        <v>3900</v>
      </c>
      <c r="J18" s="448"/>
      <c r="K18" s="2612"/>
      <c r="L18" s="1143"/>
      <c r="M18" s="1134"/>
      <c r="N18" s="1134"/>
      <c r="O18" s="1134"/>
      <c r="P18" s="3289"/>
      <c r="Q18" s="1812"/>
      <c r="R18" s="774"/>
      <c r="S18" s="775"/>
      <c r="T18" s="774"/>
      <c r="U18" s="775"/>
      <c r="V18" s="774"/>
      <c r="W18" s="775"/>
      <c r="X18" s="1815"/>
      <c r="Y18" s="3220"/>
      <c r="Z18" s="1816"/>
      <c r="AA18" s="1813">
        <v>1</v>
      </c>
      <c r="AB18" s="1813">
        <v>1</v>
      </c>
      <c r="AC18" s="1813">
        <v>1</v>
      </c>
    </row>
    <row r="19" spans="1:29" ht="42.75">
      <c r="A19" s="428"/>
      <c r="B19" s="451" t="s">
        <v>2096</v>
      </c>
      <c r="C19" s="2613"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289"/>
      <c r="Q19" s="1812" t="str">
        <f>B19</f>
        <v>公共配套设施</v>
      </c>
      <c r="R19" s="774" t="s">
        <v>21</v>
      </c>
      <c r="S19" s="775">
        <f>F19</f>
        <v>100</v>
      </c>
      <c r="T19" s="774" t="s">
        <v>21</v>
      </c>
      <c r="U19" s="775">
        <f>H19</f>
        <v>100</v>
      </c>
      <c r="V19" s="774" t="s">
        <v>21</v>
      </c>
      <c r="W19" s="775">
        <f>J19</f>
        <v>100</v>
      </c>
      <c r="X19" s="1815"/>
      <c r="Y19" s="3220"/>
      <c r="Z19" s="1816" t="str">
        <f>Q19</f>
        <v>公共配套设施</v>
      </c>
      <c r="AA19" s="1813">
        <f t="shared" si="3"/>
        <v>1</v>
      </c>
      <c r="AB19" s="1813">
        <f t="shared" si="4"/>
        <v>1</v>
      </c>
      <c r="AC19" s="1813">
        <f t="shared" si="5"/>
        <v>1</v>
      </c>
    </row>
    <row r="20" spans="1:29" ht="15">
      <c r="A20" s="428"/>
      <c r="B20" s="456"/>
      <c r="C20" s="447" t="s">
        <v>3900</v>
      </c>
      <c r="D20" s="448"/>
      <c r="E20" s="2610" t="s">
        <v>3900</v>
      </c>
      <c r="F20" s="448"/>
      <c r="G20" s="2611" t="s">
        <v>3900</v>
      </c>
      <c r="H20" s="448"/>
      <c r="I20" s="2611" t="s">
        <v>3900</v>
      </c>
      <c r="J20" s="448"/>
      <c r="K20" s="2612"/>
      <c r="L20" s="1143"/>
      <c r="M20" s="1134"/>
      <c r="N20" s="1134"/>
      <c r="O20" s="1134"/>
      <c r="P20" s="3289"/>
      <c r="Q20" s="1812"/>
      <c r="R20" s="774"/>
      <c r="S20" s="775"/>
      <c r="T20" s="774"/>
      <c r="U20" s="775"/>
      <c r="V20" s="774"/>
      <c r="W20" s="775"/>
      <c r="X20" s="1815"/>
      <c r="Y20" s="3220"/>
      <c r="Z20" s="1816"/>
      <c r="AA20" s="1813">
        <v>1</v>
      </c>
      <c r="AB20" s="1813">
        <v>1</v>
      </c>
      <c r="AC20" s="1813">
        <v>1</v>
      </c>
    </row>
    <row r="21" spans="1:29" ht="28.5">
      <c r="A21" s="428"/>
      <c r="B21" s="1387" t="s">
        <v>2099</v>
      </c>
      <c r="C21" s="2613"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v>2</v>
      </c>
      <c r="L21" s="1143"/>
      <c r="M21" s="1134"/>
      <c r="N21" s="1134"/>
      <c r="O21" s="1134"/>
      <c r="P21" s="3289"/>
      <c r="Q21" s="1812" t="str">
        <f>B21</f>
        <v>基础设施水平</v>
      </c>
      <c r="R21" s="774" t="s">
        <v>17</v>
      </c>
      <c r="S21" s="775">
        <f>F21</f>
        <v>100</v>
      </c>
      <c r="T21" s="774" t="s">
        <v>17</v>
      </c>
      <c r="U21" s="775">
        <f>H21</f>
        <v>100</v>
      </c>
      <c r="V21" s="774" t="s">
        <v>17</v>
      </c>
      <c r="W21" s="775">
        <f>J21</f>
        <v>100</v>
      </c>
      <c r="X21" s="1815"/>
      <c r="Y21" s="3220"/>
      <c r="Z21" s="1816" t="str">
        <f>Q21</f>
        <v>基础设施水平</v>
      </c>
      <c r="AA21" s="1813">
        <f t="shared" ref="AA21" si="8">D21/F21</f>
        <v>1</v>
      </c>
      <c r="AB21" s="1813">
        <f t="shared" ref="AB21" si="9">D21/H21</f>
        <v>1</v>
      </c>
      <c r="AC21" s="1813">
        <f t="shared" ref="AC21" si="10">D21/J21</f>
        <v>1</v>
      </c>
    </row>
    <row r="22" spans="1:29" ht="15">
      <c r="A22" s="428"/>
      <c r="B22" s="1387"/>
      <c r="C22" s="2614" t="s">
        <v>3891</v>
      </c>
      <c r="D22" s="448"/>
      <c r="E22" s="447" t="s">
        <v>3891</v>
      </c>
      <c r="F22" s="448"/>
      <c r="G22" s="2617" t="s">
        <v>3891</v>
      </c>
      <c r="H22" s="448"/>
      <c r="I22" s="447" t="s">
        <v>3891</v>
      </c>
      <c r="J22" s="448"/>
      <c r="K22" s="2618"/>
      <c r="L22" s="1143"/>
      <c r="M22" s="1134"/>
      <c r="N22" s="1134"/>
      <c r="O22" s="1134"/>
      <c r="P22" s="3289"/>
      <c r="Q22" s="1812"/>
      <c r="R22" s="774"/>
      <c r="S22" s="775"/>
      <c r="T22" s="774"/>
      <c r="U22" s="775"/>
      <c r="V22" s="774"/>
      <c r="W22" s="775"/>
      <c r="X22" s="1815"/>
      <c r="Y22" s="3220"/>
      <c r="Z22" s="1816"/>
      <c r="AA22" s="1813">
        <v>1</v>
      </c>
      <c r="AB22" s="1813">
        <v>1</v>
      </c>
      <c r="AC22" s="1813">
        <v>1</v>
      </c>
    </row>
    <row r="23" spans="1:29" ht="57">
      <c r="A23" s="428"/>
      <c r="B23" s="451" t="s">
        <v>2103</v>
      </c>
      <c r="C23" s="2613" t="str">
        <f>估价对象房地状况!C9</f>
        <v>区域自然环境：；人文环境；综合评价环境状况一般</v>
      </c>
      <c r="D23" s="450">
        <v>100</v>
      </c>
      <c r="E23" s="454"/>
      <c r="F23" s="450">
        <f>SUMIF(84:84,E24,85:85)-SUMIF(84:84,C24,85:85)+100</f>
        <v>98</v>
      </c>
      <c r="G23" s="452"/>
      <c r="H23" s="450">
        <f>SUMIF(84:84,G24,85:85)-SUMIF(84:84,C24,85:85)+100</f>
        <v>98</v>
      </c>
      <c r="I23" s="452"/>
      <c r="J23" s="450">
        <f>SUMIF(84:84,I24,85:85)-SUMIF(84:84,C24,85:85)+100</f>
        <v>98</v>
      </c>
      <c r="K23" s="445">
        <v>2</v>
      </c>
      <c r="L23" s="1143"/>
      <c r="M23" s="1134"/>
      <c r="N23" s="1134"/>
      <c r="O23" s="1134"/>
      <c r="P23" s="3289"/>
      <c r="Q23" s="1812" t="str">
        <f>B23</f>
        <v>自然及人文环境</v>
      </c>
      <c r="R23" s="774" t="s">
        <v>21</v>
      </c>
      <c r="S23" s="775">
        <f>F23</f>
        <v>98</v>
      </c>
      <c r="T23" s="774" t="s">
        <v>21</v>
      </c>
      <c r="U23" s="775">
        <f>H23</f>
        <v>98</v>
      </c>
      <c r="V23" s="774" t="s">
        <v>21</v>
      </c>
      <c r="W23" s="775">
        <f>J23</f>
        <v>98</v>
      </c>
      <c r="X23" s="1815"/>
      <c r="Y23" s="3220"/>
      <c r="Z23" s="1816" t="str">
        <f>Q23</f>
        <v>自然及人文环境</v>
      </c>
      <c r="AA23" s="1813">
        <f>D23/F23</f>
        <v>1.0204081632653061</v>
      </c>
      <c r="AB23" s="1813">
        <f>D23/H23</f>
        <v>1.0204081632653061</v>
      </c>
      <c r="AC23" s="1813">
        <f>D23/J23</f>
        <v>1.0204081632653061</v>
      </c>
    </row>
    <row r="24" spans="1:29" ht="15">
      <c r="A24" s="428"/>
      <c r="B24" s="456"/>
      <c r="C24" s="447" t="s">
        <v>3899</v>
      </c>
      <c r="D24" s="448"/>
      <c r="E24" s="2610" t="s">
        <v>3898</v>
      </c>
      <c r="F24" s="448"/>
      <c r="G24" s="2611" t="s">
        <v>3898</v>
      </c>
      <c r="H24" s="448"/>
      <c r="I24" s="2611" t="s">
        <v>3898</v>
      </c>
      <c r="J24" s="448"/>
      <c r="K24" s="2612"/>
      <c r="L24" s="1143"/>
      <c r="M24" s="1134"/>
      <c r="N24" s="1134"/>
      <c r="O24" s="1134"/>
      <c r="P24" s="3289"/>
      <c r="Q24" s="1812"/>
      <c r="R24" s="774"/>
      <c r="S24" s="775"/>
      <c r="T24" s="774"/>
      <c r="U24" s="775"/>
      <c r="V24" s="774"/>
      <c r="W24" s="775"/>
      <c r="X24" s="1815"/>
      <c r="Y24" s="3220"/>
      <c r="Z24" s="1816"/>
      <c r="AA24" s="1813">
        <v>1</v>
      </c>
      <c r="AB24" s="1813">
        <v>1</v>
      </c>
      <c r="AC24" s="1813">
        <v>1</v>
      </c>
    </row>
    <row r="25" spans="1:29" ht="15">
      <c r="A25" s="428"/>
      <c r="B25" s="422" t="s">
        <v>2561</v>
      </c>
      <c r="C25" s="460"/>
      <c r="D25" s="435">
        <v>100</v>
      </c>
      <c r="E25" s="2619"/>
      <c r="F25" s="435">
        <f>SUMIF(86:86,E25,87:87)-SUMIF(86:86,C25,87:87)+100</f>
        <v>100</v>
      </c>
      <c r="G25" s="2620"/>
      <c r="H25" s="435">
        <f>SUMIF(86:86,G25,87:87)-SUMIF(86:86,C25,87:87)+100</f>
        <v>100</v>
      </c>
      <c r="I25" s="2620"/>
      <c r="J25" s="435">
        <f>SUMIF(86:86,I25,87:87)-SUMIF(86:86,C25,87:87)+100</f>
        <v>100</v>
      </c>
      <c r="K25" s="426"/>
      <c r="L25" s="1143"/>
      <c r="M25" s="1134"/>
      <c r="N25" s="1134"/>
      <c r="O25" s="1134"/>
      <c r="P25" s="328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220"/>
      <c r="Z25" s="1816" t="str">
        <f>Q25</f>
        <v>楼层-1</v>
      </c>
      <c r="AA25" s="1813">
        <f t="shared" ref="AA25:AA46" si="15">D25/F25</f>
        <v>1</v>
      </c>
      <c r="AB25" s="1813">
        <f t="shared" ref="AB25:AB46" si="16">D25/H25</f>
        <v>1</v>
      </c>
      <c r="AC25" s="1813">
        <f t="shared" ref="AC25:AC46" si="17">D25/J25</f>
        <v>1</v>
      </c>
    </row>
    <row r="26" spans="1:29" ht="15">
      <c r="A26" s="428"/>
      <c r="B26" s="422" t="s">
        <v>2562</v>
      </c>
      <c r="C26" s="460"/>
      <c r="D26" s="435">
        <v>100</v>
      </c>
      <c r="E26" s="2619"/>
      <c r="F26" s="435">
        <f>SUMIF(88:88,E26,89:89)-SUMIF(88:88,C26,89:89)+100</f>
        <v>100</v>
      </c>
      <c r="G26" s="2620"/>
      <c r="H26" s="435">
        <f>SUMIF(88:88,G26,89:89)-SUMIF(88:88,C26,89:89)+100</f>
        <v>100</v>
      </c>
      <c r="I26" s="2620"/>
      <c r="J26" s="435">
        <f>SUMIF(88:88,I26,89:89)-SUMIF(88:88,C26,89:89)+100</f>
        <v>100</v>
      </c>
      <c r="K26" s="426"/>
      <c r="L26" s="1143"/>
      <c r="M26" s="1134"/>
      <c r="N26" s="1134"/>
      <c r="O26" s="1134"/>
      <c r="P26" s="3289"/>
      <c r="Q26" s="1812" t="str">
        <f t="shared" si="11"/>
        <v>朝向</v>
      </c>
      <c r="R26" s="774" t="s">
        <v>21</v>
      </c>
      <c r="S26" s="775">
        <f t="shared" si="12"/>
        <v>100</v>
      </c>
      <c r="T26" s="774" t="s">
        <v>21</v>
      </c>
      <c r="U26" s="775">
        <f t="shared" si="13"/>
        <v>100</v>
      </c>
      <c r="V26" s="774" t="s">
        <v>21</v>
      </c>
      <c r="W26" s="775">
        <f t="shared" si="14"/>
        <v>100</v>
      </c>
      <c r="X26" s="1815"/>
      <c r="Y26" s="3220"/>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7"/>
      <c r="L27" s="1135"/>
      <c r="M27" s="1136"/>
      <c r="N27" s="1136"/>
      <c r="O27" s="1136"/>
      <c r="P27" s="3289"/>
      <c r="Q27" s="1797">
        <f t="shared" si="11"/>
        <v>111</v>
      </c>
      <c r="R27" s="770" t="s">
        <v>21</v>
      </c>
      <c r="S27" s="771">
        <f t="shared" si="12"/>
        <v>100</v>
      </c>
      <c r="T27" s="770" t="s">
        <v>21</v>
      </c>
      <c r="U27" s="771">
        <f t="shared" si="13"/>
        <v>100</v>
      </c>
      <c r="V27" s="770" t="s">
        <v>21</v>
      </c>
      <c r="W27" s="771">
        <f t="shared" si="14"/>
        <v>100</v>
      </c>
      <c r="X27" s="772"/>
      <c r="Y27" s="3220"/>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21"/>
      <c r="H28" s="435">
        <f>SUMIF(92:92,G28,93:93)-SUMIF(92:92,C28,93:93)+100</f>
        <v>100</v>
      </c>
      <c r="I28" s="434"/>
      <c r="J28" s="435">
        <f>SUMIF(92:92,I28,93:93)-SUMIF(92:92,C28,93:93)+100</f>
        <v>100</v>
      </c>
      <c r="K28" s="2607"/>
      <c r="L28" s="1143"/>
      <c r="M28" s="1134"/>
      <c r="N28" s="1134"/>
      <c r="O28" s="1134"/>
      <c r="P28" s="3289"/>
      <c r="Q28" s="1812">
        <f t="shared" si="11"/>
        <v>111</v>
      </c>
      <c r="R28" s="774" t="s">
        <v>21</v>
      </c>
      <c r="S28" s="775">
        <f t="shared" si="12"/>
        <v>100</v>
      </c>
      <c r="T28" s="774" t="s">
        <v>21</v>
      </c>
      <c r="U28" s="775">
        <f t="shared" si="13"/>
        <v>100</v>
      </c>
      <c r="V28" s="774" t="s">
        <v>21</v>
      </c>
      <c r="W28" s="775">
        <f t="shared" si="14"/>
        <v>100</v>
      </c>
      <c r="X28" s="1815"/>
      <c r="Y28" s="3220"/>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21"/>
      <c r="H29" s="435">
        <f>SUMIF(94:94,G29,95:95)-SUMIF(94:94,C29,95:95)+100</f>
        <v>100</v>
      </c>
      <c r="I29" s="434"/>
      <c r="J29" s="435">
        <f>SUMIF(94:94,I29,95:95)-SUMIF(94:94,C29,95:95)+100</f>
        <v>100</v>
      </c>
      <c r="K29" s="2607"/>
      <c r="L29" s="1143"/>
      <c r="M29" s="1134"/>
      <c r="N29" s="1134"/>
      <c r="O29" s="1134"/>
      <c r="P29" s="3289"/>
      <c r="Q29" s="1812">
        <f t="shared" si="11"/>
        <v>111</v>
      </c>
      <c r="R29" s="774" t="s">
        <v>21</v>
      </c>
      <c r="S29" s="775">
        <f t="shared" si="12"/>
        <v>100</v>
      </c>
      <c r="T29" s="774" t="s">
        <v>21</v>
      </c>
      <c r="U29" s="775">
        <f t="shared" si="13"/>
        <v>100</v>
      </c>
      <c r="V29" s="774" t="s">
        <v>21</v>
      </c>
      <c r="W29" s="775">
        <f t="shared" si="14"/>
        <v>100</v>
      </c>
      <c r="X29" s="1815"/>
      <c r="Y29" s="3220"/>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21"/>
      <c r="H30" s="435">
        <f>SUMIF(96:96,G30,97:97)-SUMIF(96:96,C30,97:97)+100</f>
        <v>100</v>
      </c>
      <c r="I30" s="434"/>
      <c r="J30" s="435">
        <f>SUMIF(96:96,I30,97:97)-SUMIF(96:96,C30,97:97)+100</f>
        <v>100</v>
      </c>
      <c r="K30" s="2607"/>
      <c r="L30" s="1143"/>
      <c r="M30" s="1134"/>
      <c r="N30" s="1134"/>
      <c r="O30" s="1134"/>
      <c r="P30" s="3289"/>
      <c r="Q30" s="1812">
        <f t="shared" si="11"/>
        <v>111</v>
      </c>
      <c r="R30" s="774" t="s">
        <v>21</v>
      </c>
      <c r="S30" s="775">
        <f t="shared" si="12"/>
        <v>100</v>
      </c>
      <c r="T30" s="774" t="s">
        <v>21</v>
      </c>
      <c r="U30" s="775">
        <f t="shared" si="13"/>
        <v>100</v>
      </c>
      <c r="V30" s="774" t="s">
        <v>21</v>
      </c>
      <c r="W30" s="775">
        <f t="shared" si="14"/>
        <v>100</v>
      </c>
      <c r="X30" s="1815"/>
      <c r="Y30" s="3220"/>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2"/>
      <c r="H31" s="438">
        <f>SUMIF(98:98,G31,99:99)-SUMIF(98:98,C31,99:99)+100</f>
        <v>100</v>
      </c>
      <c r="I31" s="437"/>
      <c r="J31" s="438">
        <f>SUMIF(98:98,I31,99:99)-SUMIF(98:98,C31,99:99)+100</f>
        <v>100</v>
      </c>
      <c r="K31" s="2607"/>
      <c r="L31" s="1143"/>
      <c r="M31" s="1134"/>
      <c r="N31" s="1134"/>
      <c r="O31" s="1134"/>
      <c r="P31" s="3289"/>
      <c r="Q31" s="1812">
        <f t="shared" si="11"/>
        <v>111</v>
      </c>
      <c r="R31" s="774" t="s">
        <v>21</v>
      </c>
      <c r="S31" s="775">
        <f t="shared" si="12"/>
        <v>100</v>
      </c>
      <c r="T31" s="774" t="s">
        <v>21</v>
      </c>
      <c r="U31" s="775">
        <f t="shared" si="13"/>
        <v>100</v>
      </c>
      <c r="V31" s="774" t="s">
        <v>21</v>
      </c>
      <c r="W31" s="775">
        <f t="shared" si="14"/>
        <v>100</v>
      </c>
      <c r="X31" s="1815"/>
      <c r="Y31" s="3220"/>
      <c r="Z31" s="1816">
        <f t="shared" si="18"/>
        <v>111</v>
      </c>
      <c r="AA31" s="1813">
        <f t="shared" si="15"/>
        <v>1</v>
      </c>
      <c r="AB31" s="1813">
        <f t="shared" si="16"/>
        <v>1</v>
      </c>
      <c r="AC31" s="1813">
        <f t="shared" si="17"/>
        <v>1</v>
      </c>
    </row>
    <row r="32" spans="1:29" ht="15">
      <c r="A32" s="440" t="s">
        <v>2563</v>
      </c>
      <c r="B32" s="71" t="s">
        <v>2564</v>
      </c>
      <c r="C32" s="2623" t="s">
        <v>4068</v>
      </c>
      <c r="D32" s="467">
        <v>100</v>
      </c>
      <c r="E32" s="2624" t="s">
        <v>4013</v>
      </c>
      <c r="F32" s="461">
        <f>SUMIF(100:100,E32,101:101)-SUMIF(100:100,C32,101:101)+100</f>
        <v>95</v>
      </c>
      <c r="G32" s="2623" t="s">
        <v>4068</v>
      </c>
      <c r="H32" s="467">
        <f>SUMIF(100:100,G32,101:101)-SUMIF(100:100,C32,101:101)+100</f>
        <v>100</v>
      </c>
      <c r="I32" s="2624" t="s">
        <v>4013</v>
      </c>
      <c r="J32" s="435">
        <f>SUMIF(100:100,I32,101:101)-SUMIF(100:100,C32,101:101)+100</f>
        <v>95</v>
      </c>
      <c r="K32" s="426">
        <v>5</v>
      </c>
      <c r="L32" s="1143"/>
      <c r="M32" s="1134"/>
      <c r="N32" s="1134"/>
      <c r="O32" s="1134"/>
      <c r="P32" s="3284" t="s">
        <v>2565</v>
      </c>
      <c r="Q32" s="1812" t="str">
        <f t="shared" si="11"/>
        <v>建筑类型</v>
      </c>
      <c r="R32" s="774" t="s">
        <v>21</v>
      </c>
      <c r="S32" s="775">
        <f t="shared" si="12"/>
        <v>95</v>
      </c>
      <c r="T32" s="774" t="s">
        <v>21</v>
      </c>
      <c r="U32" s="775">
        <f t="shared" si="13"/>
        <v>100</v>
      </c>
      <c r="V32" s="774" t="s">
        <v>21</v>
      </c>
      <c r="W32" s="775">
        <f t="shared" si="14"/>
        <v>95</v>
      </c>
      <c r="X32" s="1815"/>
      <c r="Y32" s="3222" t="s">
        <v>2565</v>
      </c>
      <c r="Z32" s="1816" t="str">
        <f t="shared" si="18"/>
        <v>建筑类型</v>
      </c>
      <c r="AA32" s="1813">
        <f t="shared" si="15"/>
        <v>1.0526315789473684</v>
      </c>
      <c r="AB32" s="1813">
        <f t="shared" si="16"/>
        <v>1</v>
      </c>
      <c r="AC32" s="1813">
        <f t="shared" si="17"/>
        <v>1.0526315789473684</v>
      </c>
    </row>
    <row r="33" spans="1:29" s="471" customFormat="1" ht="15">
      <c r="A33" s="468"/>
      <c r="B33" s="422" t="s">
        <v>2566</v>
      </c>
      <c r="C33" s="469">
        <v>1380000</v>
      </c>
      <c r="D33" s="136">
        <v>100</v>
      </c>
      <c r="E33" s="430">
        <v>413082.75</v>
      </c>
      <c r="F33" s="425">
        <f>LOOKUP(E33,103:103,104:104)-LOOKUP(C33,103:103,104:104)+100</f>
        <v>98</v>
      </c>
      <c r="G33" s="429">
        <v>40000</v>
      </c>
      <c r="H33" s="136">
        <f>LOOKUP(G33,103:103,104:104)-LOOKUP(C33,103:103,104:104)+100</f>
        <v>90</v>
      </c>
      <c r="I33" s="430">
        <v>33277.21</v>
      </c>
      <c r="J33" s="136">
        <f>LOOKUP(I33,103:103,104:104)-LOOKUP(C33,103:103,104:104)+100</f>
        <v>90</v>
      </c>
      <c r="K33" s="2607"/>
      <c r="L33" s="1141"/>
      <c r="M33" s="1144"/>
      <c r="N33" s="1144"/>
      <c r="O33" s="1144"/>
      <c r="P33" s="3285"/>
      <c r="Q33" s="776" t="str">
        <f t="shared" si="11"/>
        <v>项目建筑规模</v>
      </c>
      <c r="R33" s="777" t="s">
        <v>21</v>
      </c>
      <c r="S33" s="778">
        <f t="shared" si="12"/>
        <v>98</v>
      </c>
      <c r="T33" s="777" t="s">
        <v>21</v>
      </c>
      <c r="U33" s="778">
        <f t="shared" si="13"/>
        <v>90</v>
      </c>
      <c r="V33" s="777" t="s">
        <v>21</v>
      </c>
      <c r="W33" s="778">
        <f t="shared" si="14"/>
        <v>90</v>
      </c>
      <c r="X33" s="779"/>
      <c r="Y33" s="3222"/>
      <c r="Z33" s="780" t="str">
        <f t="shared" si="18"/>
        <v>项目建筑规模</v>
      </c>
      <c r="AA33" s="1813">
        <f t="shared" si="15"/>
        <v>1.0204081632653061</v>
      </c>
      <c r="AB33" s="1813">
        <f t="shared" si="16"/>
        <v>1.1111111111111112</v>
      </c>
      <c r="AC33" s="1813">
        <f t="shared" si="17"/>
        <v>1.1111111111111112</v>
      </c>
    </row>
    <row r="34" spans="1:29" ht="15">
      <c r="A34" s="472"/>
      <c r="B34" s="422" t="s">
        <v>2567</v>
      </c>
      <c r="C34" s="2625" t="s">
        <v>3875</v>
      </c>
      <c r="D34" s="435">
        <v>100</v>
      </c>
      <c r="E34" s="2626" t="s">
        <v>3875</v>
      </c>
      <c r="F34" s="461">
        <f>SUMIF(105:105,E34,106:106)-SUMIF(105:105,C34,106:106)+100</f>
        <v>100</v>
      </c>
      <c r="G34" s="2625" t="s">
        <v>3875</v>
      </c>
      <c r="H34" s="435">
        <f>SUMIF(105:105,G34,106:106)-SUMIF(105:105,C34,106:106)+100</f>
        <v>100</v>
      </c>
      <c r="I34" s="2626" t="s">
        <v>3875</v>
      </c>
      <c r="J34" s="435">
        <f>SUMIF(105:105,I34,106:106)-SUMIF(105:105,C34,106:106)+100</f>
        <v>100</v>
      </c>
      <c r="K34" s="426">
        <v>2</v>
      </c>
      <c r="L34" s="1143"/>
      <c r="M34" s="1134"/>
      <c r="N34" s="1134"/>
      <c r="O34" s="1134"/>
      <c r="P34" s="3285"/>
      <c r="Q34" s="1812" t="str">
        <f t="shared" si="11"/>
        <v>建筑结构</v>
      </c>
      <c r="R34" s="774" t="s">
        <v>21</v>
      </c>
      <c r="S34" s="775">
        <f t="shared" si="12"/>
        <v>100</v>
      </c>
      <c r="T34" s="774" t="s">
        <v>21</v>
      </c>
      <c r="U34" s="775">
        <f t="shared" si="13"/>
        <v>100</v>
      </c>
      <c r="V34" s="774" t="s">
        <v>21</v>
      </c>
      <c r="W34" s="775">
        <f t="shared" si="14"/>
        <v>100</v>
      </c>
      <c r="X34" s="1815"/>
      <c r="Y34" s="3222"/>
      <c r="Z34" s="1816" t="str">
        <f t="shared" si="18"/>
        <v>建筑结构</v>
      </c>
      <c r="AA34" s="1813">
        <f t="shared" si="15"/>
        <v>1</v>
      </c>
      <c r="AB34" s="1813">
        <f t="shared" si="16"/>
        <v>1</v>
      </c>
      <c r="AC34" s="1813">
        <f t="shared" si="17"/>
        <v>1</v>
      </c>
    </row>
    <row r="35" spans="1:29" ht="15">
      <c r="A35" s="472"/>
      <c r="B35" s="422" t="s">
        <v>2568</v>
      </c>
      <c r="C35" s="2619" t="s">
        <v>3879</v>
      </c>
      <c r="D35" s="435">
        <v>100</v>
      </c>
      <c r="E35" s="2620" t="s">
        <v>3879</v>
      </c>
      <c r="F35" s="461">
        <f>SUMIF(107:107,E35,108:108)-SUMIF(107:107,C35,108:108)+100</f>
        <v>100</v>
      </c>
      <c r="G35" s="2619" t="s">
        <v>3879</v>
      </c>
      <c r="H35" s="435">
        <f>SUMIF(107:107,G35,108:108)-SUMIF(107:107,C35,108:108)+100</f>
        <v>100</v>
      </c>
      <c r="I35" s="2620" t="s">
        <v>3879</v>
      </c>
      <c r="J35" s="435">
        <f>SUMIF(107:107,I35,108:108)-SUMIF(107:107,C35,108:108)+100</f>
        <v>100</v>
      </c>
      <c r="K35" s="426">
        <v>2</v>
      </c>
      <c r="L35" s="1143"/>
      <c r="M35" s="1134"/>
      <c r="N35" s="1134"/>
      <c r="O35" s="1134"/>
      <c r="P35" s="3285"/>
      <c r="Q35" s="1812" t="str">
        <f t="shared" si="11"/>
        <v>建筑品质</v>
      </c>
      <c r="R35" s="774" t="s">
        <v>21</v>
      </c>
      <c r="S35" s="775">
        <f t="shared" si="12"/>
        <v>100</v>
      </c>
      <c r="T35" s="774" t="s">
        <v>21</v>
      </c>
      <c r="U35" s="775">
        <f t="shared" si="13"/>
        <v>100</v>
      </c>
      <c r="V35" s="774" t="s">
        <v>21</v>
      </c>
      <c r="W35" s="775">
        <f t="shared" si="14"/>
        <v>100</v>
      </c>
      <c r="X35" s="1815"/>
      <c r="Y35" s="3222"/>
      <c r="Z35" s="1816" t="str">
        <f t="shared" si="18"/>
        <v>建筑品质</v>
      </c>
      <c r="AA35" s="1813">
        <f t="shared" si="15"/>
        <v>1</v>
      </c>
      <c r="AB35" s="1813">
        <f t="shared" si="16"/>
        <v>1</v>
      </c>
      <c r="AC35" s="1813">
        <f t="shared" si="17"/>
        <v>1</v>
      </c>
    </row>
    <row r="36" spans="1:29" ht="15">
      <c r="A36" s="472"/>
      <c r="B36" s="422" t="s">
        <v>2569</v>
      </c>
      <c r="C36" s="2619" t="s">
        <v>3881</v>
      </c>
      <c r="D36" s="435">
        <v>100</v>
      </c>
      <c r="E36" s="2620" t="s">
        <v>3881</v>
      </c>
      <c r="F36" s="461">
        <f>SUMIF(109:109,E36,110:110)-SUMIF(109:109,C36,110:110)+100</f>
        <v>100</v>
      </c>
      <c r="G36" s="2619" t="s">
        <v>3881</v>
      </c>
      <c r="H36" s="435">
        <f>SUMIF(109:109,G36,110:110)-SUMIF(109:109,C36,110:110)+100</f>
        <v>100</v>
      </c>
      <c r="I36" s="2620" t="s">
        <v>3881</v>
      </c>
      <c r="J36" s="435">
        <f>SUMIF(109:109,I36,110:110)-SUMIF(109:109,C36,110:110)+100</f>
        <v>100</v>
      </c>
      <c r="K36" s="426">
        <v>2</v>
      </c>
      <c r="L36" s="1143"/>
      <c r="M36" s="1134"/>
      <c r="N36" s="1134"/>
      <c r="O36" s="1134"/>
      <c r="P36" s="3285"/>
      <c r="Q36" s="1812" t="str">
        <f t="shared" si="11"/>
        <v>公共部分装修</v>
      </c>
      <c r="R36" s="774" t="s">
        <v>21</v>
      </c>
      <c r="S36" s="775">
        <f t="shared" si="12"/>
        <v>100</v>
      </c>
      <c r="T36" s="774" t="s">
        <v>21</v>
      </c>
      <c r="U36" s="775">
        <f t="shared" si="13"/>
        <v>100</v>
      </c>
      <c r="V36" s="774" t="s">
        <v>21</v>
      </c>
      <c r="W36" s="775">
        <f t="shared" si="14"/>
        <v>100</v>
      </c>
      <c r="X36" s="1815"/>
      <c r="Y36" s="3222"/>
      <c r="Z36" s="1816" t="str">
        <f t="shared" si="18"/>
        <v>公共部分装修</v>
      </c>
      <c r="AA36" s="1813">
        <f t="shared" si="15"/>
        <v>1</v>
      </c>
      <c r="AB36" s="1813">
        <f t="shared" si="16"/>
        <v>1</v>
      </c>
      <c r="AC36" s="1813">
        <f t="shared" si="17"/>
        <v>1</v>
      </c>
    </row>
    <row r="37" spans="1:29" s="117" customFormat="1" ht="15">
      <c r="A37" s="473"/>
      <c r="B37" s="422" t="s">
        <v>2570</v>
      </c>
      <c r="C37" s="474">
        <v>1</v>
      </c>
      <c r="D37" s="136">
        <v>100</v>
      </c>
      <c r="E37" s="474">
        <v>1</v>
      </c>
      <c r="F37" s="425">
        <f>LOOKUP(E37,112:112,113:113)-LOOKUP(C37,112:112,113:113)+100</f>
        <v>100</v>
      </c>
      <c r="G37" s="476">
        <v>1</v>
      </c>
      <c r="H37" s="136">
        <f>LOOKUP(G37,112:112,113:113)-LOOKUP(C37,112:112,113:113)+100</f>
        <v>100</v>
      </c>
      <c r="I37" s="475">
        <v>1</v>
      </c>
      <c r="J37" s="136">
        <f>LOOKUP(I37,112:112,113:113)-LOOKUP(C37,112:112,113:113)+100</f>
        <v>100</v>
      </c>
      <c r="K37" s="426">
        <v>2</v>
      </c>
      <c r="L37" s="1135"/>
      <c r="M37" s="1136"/>
      <c r="N37" s="1136"/>
      <c r="O37" s="1136"/>
      <c r="P37" s="3285"/>
      <c r="Q37" s="1797" t="str">
        <f t="shared" si="11"/>
        <v>成新度</v>
      </c>
      <c r="R37" s="770" t="s">
        <v>21</v>
      </c>
      <c r="S37" s="771">
        <f t="shared" si="12"/>
        <v>100</v>
      </c>
      <c r="T37" s="770" t="s">
        <v>21</v>
      </c>
      <c r="U37" s="771">
        <f t="shared" si="13"/>
        <v>100</v>
      </c>
      <c r="V37" s="770" t="s">
        <v>21</v>
      </c>
      <c r="W37" s="771">
        <f t="shared" si="14"/>
        <v>100</v>
      </c>
      <c r="X37" s="772"/>
      <c r="Y37" s="3222"/>
      <c r="Z37" s="55" t="str">
        <f t="shared" si="18"/>
        <v>成新度</v>
      </c>
      <c r="AA37" s="773">
        <f t="shared" si="15"/>
        <v>1</v>
      </c>
      <c r="AB37" s="773">
        <f t="shared" si="16"/>
        <v>1</v>
      </c>
      <c r="AC37" s="773">
        <f t="shared" si="17"/>
        <v>1</v>
      </c>
    </row>
    <row r="38" spans="1:29" ht="15">
      <c r="A38" s="472"/>
      <c r="B38" s="422" t="s">
        <v>2571</v>
      </c>
      <c r="C38" s="2619" t="s">
        <v>3886</v>
      </c>
      <c r="D38" s="435">
        <v>100</v>
      </c>
      <c r="E38" s="2620" t="s">
        <v>3886</v>
      </c>
      <c r="F38" s="461">
        <f>SUMIF(114:114,E38,115:115)-SUMIF(114:114,C38,115:115)+100</f>
        <v>100</v>
      </c>
      <c r="G38" s="2619" t="s">
        <v>3886</v>
      </c>
      <c r="H38" s="435">
        <f>SUMIF(114:114,G38,115:115)-SUMIF(114:114,C38,115:115)+100</f>
        <v>100</v>
      </c>
      <c r="I38" s="2620" t="s">
        <v>3886</v>
      </c>
      <c r="J38" s="435">
        <f>SUMIF(114:114,I38,115:115)-SUMIF(114:114,C38,115:115)+100</f>
        <v>100</v>
      </c>
      <c r="K38" s="426">
        <v>2</v>
      </c>
      <c r="L38" s="1143"/>
      <c r="M38" s="1134"/>
      <c r="N38" s="1134"/>
      <c r="O38" s="1134"/>
      <c r="P38" s="3285" t="s">
        <v>2565</v>
      </c>
      <c r="Q38" s="1812" t="str">
        <f t="shared" si="11"/>
        <v>物业管理</v>
      </c>
      <c r="R38" s="774" t="s">
        <v>21</v>
      </c>
      <c r="S38" s="775">
        <f t="shared" si="12"/>
        <v>100</v>
      </c>
      <c r="T38" s="774" t="s">
        <v>21</v>
      </c>
      <c r="U38" s="775">
        <f t="shared" si="13"/>
        <v>100</v>
      </c>
      <c r="V38" s="774" t="s">
        <v>21</v>
      </c>
      <c r="W38" s="775">
        <f t="shared" si="14"/>
        <v>100</v>
      </c>
      <c r="X38" s="1815"/>
      <c r="Y38" s="3222" t="s">
        <v>2565</v>
      </c>
      <c r="Z38" s="1816" t="str">
        <f t="shared" si="18"/>
        <v>物业管理</v>
      </c>
      <c r="AA38" s="1813">
        <f t="shared" si="15"/>
        <v>1</v>
      </c>
      <c r="AB38" s="1813">
        <f t="shared" si="16"/>
        <v>1</v>
      </c>
      <c r="AC38" s="1813">
        <f t="shared" si="17"/>
        <v>1</v>
      </c>
    </row>
    <row r="39" spans="1:29" ht="15">
      <c r="A39" s="472"/>
      <c r="B39" s="422" t="s">
        <v>2572</v>
      </c>
      <c r="C39" s="2619" t="s">
        <v>3891</v>
      </c>
      <c r="D39" s="435">
        <v>100</v>
      </c>
      <c r="E39" s="2620" t="s">
        <v>3891</v>
      </c>
      <c r="F39" s="461">
        <f>SUMIF(116:116,E39,117:117)-SUMIF(116:116,C39,117:117)+100</f>
        <v>100</v>
      </c>
      <c r="G39" s="2619" t="s">
        <v>3891</v>
      </c>
      <c r="H39" s="435">
        <f>SUMIF(116:116,G39,117:117)-SUMIF(116:116,C39,117:117)+100</f>
        <v>100</v>
      </c>
      <c r="I39" s="2620" t="s">
        <v>3889</v>
      </c>
      <c r="J39" s="435">
        <f>SUMIF(116:116,I39,117:117)-SUMIF(116:116,C39,117:117)+100</f>
        <v>102</v>
      </c>
      <c r="K39" s="426">
        <v>2</v>
      </c>
      <c r="L39" s="1143"/>
      <c r="M39" s="1134"/>
      <c r="N39" s="1134"/>
      <c r="O39" s="1134"/>
      <c r="P39" s="3285"/>
      <c r="Q39" s="1812" t="str">
        <f t="shared" si="11"/>
        <v>市政基础设施</v>
      </c>
      <c r="R39" s="774" t="s">
        <v>21</v>
      </c>
      <c r="S39" s="775">
        <f t="shared" si="12"/>
        <v>100</v>
      </c>
      <c r="T39" s="774" t="s">
        <v>21</v>
      </c>
      <c r="U39" s="775">
        <f t="shared" si="13"/>
        <v>100</v>
      </c>
      <c r="V39" s="774" t="s">
        <v>21</v>
      </c>
      <c r="W39" s="775">
        <f t="shared" si="14"/>
        <v>102</v>
      </c>
      <c r="X39" s="1815"/>
      <c r="Y39" s="3222"/>
      <c r="Z39" s="1816" t="str">
        <f t="shared" si="18"/>
        <v>市政基础设施</v>
      </c>
      <c r="AA39" s="1813">
        <f t="shared" si="15"/>
        <v>1</v>
      </c>
      <c r="AB39" s="1813">
        <f t="shared" si="16"/>
        <v>1</v>
      </c>
      <c r="AC39" s="1813">
        <f t="shared" si="17"/>
        <v>0.98039215686274506</v>
      </c>
    </row>
    <row r="40" spans="1:29" ht="15">
      <c r="A40" s="472"/>
      <c r="B40" s="422" t="s">
        <v>2573</v>
      </c>
      <c r="C40" s="2619"/>
      <c r="D40" s="435">
        <v>100</v>
      </c>
      <c r="E40" s="2620"/>
      <c r="F40" s="461">
        <f>SUMIF(118:118,E40,119:119)-SUMIF(118:118,C40,119:119)+100</f>
        <v>100</v>
      </c>
      <c r="G40" s="2619"/>
      <c r="H40" s="435">
        <f>SUMIF(118:118,G40,119:119)-SUMIF(118:118,C40,119:119)+100</f>
        <v>100</v>
      </c>
      <c r="I40" s="2620"/>
      <c r="J40" s="435">
        <f>SUMIF(118:118,I40,119:119)-SUMIF(118:118,C40,119:119)+100</f>
        <v>100</v>
      </c>
      <c r="K40" s="426"/>
      <c r="L40" s="1143"/>
      <c r="M40" s="1134"/>
      <c r="N40" s="1134"/>
      <c r="O40" s="1134"/>
      <c r="P40" s="3285"/>
      <c r="Q40" s="1812" t="str">
        <f t="shared" si="11"/>
        <v>房型</v>
      </c>
      <c r="R40" s="774" t="s">
        <v>21</v>
      </c>
      <c r="S40" s="775">
        <f t="shared" si="12"/>
        <v>100</v>
      </c>
      <c r="T40" s="774" t="s">
        <v>21</v>
      </c>
      <c r="U40" s="775">
        <f t="shared" si="13"/>
        <v>100</v>
      </c>
      <c r="V40" s="774" t="s">
        <v>21</v>
      </c>
      <c r="W40" s="775">
        <f t="shared" si="14"/>
        <v>100</v>
      </c>
      <c r="X40" s="1815"/>
      <c r="Y40" s="3222"/>
      <c r="Z40" s="1816" t="str">
        <f t="shared" si="18"/>
        <v>房型</v>
      </c>
      <c r="AA40" s="1813">
        <f t="shared" si="15"/>
        <v>1</v>
      </c>
      <c r="AB40" s="1813">
        <f t="shared" si="16"/>
        <v>1</v>
      </c>
      <c r="AC40" s="1813">
        <f t="shared" si="17"/>
        <v>1</v>
      </c>
    </row>
    <row r="41" spans="1:29" s="471" customFormat="1" ht="28.5">
      <c r="A41" s="468"/>
      <c r="B41" s="422" t="s">
        <v>2574</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7"/>
      <c r="L41" s="1141"/>
      <c r="M41" s="1144"/>
      <c r="N41" s="1144"/>
      <c r="O41" s="1144"/>
      <c r="P41" s="3285"/>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3">
        <f t="shared" si="15"/>
        <v>1</v>
      </c>
      <c r="AB41" s="1813">
        <f t="shared" si="16"/>
        <v>1</v>
      </c>
      <c r="AC41" s="1813">
        <f t="shared" si="17"/>
        <v>1</v>
      </c>
    </row>
    <row r="42" spans="1:29" ht="15">
      <c r="A42" s="472"/>
      <c r="B42" s="422" t="s">
        <v>2575</v>
      </c>
      <c r="C42" s="2619" t="s">
        <v>3881</v>
      </c>
      <c r="D42" s="435">
        <v>100</v>
      </c>
      <c r="E42" s="2620" t="s">
        <v>4015</v>
      </c>
      <c r="F42" s="461">
        <f>SUMIF(122:122,E42,123:123)-SUMIF(122:122,C42,123:123)+100</f>
        <v>96</v>
      </c>
      <c r="G42" s="2619" t="s">
        <v>3881</v>
      </c>
      <c r="H42" s="435">
        <f>SUMIF(122:122,G42,123:123)-SUMIF(122:122,C42,123:123)+100</f>
        <v>100</v>
      </c>
      <c r="I42" s="2620" t="s">
        <v>4015</v>
      </c>
      <c r="J42" s="435">
        <f>SUMIF(122:122,I42,123:123)-SUMIF(122:122,C42,123:123)+100</f>
        <v>96</v>
      </c>
      <c r="K42" s="426">
        <v>4</v>
      </c>
      <c r="L42" s="1143"/>
      <c r="M42" s="1134"/>
      <c r="N42" s="1134"/>
      <c r="O42" s="1134"/>
      <c r="P42" s="3285"/>
      <c r="Q42" s="1812" t="str">
        <f t="shared" si="11"/>
        <v>内部装修</v>
      </c>
      <c r="R42" s="774" t="s">
        <v>21</v>
      </c>
      <c r="S42" s="775">
        <f t="shared" si="12"/>
        <v>96</v>
      </c>
      <c r="T42" s="774" t="s">
        <v>21</v>
      </c>
      <c r="U42" s="775">
        <f t="shared" si="13"/>
        <v>100</v>
      </c>
      <c r="V42" s="774" t="s">
        <v>21</v>
      </c>
      <c r="W42" s="775">
        <f t="shared" si="14"/>
        <v>96</v>
      </c>
      <c r="X42" s="1815"/>
      <c r="Y42" s="3222"/>
      <c r="Z42" s="1816" t="str">
        <f t="shared" si="18"/>
        <v>内部装修</v>
      </c>
      <c r="AA42" s="1813">
        <f t="shared" si="15"/>
        <v>1.0416666666666667</v>
      </c>
      <c r="AB42" s="1813">
        <f t="shared" si="16"/>
        <v>1</v>
      </c>
      <c r="AC42" s="1813">
        <f t="shared" si="17"/>
        <v>1.0416666666666667</v>
      </c>
    </row>
    <row r="43" spans="1:29" ht="15">
      <c r="A43" s="472"/>
      <c r="B43" s="422" t="s">
        <v>2576</v>
      </c>
      <c r="C43" s="2619" t="s">
        <v>3900</v>
      </c>
      <c r="D43" s="435">
        <v>100</v>
      </c>
      <c r="E43" s="2620" t="s">
        <v>3900</v>
      </c>
      <c r="F43" s="461">
        <f>SUMIF(124:124,E43,125:125)-SUMIF(124:124,C43,125:125)+100</f>
        <v>100</v>
      </c>
      <c r="G43" s="2619" t="s">
        <v>3900</v>
      </c>
      <c r="H43" s="435">
        <f>SUMIF(124:124,G43,125:125)-SUMIF(124:124,C43,125:125)+100</f>
        <v>100</v>
      </c>
      <c r="I43" s="2620" t="s">
        <v>3900</v>
      </c>
      <c r="J43" s="435">
        <f>SUMIF(124:124,I43,125:125)-SUMIF(124:124,C43,125:125)+100</f>
        <v>100</v>
      </c>
      <c r="K43" s="426">
        <v>2</v>
      </c>
      <c r="L43" s="1143"/>
      <c r="M43" s="1134"/>
      <c r="N43" s="1134"/>
      <c r="O43" s="1134"/>
      <c r="P43" s="3285"/>
      <c r="Q43" s="1812" t="str">
        <f t="shared" si="11"/>
        <v>内部装修维护情况</v>
      </c>
      <c r="R43" s="774" t="s">
        <v>21</v>
      </c>
      <c r="S43" s="775">
        <f t="shared" si="12"/>
        <v>100</v>
      </c>
      <c r="T43" s="774" t="s">
        <v>21</v>
      </c>
      <c r="U43" s="775">
        <f t="shared" si="13"/>
        <v>100</v>
      </c>
      <c r="V43" s="774" t="s">
        <v>21</v>
      </c>
      <c r="W43" s="775">
        <f t="shared" si="14"/>
        <v>100</v>
      </c>
      <c r="X43" s="1815"/>
      <c r="Y43" s="3222"/>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7"/>
      <c r="L44" s="1135"/>
      <c r="M44" s="1136"/>
      <c r="N44" s="1136"/>
      <c r="O44" s="1136"/>
      <c r="P44" s="3285"/>
      <c r="Q44" s="1797">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7"/>
      <c r="L45" s="1143"/>
      <c r="M45" s="1134"/>
      <c r="N45" s="1134"/>
      <c r="O45" s="1134"/>
      <c r="P45" s="3285"/>
      <c r="Q45" s="1812">
        <f t="shared" si="11"/>
        <v>111</v>
      </c>
      <c r="R45" s="774" t="s">
        <v>21</v>
      </c>
      <c r="S45" s="775">
        <f t="shared" si="12"/>
        <v>100</v>
      </c>
      <c r="T45" s="774" t="s">
        <v>21</v>
      </c>
      <c r="U45" s="775">
        <f t="shared" si="13"/>
        <v>100</v>
      </c>
      <c r="V45" s="774" t="s">
        <v>21</v>
      </c>
      <c r="W45" s="775">
        <f t="shared" si="14"/>
        <v>100</v>
      </c>
      <c r="X45" s="1815"/>
      <c r="Y45" s="3222"/>
      <c r="Z45" s="1816">
        <f t="shared" si="18"/>
        <v>111</v>
      </c>
      <c r="AA45" s="1813">
        <f t="shared" si="15"/>
        <v>1</v>
      </c>
      <c r="AB45" s="1813">
        <f t="shared" si="16"/>
        <v>1</v>
      </c>
      <c r="AC45" s="1813">
        <f t="shared" si="17"/>
        <v>1</v>
      </c>
    </row>
    <row r="46" spans="1:29" ht="15.75" thickBot="1">
      <c r="A46" s="478"/>
      <c r="B46" s="2608">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7"/>
      <c r="L46" s="1143"/>
      <c r="M46" s="1134"/>
      <c r="N46" s="1134"/>
      <c r="O46" s="1134"/>
      <c r="P46" s="3286"/>
      <c r="Q46" s="1812">
        <f t="shared" si="11"/>
        <v>111</v>
      </c>
      <c r="R46" s="774" t="s">
        <v>20</v>
      </c>
      <c r="S46" s="775">
        <f t="shared" si="12"/>
        <v>100</v>
      </c>
      <c r="T46" s="774" t="s">
        <v>20</v>
      </c>
      <c r="U46" s="775">
        <f t="shared" si="13"/>
        <v>100</v>
      </c>
      <c r="V46" s="774" t="s">
        <v>20</v>
      </c>
      <c r="W46" s="775">
        <f t="shared" si="14"/>
        <v>100</v>
      </c>
      <c r="X46" s="1815"/>
      <c r="Y46" s="3287"/>
      <c r="Z46" s="1816">
        <f t="shared" si="18"/>
        <v>111</v>
      </c>
      <c r="AA46" s="1813">
        <f t="shared" si="15"/>
        <v>1</v>
      </c>
      <c r="AB46" s="1813">
        <f t="shared" si="16"/>
        <v>1</v>
      </c>
      <c r="AC46" s="1813">
        <f t="shared" si="17"/>
        <v>1</v>
      </c>
    </row>
    <row r="47" spans="1:29" ht="15">
      <c r="A47" s="479" t="s">
        <v>2577</v>
      </c>
      <c r="B47" s="480"/>
      <c r="C47" s="1410" t="s">
        <v>19</v>
      </c>
      <c r="D47" s="1411"/>
      <c r="E47" s="1412">
        <v>17800</v>
      </c>
      <c r="F47" s="1413"/>
      <c r="G47" s="1414">
        <v>23000</v>
      </c>
      <c r="H47" s="1415"/>
      <c r="I47" s="1412">
        <v>17500</v>
      </c>
      <c r="J47" s="1415"/>
      <c r="K47" s="2627"/>
      <c r="L47" s="1146"/>
      <c r="M47" s="1147"/>
      <c r="N47" s="1134"/>
      <c r="O47" s="1147"/>
      <c r="P47" s="3217" t="str">
        <f>A47</f>
        <v>成交单价（元/平方米）</v>
      </c>
      <c r="Q47" s="3217"/>
      <c r="R47" s="3283">
        <f>E47</f>
        <v>17800</v>
      </c>
      <c r="S47" s="3283"/>
      <c r="T47" s="3283">
        <f>G47</f>
        <v>23000</v>
      </c>
      <c r="U47" s="3283"/>
      <c r="V47" s="3283">
        <f>I47</f>
        <v>17500</v>
      </c>
      <c r="W47" s="3283"/>
      <c r="X47" s="759"/>
      <c r="Y47" s="781"/>
      <c r="Z47" s="759"/>
      <c r="AA47" s="759"/>
      <c r="AB47" s="759"/>
      <c r="AC47" s="759"/>
    </row>
    <row r="48" spans="1:29" ht="15.75" thickBot="1">
      <c r="A48" s="486" t="s">
        <v>2578</v>
      </c>
      <c r="B48" s="487"/>
      <c r="C48" s="1416">
        <f>R49</f>
        <v>18321</v>
      </c>
      <c r="D48" s="1417"/>
      <c r="E48" s="1418">
        <f>R48</f>
        <v>16122</v>
      </c>
      <c r="F48" s="1418"/>
      <c r="G48" s="1416">
        <f>T48</f>
        <v>21568</v>
      </c>
      <c r="H48" s="1417"/>
      <c r="I48" s="1418">
        <f>V48</f>
        <v>17273</v>
      </c>
      <c r="J48" s="1417"/>
      <c r="K48" s="2628"/>
      <c r="L48" s="1146"/>
      <c r="M48" s="1147"/>
      <c r="N48" s="1147"/>
      <c r="O48" s="1147"/>
      <c r="P48" s="3217" t="str">
        <f>A48</f>
        <v>比较价值（元/平方米）</v>
      </c>
      <c r="Q48" s="3217"/>
      <c r="R48" s="3283">
        <f>IF(F1="售价",ROUND(PRODUCT(R47,AA7:AA46),0),ROUND(PRODUCT(R47,AA7:AA46),1))</f>
        <v>16122</v>
      </c>
      <c r="S48" s="3283"/>
      <c r="T48" s="3283">
        <f>IF(F1="售价",ROUND(PRODUCT(T47,AB7:AB46),0),ROUND(PRODUCT(T47,AB7:AB46),1))</f>
        <v>21568</v>
      </c>
      <c r="U48" s="3283"/>
      <c r="V48" s="3283">
        <f>IF(F1="售价",ROUND(PRODUCT(V47,AC7:AC46),0),ROUND(PRODUCT(V47,AC7:AC46),1))</f>
        <v>17273</v>
      </c>
      <c r="W48" s="3283"/>
      <c r="X48" s="759"/>
      <c r="Y48" s="759"/>
      <c r="Z48" s="759"/>
      <c r="AA48" s="759"/>
      <c r="AB48" s="759"/>
      <c r="AC48" s="759"/>
    </row>
    <row r="49" spans="1:29" ht="15.75" thickBot="1">
      <c r="A49" s="492" t="s">
        <v>2579</v>
      </c>
      <c r="B49" s="493"/>
      <c r="C49" s="1419">
        <f>R49</f>
        <v>18321</v>
      </c>
      <c r="D49" s="1420"/>
      <c r="E49" s="1420"/>
      <c r="F49" s="1420"/>
      <c r="G49" s="1420"/>
      <c r="H49" s="1420"/>
      <c r="I49" s="1420"/>
      <c r="J49" s="1420"/>
      <c r="K49" s="2629"/>
      <c r="L49" s="1146"/>
      <c r="M49" s="1147"/>
      <c r="N49" s="1147"/>
      <c r="O49" s="1147"/>
      <c r="P49" s="3211" t="str">
        <f>A49</f>
        <v>估价对象XX用房的比较价值（楼面单价，元/平方米）</v>
      </c>
      <c r="Q49" s="3212"/>
      <c r="R49" s="3282">
        <f>IF(F1="售价",ROUND(AVERAGE(R48:V48),0),ROUND(AVERAGE(R48:V48),1))</f>
        <v>18321</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2580</v>
      </c>
      <c r="D52" s="498"/>
      <c r="E52" s="499">
        <f>IF(E47&lt;E48,E48/E47-1,E47/E48-1)</f>
        <v>0.10408137948145391</v>
      </c>
      <c r="F52" s="500" t="str">
        <f>IF(OR(E52&gt;=0.3,E52&lt;=-0.3),"超过30%","")</f>
        <v/>
      </c>
      <c r="G52" s="499">
        <f>IF(G47&lt;G48,G48/G47-1,G47/G48-1)</f>
        <v>6.6394658753709201E-2</v>
      </c>
      <c r="H52" s="500" t="str">
        <f>IF(OR(G52&gt;=0.3,G52&lt;=-0.3),"超过30%","")</f>
        <v/>
      </c>
      <c r="I52" s="499">
        <f>IF(I47&lt;I48,I48/I47-1,I47/I48-1)</f>
        <v>1.3141897759509025E-2</v>
      </c>
      <c r="J52" s="500" t="str">
        <f>IF(OR(I52&gt;=0.3,I52&lt;=-0.3),"超过30%","")</f>
        <v/>
      </c>
      <c r="K52" s="1108"/>
      <c r="L52" s="1109"/>
      <c r="M52" s="1147"/>
      <c r="N52" s="1147"/>
      <c r="O52" s="1147"/>
    </row>
    <row r="53" spans="1:29" ht="13.5" customHeight="1">
      <c r="A53" s="1147"/>
      <c r="B53" s="1147"/>
      <c r="C53" s="497" t="s">
        <v>2581</v>
      </c>
      <c r="D53" s="501"/>
      <c r="E53" s="499">
        <f>IF(E48&lt;G48,G48/E48-1,E48/G48-1)</f>
        <v>0.33779928048629193</v>
      </c>
      <c r="F53" s="500" t="str">
        <f>IF(OR(E53&gt;=0.2,E53&lt;=-0.2),"超过20%","")</f>
        <v>超过20%</v>
      </c>
      <c r="G53" s="499">
        <f>IF(G48&lt;I48,I48/G48-1,G48/I48-1)</f>
        <v>0.24865396862154809</v>
      </c>
      <c r="H53" s="500" t="str">
        <f>IF(OR(G53&gt;=0.2,G53&lt;=-0.2),"超过20%","")</f>
        <v>超过20%</v>
      </c>
      <c r="I53" s="499">
        <f>IF(I48&lt;E48,E48/I48-1,I48/E48-1)</f>
        <v>7.1393127403547973E-2</v>
      </c>
      <c r="J53" s="500" t="str">
        <f>IF(OR(I53&gt;=0.2,I53&lt;=-0.2),"超过20%","")</f>
        <v/>
      </c>
      <c r="K53" s="1108"/>
      <c r="L53" s="1109"/>
      <c r="M53" s="1147"/>
      <c r="N53" s="1147"/>
      <c r="O53" s="1147"/>
    </row>
    <row r="54" spans="1:29" s="502" customFormat="1" ht="13.5" customHeight="1">
      <c r="A54" s="1148"/>
      <c r="B54" s="1148"/>
      <c r="C54" s="497" t="s">
        <v>2582</v>
      </c>
      <c r="D54" s="501"/>
      <c r="E54" s="499">
        <f>IF(E47&lt;G47,G47/E47-1,E47/G47-1)</f>
        <v>0.2921348314606742</v>
      </c>
      <c r="F54" s="500" t="str">
        <f>IF(OR(E54&gt;=0.3,E54&lt;=-0.3),"超过30%","")</f>
        <v/>
      </c>
      <c r="G54" s="499">
        <f>IF(G47&lt;I47,I47/G47-1,G47/I47-1)</f>
        <v>0.31428571428571428</v>
      </c>
      <c r="H54" s="500" t="str">
        <f>IF(OR(G54&gt;=0.3,G54&lt;=-0.3),"超过30%","")</f>
        <v>超过30%</v>
      </c>
      <c r="I54" s="499">
        <f>IF(I47&lt;E47,E47/I47-1,I47/E47-1)</f>
        <v>1.7142857142857126E-2</v>
      </c>
      <c r="J54" s="500" t="str">
        <f>IF(OR(I54&gt;=0.3,I54&lt;=-0.3),"超过30%","")</f>
        <v/>
      </c>
      <c r="K54" s="1151"/>
      <c r="L54" s="1152"/>
      <c r="M54" s="1148"/>
      <c r="N54" s="1148"/>
      <c r="O54" s="1148"/>
      <c r="P54" s="2631"/>
    </row>
    <row r="55" spans="1:29" s="502" customFormat="1">
      <c r="A55" s="1148"/>
      <c r="B55" s="1149"/>
      <c r="C55" s="1153"/>
      <c r="D55" s="1148"/>
      <c r="E55" s="1148"/>
      <c r="F55" s="1148"/>
      <c r="G55" s="1148"/>
      <c r="H55" s="1148"/>
      <c r="I55" s="1148"/>
      <c r="J55" s="1148"/>
      <c r="K55" s="1151"/>
      <c r="L55" s="1152"/>
      <c r="M55" s="1148"/>
      <c r="N55" s="1148"/>
      <c r="O55" s="1148"/>
      <c r="P55" s="2631"/>
    </row>
    <row r="56" spans="1:29">
      <c r="A56" s="1147"/>
      <c r="B56" s="1149"/>
      <c r="C56" s="1153"/>
      <c r="D56" s="1147"/>
      <c r="E56" s="1147"/>
      <c r="F56" s="1147"/>
      <c r="G56" s="1147"/>
      <c r="H56" s="1147"/>
      <c r="I56" s="1147"/>
      <c r="J56" s="1147"/>
      <c r="K56" s="1108"/>
      <c r="L56" s="1109"/>
      <c r="M56" s="1147"/>
      <c r="N56" s="1147"/>
      <c r="O56" s="1147"/>
    </row>
    <row r="57" spans="1:29" ht="21.75" thickBot="1">
      <c r="A57" s="763" t="s">
        <v>2583</v>
      </c>
      <c r="B57" s="759"/>
      <c r="C57" s="764"/>
      <c r="D57" s="764"/>
      <c r="E57" s="764"/>
      <c r="F57" s="765"/>
      <c r="G57" s="765"/>
      <c r="H57" s="764"/>
      <c r="I57" s="764"/>
      <c r="J57" s="764"/>
      <c r="K57" s="1163"/>
      <c r="L57" s="1164"/>
      <c r="M57" s="1162"/>
      <c r="N57" s="1162"/>
      <c r="O57" s="1162"/>
      <c r="P57" s="2632"/>
      <c r="Q57" s="504"/>
    </row>
    <row r="58" spans="1:29" s="508" customFormat="1" ht="15">
      <c r="A58" s="505" t="s">
        <v>2584</v>
      </c>
      <c r="B58" s="506"/>
      <c r="C58" s="1578" t="str">
        <f>YEAR(C7)&amp;"-"&amp;MONTH(C7)</f>
        <v>2019-8</v>
      </c>
      <c r="D58" s="1577">
        <f>EDATE(C58,-1)</f>
        <v>43647</v>
      </c>
      <c r="E58" s="1577">
        <f>EDATE(D58,-1)</f>
        <v>43617</v>
      </c>
      <c r="F58" s="1577">
        <f t="shared" ref="F58:O58" si="19">EDATE(E58,-1)</f>
        <v>43586</v>
      </c>
      <c r="G58" s="1577">
        <f t="shared" si="19"/>
        <v>43556</v>
      </c>
      <c r="H58" s="1577">
        <f t="shared" si="19"/>
        <v>43525</v>
      </c>
      <c r="I58" s="1577">
        <f t="shared" si="19"/>
        <v>43497</v>
      </c>
      <c r="J58" s="1577">
        <f t="shared" si="19"/>
        <v>43466</v>
      </c>
      <c r="K58" s="1577">
        <f t="shared" si="19"/>
        <v>43435</v>
      </c>
      <c r="L58" s="1577">
        <f t="shared" si="19"/>
        <v>43405</v>
      </c>
      <c r="M58" s="1577">
        <f t="shared" si="19"/>
        <v>43374</v>
      </c>
      <c r="N58" s="1577">
        <f t="shared" si="19"/>
        <v>43344</v>
      </c>
      <c r="O58" s="1577">
        <f t="shared" si="19"/>
        <v>43313</v>
      </c>
      <c r="P58" s="1572"/>
    </row>
    <row r="59" spans="1:29" s="117" customFormat="1" ht="15">
      <c r="A59" s="509"/>
      <c r="B59" s="2633"/>
      <c r="C59" s="1575">
        <v>100</v>
      </c>
      <c r="D59" s="511">
        <v>99</v>
      </c>
      <c r="E59" s="512">
        <v>98</v>
      </c>
      <c r="F59" s="512">
        <v>97</v>
      </c>
      <c r="G59" s="512">
        <v>96</v>
      </c>
      <c r="H59" s="511">
        <v>95</v>
      </c>
      <c r="I59" s="512">
        <v>94</v>
      </c>
      <c r="J59" s="512">
        <v>93</v>
      </c>
      <c r="K59" s="512">
        <v>92</v>
      </c>
      <c r="L59" s="511">
        <v>91</v>
      </c>
      <c r="M59" s="512">
        <v>90</v>
      </c>
      <c r="N59" s="512">
        <v>89</v>
      </c>
      <c r="O59" s="512">
        <v>88</v>
      </c>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2586</v>
      </c>
      <c r="B61" s="510"/>
      <c r="C61" s="522" t="s">
        <v>2587</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t="str">
        <f>C9</f>
        <v>商业</v>
      </c>
      <c r="D63" s="2968" t="s">
        <v>4067</v>
      </c>
      <c r="E63" s="530"/>
      <c r="F63" s="530"/>
      <c r="G63" s="530"/>
      <c r="H63" s="530"/>
      <c r="I63" s="530"/>
      <c r="J63" s="530"/>
      <c r="K63" s="531"/>
      <c r="L63" s="532"/>
      <c r="M63" s="533"/>
      <c r="N63" s="1155"/>
      <c r="O63" s="1155"/>
      <c r="P63" s="2636"/>
      <c r="Q63" s="504"/>
    </row>
    <row r="64" spans="1:29" ht="15.75" thickBot="1">
      <c r="A64" s="534"/>
      <c r="B64" s="535"/>
      <c r="C64" s="536">
        <v>100</v>
      </c>
      <c r="D64" s="536">
        <v>105</v>
      </c>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v>100</v>
      </c>
      <c r="D66" s="544">
        <f t="shared" ref="D66:I66" si="20">C66-$K10</f>
        <v>98</v>
      </c>
      <c r="E66" s="544">
        <f t="shared" si="20"/>
        <v>96</v>
      </c>
      <c r="F66" s="544">
        <f t="shared" si="20"/>
        <v>94</v>
      </c>
      <c r="G66" s="544">
        <f t="shared" si="20"/>
        <v>92</v>
      </c>
      <c r="H66" s="544">
        <f t="shared" si="20"/>
        <v>90</v>
      </c>
      <c r="I66" s="544">
        <f t="shared" si="20"/>
        <v>88</v>
      </c>
      <c r="J66" s="544"/>
      <c r="K66" s="544"/>
      <c r="L66" s="544"/>
      <c r="M66" s="545"/>
      <c r="N66" s="1156"/>
      <c r="O66" s="1156"/>
      <c r="P66" s="2636"/>
      <c r="Q66" s="504"/>
    </row>
    <row r="67" spans="1:17" ht="15.75" thickTop="1">
      <c r="A67" s="534"/>
      <c r="B67" s="546" t="s">
        <v>2558</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6"/>
      <c r="Q67" s="504"/>
    </row>
    <row r="68" spans="1:17" ht="15">
      <c r="A68" s="534"/>
      <c r="B68" s="548"/>
      <c r="C68" s="549">
        <v>0</v>
      </c>
      <c r="D68" s="549">
        <v>1</v>
      </c>
      <c r="E68" s="549">
        <v>2</v>
      </c>
      <c r="F68" s="549">
        <v>3</v>
      </c>
      <c r="G68" s="549">
        <v>4</v>
      </c>
      <c r="H68" s="549"/>
      <c r="I68" s="549"/>
      <c r="J68" s="549"/>
      <c r="K68" s="550"/>
      <c r="L68" s="551"/>
      <c r="M68" s="552"/>
      <c r="N68" s="1155"/>
      <c r="O68" s="1155"/>
      <c r="P68" s="2636"/>
      <c r="Q68" s="504"/>
    </row>
    <row r="69" spans="1:17" ht="15.75" thickBot="1">
      <c r="A69" s="534"/>
      <c r="B69" s="535"/>
      <c r="C69" s="544">
        <v>100</v>
      </c>
      <c r="D69" s="544">
        <f t="shared" ref="D69:M69" si="22">C69-$K11</f>
        <v>98</v>
      </c>
      <c r="E69" s="544">
        <f t="shared" si="22"/>
        <v>96</v>
      </c>
      <c r="F69" s="544">
        <f t="shared" si="22"/>
        <v>94</v>
      </c>
      <c r="G69" s="544">
        <f t="shared" si="22"/>
        <v>92</v>
      </c>
      <c r="H69" s="544">
        <f t="shared" si="22"/>
        <v>90</v>
      </c>
      <c r="I69" s="544">
        <f t="shared" si="22"/>
        <v>88</v>
      </c>
      <c r="J69" s="544">
        <f t="shared" si="22"/>
        <v>86</v>
      </c>
      <c r="K69" s="544">
        <f t="shared" si="22"/>
        <v>84</v>
      </c>
      <c r="L69" s="544">
        <f t="shared" si="22"/>
        <v>82</v>
      </c>
      <c r="M69" s="545">
        <f t="shared" si="22"/>
        <v>80</v>
      </c>
      <c r="N69" s="1156"/>
      <c r="O69" s="1156"/>
      <c r="P69" s="2636"/>
      <c r="Q69" s="504"/>
    </row>
    <row r="70" spans="1:17" s="471" customFormat="1" ht="15.75" thickTop="1">
      <c r="A70" s="553"/>
      <c r="B70" s="538">
        <f>B12</f>
        <v>111</v>
      </c>
      <c r="C70" s="554" t="s">
        <v>4064</v>
      </c>
      <c r="D70" s="554" t="s">
        <v>4065</v>
      </c>
      <c r="E70" s="554"/>
      <c r="F70" s="554"/>
      <c r="G70" s="554"/>
      <c r="H70" s="555"/>
      <c r="I70" s="555"/>
      <c r="J70" s="555"/>
      <c r="K70" s="555"/>
      <c r="L70" s="556"/>
      <c r="M70" s="557"/>
      <c r="N70" s="1157"/>
      <c r="O70" s="1157"/>
      <c r="P70" s="2637"/>
      <c r="Q70" s="559"/>
    </row>
    <row r="71" spans="1:17" s="471" customFormat="1" ht="15.75" thickBot="1">
      <c r="A71" s="553"/>
      <c r="B71" s="543"/>
      <c r="C71" s="560">
        <v>100</v>
      </c>
      <c r="D71" s="536">
        <v>102</v>
      </c>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60"/>
      <c r="E73" s="560"/>
      <c r="F73" s="560"/>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97</v>
      </c>
      <c r="E77" s="544">
        <f>D77-$K15</f>
        <v>94</v>
      </c>
      <c r="F77" s="544">
        <f>E77-$K15</f>
        <v>91</v>
      </c>
      <c r="G77" s="544">
        <f>F77-$K15</f>
        <v>88</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36"/>
      <c r="Q81" s="504"/>
    </row>
    <row r="82" spans="1:17" ht="15.75" thickTop="1">
      <c r="A82" s="534"/>
      <c r="B82" s="546" t="s">
        <v>2099</v>
      </c>
      <c r="C82" s="539" t="s">
        <v>2604</v>
      </c>
      <c r="D82" s="539" t="s">
        <v>2605</v>
      </c>
      <c r="E82" s="539" t="s">
        <v>2606</v>
      </c>
      <c r="F82" s="539" t="s">
        <v>2607</v>
      </c>
      <c r="G82" s="539" t="s">
        <v>2608</v>
      </c>
      <c r="H82" s="539"/>
      <c r="I82" s="539"/>
      <c r="J82" s="539"/>
      <c r="K82" s="539"/>
      <c r="L82" s="539"/>
      <c r="M82" s="1385"/>
      <c r="N82" s="1156"/>
      <c r="O82" s="1156"/>
      <c r="P82" s="2636"/>
      <c r="Q82" s="504"/>
    </row>
    <row r="83" spans="1:17" ht="15.75" thickBot="1">
      <c r="A83" s="534"/>
      <c r="B83" s="546"/>
      <c r="C83" s="660">
        <v>100</v>
      </c>
      <c r="D83" s="660">
        <f>C83-$K21</f>
        <v>98</v>
      </c>
      <c r="E83" s="660">
        <f t="shared" ref="E83:G83" si="23">D83-$K21</f>
        <v>96</v>
      </c>
      <c r="F83" s="660">
        <f t="shared" si="23"/>
        <v>94</v>
      </c>
      <c r="G83" s="660">
        <f t="shared" si="23"/>
        <v>92</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36"/>
      <c r="Q85" s="504"/>
    </row>
    <row r="86" spans="1:17" s="117" customFormat="1" ht="15.75" thickTop="1">
      <c r="A86" s="579"/>
      <c r="B86" s="538" t="s">
        <v>2610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6"/>
      <c r="Q87" s="504"/>
    </row>
    <row r="88" spans="1:17" s="117" customFormat="1" ht="15.75" thickTop="1">
      <c r="A88" s="579"/>
      <c r="B88" s="538" t="s">
        <v>2611</v>
      </c>
      <c r="C88" s="554"/>
      <c r="D88" s="554"/>
      <c r="E88" s="554"/>
      <c r="F88" s="2641"/>
      <c r="G88" s="554"/>
      <c r="H88" s="554"/>
      <c r="I88" s="554"/>
      <c r="J88" s="554"/>
      <c r="K88" s="554"/>
      <c r="L88" s="554"/>
      <c r="M88" s="581"/>
      <c r="N88" s="1154"/>
      <c r="O88" s="1154"/>
      <c r="P88" s="2636"/>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6"/>
      <c r="Q89" s="504"/>
    </row>
    <row r="90" spans="1:17" s="471" customFormat="1" ht="15.75" thickTop="1">
      <c r="A90" s="553"/>
      <c r="B90" s="538">
        <f>B27</f>
        <v>111</v>
      </c>
      <c r="C90" s="554"/>
      <c r="D90" s="554"/>
      <c r="E90" s="554"/>
      <c r="F90" s="554"/>
      <c r="G90" s="554"/>
      <c r="H90" s="555"/>
      <c r="I90" s="555"/>
      <c r="J90" s="555"/>
      <c r="K90" s="555"/>
      <c r="L90" s="556"/>
      <c r="M90" s="557"/>
      <c r="N90" s="1157"/>
      <c r="O90" s="1157"/>
      <c r="P90" s="2637"/>
      <c r="Q90" s="559"/>
    </row>
    <row r="91" spans="1:17" s="471" customFormat="1" ht="15.75" thickBot="1">
      <c r="A91" s="553"/>
      <c r="B91" s="543"/>
      <c r="C91" s="560"/>
      <c r="D91" s="560"/>
      <c r="E91" s="560"/>
      <c r="F91" s="560"/>
      <c r="G91" s="560"/>
      <c r="H91" s="562"/>
      <c r="I91" s="562"/>
      <c r="J91" s="562"/>
      <c r="K91" s="562"/>
      <c r="L91" s="562"/>
      <c r="M91" s="563"/>
      <c r="N91" s="1157"/>
      <c r="O91" s="1157"/>
      <c r="P91" s="2637"/>
      <c r="Q91" s="559"/>
    </row>
    <row r="92" spans="1:17" ht="15.75" thickTop="1">
      <c r="A92" s="534"/>
      <c r="B92" s="538">
        <f>B28</f>
        <v>111</v>
      </c>
      <c r="C92" s="554"/>
      <c r="D92" s="554"/>
      <c r="E92" s="554"/>
      <c r="F92" s="554"/>
      <c r="G92" s="583"/>
      <c r="H92" s="583"/>
      <c r="I92" s="583"/>
      <c r="J92" s="583"/>
      <c r="K92" s="584"/>
      <c r="L92" s="585"/>
      <c r="M92" s="586"/>
      <c r="N92" s="1155"/>
      <c r="O92" s="1155"/>
      <c r="P92" s="2636"/>
      <c r="Q92" s="504"/>
    </row>
    <row r="93" spans="1:17" ht="15.75" thickBot="1">
      <c r="A93" s="534"/>
      <c r="B93" s="543"/>
      <c r="C93" s="560"/>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60"/>
      <c r="E95" s="560"/>
      <c r="F95" s="560"/>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70"/>
      <c r="D97" s="570"/>
      <c r="E97" s="570"/>
      <c r="F97" s="570"/>
      <c r="G97" s="536"/>
      <c r="H97" s="536"/>
      <c r="I97" s="536"/>
      <c r="J97" s="536"/>
      <c r="K97" s="536"/>
      <c r="L97" s="536"/>
      <c r="M97" s="537"/>
      <c r="N97" s="1156"/>
      <c r="O97" s="1156"/>
      <c r="P97" s="2636"/>
      <c r="Q97" s="504"/>
    </row>
    <row r="98" spans="1:17" ht="15.75" thickTop="1">
      <c r="A98" s="534"/>
      <c r="B98" s="546">
        <f>B31</f>
        <v>111</v>
      </c>
      <c r="C98" s="587"/>
      <c r="D98" s="587"/>
      <c r="E98" s="587"/>
      <c r="F98" s="587"/>
      <c r="G98" s="587"/>
      <c r="H98" s="587"/>
      <c r="I98" s="587"/>
      <c r="J98" s="587"/>
      <c r="K98" s="588"/>
      <c r="L98" s="589"/>
      <c r="M98" s="590"/>
      <c r="N98" s="1155"/>
      <c r="O98" s="1155"/>
      <c r="P98" s="2636"/>
      <c r="Q98" s="504"/>
    </row>
    <row r="99" spans="1:17" ht="15.75" thickBot="1">
      <c r="A99" s="2642"/>
      <c r="B99" s="569"/>
      <c r="C99" s="591"/>
      <c r="D99" s="591"/>
      <c r="E99" s="591"/>
      <c r="F99" s="591"/>
      <c r="G99" s="591"/>
      <c r="H99" s="591"/>
      <c r="I99" s="591"/>
      <c r="J99" s="591"/>
      <c r="K99" s="591"/>
      <c r="L99" s="591"/>
      <c r="M99" s="592"/>
      <c r="N99" s="1156"/>
      <c r="O99" s="1156"/>
      <c r="P99" s="2636"/>
      <c r="Q99" s="504"/>
    </row>
    <row r="100" spans="1:17">
      <c r="A100" s="527" t="s">
        <v>2563</v>
      </c>
      <c r="B100" s="528" t="s">
        <v>2612</v>
      </c>
      <c r="C100" s="2968" t="s">
        <v>4069</v>
      </c>
      <c r="D100" s="2968" t="s">
        <v>4070</v>
      </c>
      <c r="E100" s="2968"/>
      <c r="F100" s="2968"/>
      <c r="G100" s="530"/>
      <c r="H100" s="530"/>
      <c r="I100" s="530"/>
      <c r="J100" s="530"/>
      <c r="K100" s="531"/>
      <c r="L100" s="532"/>
      <c r="M100" s="533"/>
      <c r="N100" s="1155"/>
      <c r="O100" s="1155"/>
      <c r="P100" s="2636"/>
      <c r="Q100" s="504"/>
    </row>
    <row r="101" spans="1:17" ht="15.75" thickBot="1">
      <c r="A101" s="534"/>
      <c r="B101" s="543"/>
      <c r="C101" s="544">
        <v>100</v>
      </c>
      <c r="D101" s="544">
        <f t="shared" ref="D101:M101" si="26">C101-$K32</f>
        <v>95</v>
      </c>
      <c r="E101" s="544">
        <f t="shared" si="26"/>
        <v>90</v>
      </c>
      <c r="F101" s="544">
        <f t="shared" si="26"/>
        <v>85</v>
      </c>
      <c r="G101" s="544">
        <f t="shared" si="26"/>
        <v>80</v>
      </c>
      <c r="H101" s="544">
        <f t="shared" si="26"/>
        <v>75</v>
      </c>
      <c r="I101" s="544">
        <f t="shared" si="26"/>
        <v>70</v>
      </c>
      <c r="J101" s="544">
        <f t="shared" si="26"/>
        <v>65</v>
      </c>
      <c r="K101" s="544">
        <f t="shared" si="26"/>
        <v>60</v>
      </c>
      <c r="L101" s="544">
        <f t="shared" si="26"/>
        <v>55</v>
      </c>
      <c r="M101" s="544">
        <f t="shared" si="26"/>
        <v>50</v>
      </c>
      <c r="N101" s="1156"/>
      <c r="O101" s="1156"/>
      <c r="P101" s="2636"/>
      <c r="Q101" s="504"/>
    </row>
    <row r="102" spans="1:17" ht="29.25" thickTop="1">
      <c r="A102" s="534"/>
      <c r="B102" s="538" t="s">
        <v>2613</v>
      </c>
      <c r="C102" s="578" t="str">
        <f>C103&amp;"(含)"&amp;"-"&amp;D103</f>
        <v>0(含)-100000</v>
      </c>
      <c r="D102" s="578" t="str">
        <f t="shared" ref="D102:L102" si="27">D103&amp;"(含)"&amp;"-"&amp;E103</f>
        <v>100000(含)-200000</v>
      </c>
      <c r="E102" s="578" t="str">
        <f t="shared" si="27"/>
        <v>200000(含)-300000</v>
      </c>
      <c r="F102" s="578" t="str">
        <f t="shared" si="27"/>
        <v>300000(含)-400000</v>
      </c>
      <c r="G102" s="578" t="str">
        <f t="shared" si="27"/>
        <v>400000(含)-500000</v>
      </c>
      <c r="H102" s="578" t="str">
        <f t="shared" si="27"/>
        <v>500000(含)-</v>
      </c>
      <c r="I102" s="578" t="str">
        <f t="shared" si="27"/>
        <v>(含)-</v>
      </c>
      <c r="J102" s="578" t="str">
        <f t="shared" si="27"/>
        <v>(含)-</v>
      </c>
      <c r="K102" s="578" t="str">
        <f>K103&amp;"(含)"&amp;"-"&amp;L103</f>
        <v>(含)-</v>
      </c>
      <c r="L102" s="578" t="str">
        <f t="shared" si="27"/>
        <v>(含)-</v>
      </c>
      <c r="M102" s="578" t="str">
        <f>M103&amp;"(含)"&amp;"-"&amp;P103</f>
        <v>(含)-</v>
      </c>
      <c r="N102" s="1154"/>
      <c r="O102" s="1154"/>
      <c r="P102" s="2636"/>
      <c r="Q102" s="504"/>
    </row>
    <row r="103" spans="1:17" s="471" customFormat="1">
      <c r="A103" s="593"/>
      <c r="B103" s="594"/>
      <c r="C103" s="595">
        <v>0</v>
      </c>
      <c r="D103" s="595">
        <v>100000</v>
      </c>
      <c r="E103" s="595">
        <v>200000</v>
      </c>
      <c r="F103" s="595">
        <v>300000</v>
      </c>
      <c r="G103" s="595">
        <v>400000</v>
      </c>
      <c r="H103" s="595">
        <v>500000</v>
      </c>
      <c r="I103" s="595"/>
      <c r="J103" s="596"/>
      <c r="K103" s="596"/>
      <c r="L103" s="597"/>
      <c r="M103" s="598"/>
      <c r="N103" s="1157"/>
      <c r="O103" s="1157"/>
      <c r="P103" s="2637"/>
      <c r="Q103" s="559"/>
    </row>
    <row r="104" spans="1:17" s="471" customFormat="1" ht="15.75" thickBot="1">
      <c r="A104" s="553"/>
      <c r="B104" s="543"/>
      <c r="C104" s="560">
        <v>100</v>
      </c>
      <c r="D104" s="536">
        <v>102</v>
      </c>
      <c r="E104" s="560">
        <v>104</v>
      </c>
      <c r="F104" s="536">
        <v>106</v>
      </c>
      <c r="G104" s="560">
        <v>108</v>
      </c>
      <c r="H104" s="536">
        <v>110</v>
      </c>
      <c r="I104" s="536"/>
      <c r="J104" s="536"/>
      <c r="K104" s="536"/>
      <c r="L104" s="536"/>
      <c r="M104" s="536"/>
      <c r="N104" s="1156"/>
      <c r="O104" s="1156"/>
      <c r="P104" s="2637"/>
      <c r="Q104" s="559"/>
    </row>
    <row r="105" spans="1:17" ht="15" thickTop="1">
      <c r="A105" s="599"/>
      <c r="B105" s="538" t="s">
        <v>2614</v>
      </c>
      <c r="C105" s="2969" t="s">
        <v>3874</v>
      </c>
      <c r="D105" s="2969" t="s">
        <v>3876</v>
      </c>
      <c r="E105" s="2970" t="s">
        <v>3877</v>
      </c>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8">C106-$K34</f>
        <v>98</v>
      </c>
      <c r="E106" s="544">
        <f t="shared" si="28"/>
        <v>96</v>
      </c>
      <c r="F106" s="544">
        <f t="shared" si="28"/>
        <v>94</v>
      </c>
      <c r="G106" s="544">
        <f t="shared" si="28"/>
        <v>92</v>
      </c>
      <c r="H106" s="544">
        <f t="shared" si="28"/>
        <v>90</v>
      </c>
      <c r="I106" s="544">
        <f t="shared" si="28"/>
        <v>88</v>
      </c>
      <c r="J106" s="544">
        <f t="shared" si="28"/>
        <v>86</v>
      </c>
      <c r="K106" s="544">
        <f t="shared" si="28"/>
        <v>84</v>
      </c>
      <c r="L106" s="544">
        <f t="shared" si="28"/>
        <v>82</v>
      </c>
      <c r="M106" s="544">
        <f t="shared" si="28"/>
        <v>80</v>
      </c>
      <c r="N106" s="1156"/>
      <c r="O106" s="1156"/>
      <c r="P106" s="2636"/>
      <c r="Q106" s="504"/>
    </row>
    <row r="107" spans="1:17" ht="15" thickTop="1">
      <c r="A107" s="599"/>
      <c r="B107" s="538" t="s">
        <v>2615</v>
      </c>
      <c r="C107" s="2970" t="s">
        <v>3878</v>
      </c>
      <c r="D107" s="2970" t="s">
        <v>3880</v>
      </c>
      <c r="E107" s="583"/>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9">C108-$K35</f>
        <v>98</v>
      </c>
      <c r="E108" s="544">
        <f t="shared" si="29"/>
        <v>96</v>
      </c>
      <c r="F108" s="544">
        <f t="shared" si="29"/>
        <v>94</v>
      </c>
      <c r="G108" s="544">
        <f t="shared" si="29"/>
        <v>92</v>
      </c>
      <c r="H108" s="544">
        <f t="shared" si="29"/>
        <v>90</v>
      </c>
      <c r="I108" s="544">
        <f t="shared" si="29"/>
        <v>88</v>
      </c>
      <c r="J108" s="544">
        <f t="shared" si="29"/>
        <v>86</v>
      </c>
      <c r="K108" s="544">
        <f t="shared" si="29"/>
        <v>84</v>
      </c>
      <c r="L108" s="544">
        <f t="shared" si="29"/>
        <v>82</v>
      </c>
      <c r="M108" s="544">
        <f t="shared" si="29"/>
        <v>80</v>
      </c>
      <c r="N108" s="1156"/>
      <c r="O108" s="1156"/>
      <c r="P108" s="2636"/>
      <c r="Q108" s="504"/>
    </row>
    <row r="109" spans="1:17" ht="15" thickTop="1">
      <c r="A109" s="599"/>
      <c r="B109" s="538" t="s">
        <v>2616</v>
      </c>
      <c r="C109" s="2969" t="s">
        <v>3882</v>
      </c>
      <c r="D109" s="2969" t="s">
        <v>3883</v>
      </c>
      <c r="E109" s="2969" t="s">
        <v>3884</v>
      </c>
      <c r="F109" s="2970" t="s">
        <v>3885</v>
      </c>
      <c r="G109" s="583"/>
      <c r="H109" s="583"/>
      <c r="I109" s="583"/>
      <c r="J109" s="583"/>
      <c r="K109" s="584"/>
      <c r="L109" s="585"/>
      <c r="M109" s="586"/>
      <c r="N109" s="1155"/>
      <c r="O109" s="1155"/>
      <c r="P109" s="2636"/>
      <c r="Q109" s="504"/>
    </row>
    <row r="110" spans="1:17" ht="15.75" thickBot="1">
      <c r="A110" s="534"/>
      <c r="B110" s="543"/>
      <c r="C110" s="544">
        <v>100</v>
      </c>
      <c r="D110" s="544">
        <f t="shared" ref="D110:M110" si="30">C110-$K36</f>
        <v>98</v>
      </c>
      <c r="E110" s="544">
        <f t="shared" si="30"/>
        <v>96</v>
      </c>
      <c r="F110" s="544">
        <f t="shared" si="30"/>
        <v>94</v>
      </c>
      <c r="G110" s="544">
        <f t="shared" si="30"/>
        <v>92</v>
      </c>
      <c r="H110" s="544">
        <f t="shared" si="30"/>
        <v>90</v>
      </c>
      <c r="I110" s="544">
        <f t="shared" si="30"/>
        <v>88</v>
      </c>
      <c r="J110" s="544">
        <f t="shared" si="30"/>
        <v>86</v>
      </c>
      <c r="K110" s="544">
        <f t="shared" si="30"/>
        <v>84</v>
      </c>
      <c r="L110" s="544">
        <f t="shared" si="30"/>
        <v>82</v>
      </c>
      <c r="M110" s="544">
        <f t="shared" si="30"/>
        <v>80</v>
      </c>
      <c r="N110" s="1156"/>
      <c r="O110" s="1156"/>
      <c r="P110" s="2636"/>
      <c r="Q110" s="504"/>
    </row>
    <row r="111" spans="1:17" s="471" customFormat="1" ht="15" thickTop="1">
      <c r="A111" s="593"/>
      <c r="B111" s="538" t="s">
        <v>1996</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7"/>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7"/>
      <c r="Q112" s="559"/>
    </row>
    <row r="113" spans="1:17" s="471" customFormat="1" ht="15.75" thickBot="1">
      <c r="A113" s="553"/>
      <c r="B113" s="543"/>
      <c r="C113" s="582">
        <v>100</v>
      </c>
      <c r="D113" s="544">
        <f>C113+$K37</f>
        <v>102</v>
      </c>
      <c r="E113" s="544">
        <f>D113+$K37</f>
        <v>104</v>
      </c>
      <c r="F113" s="544">
        <f>E113+$K37</f>
        <v>106</v>
      </c>
      <c r="G113" s="544">
        <f>F113+$K37</f>
        <v>108</v>
      </c>
      <c r="H113" s="544">
        <f>G113+$K37</f>
        <v>110</v>
      </c>
      <c r="I113" s="582"/>
      <c r="J113" s="607"/>
      <c r="K113" s="607"/>
      <c r="L113" s="607"/>
      <c r="M113" s="608"/>
      <c r="N113" s="1157"/>
      <c r="O113" s="1157"/>
      <c r="P113" s="2637"/>
      <c r="Q113" s="559"/>
    </row>
    <row r="114" spans="1:17" ht="15" thickTop="1">
      <c r="A114" s="599"/>
      <c r="B114" s="538" t="s">
        <v>2617</v>
      </c>
      <c r="C114" s="2969" t="s">
        <v>3887</v>
      </c>
      <c r="D114" s="2969" t="s">
        <v>3888</v>
      </c>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31">C115-$K38</f>
        <v>98</v>
      </c>
      <c r="E115" s="544">
        <f t="shared" si="31"/>
        <v>96</v>
      </c>
      <c r="F115" s="544">
        <f t="shared" si="31"/>
        <v>94</v>
      </c>
      <c r="G115" s="544">
        <f t="shared" si="31"/>
        <v>92</v>
      </c>
      <c r="H115" s="544">
        <f t="shared" si="31"/>
        <v>90</v>
      </c>
      <c r="I115" s="544">
        <f t="shared" si="31"/>
        <v>88</v>
      </c>
      <c r="J115" s="544">
        <f t="shared" si="31"/>
        <v>86</v>
      </c>
      <c r="K115" s="544">
        <f t="shared" si="31"/>
        <v>84</v>
      </c>
      <c r="L115" s="544">
        <f t="shared" si="31"/>
        <v>82</v>
      </c>
      <c r="M115" s="544">
        <f t="shared" si="31"/>
        <v>80</v>
      </c>
      <c r="N115" s="1156"/>
      <c r="O115" s="1156"/>
      <c r="P115" s="2636"/>
      <c r="Q115" s="504"/>
    </row>
    <row r="116" spans="1:17" ht="15" thickTop="1">
      <c r="A116" s="599"/>
      <c r="B116" s="538" t="s">
        <v>2618</v>
      </c>
      <c r="C116" s="2969" t="s">
        <v>3890</v>
      </c>
      <c r="D116" s="2969" t="s">
        <v>3892</v>
      </c>
      <c r="E116" s="2969" t="s">
        <v>3893</v>
      </c>
      <c r="F116" s="2969" t="s">
        <v>3894</v>
      </c>
      <c r="G116" s="2969" t="s">
        <v>3896</v>
      </c>
      <c r="H116" s="583"/>
      <c r="I116" s="583"/>
      <c r="J116" s="583"/>
      <c r="K116" s="584"/>
      <c r="L116" s="585"/>
      <c r="M116" s="586"/>
      <c r="N116" s="1155"/>
      <c r="O116" s="1155"/>
      <c r="P116" s="2636"/>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6"/>
      <c r="O117" s="1156"/>
      <c r="P117" s="2636"/>
      <c r="Q117" s="504"/>
    </row>
    <row r="118" spans="1:17" ht="15" thickTop="1">
      <c r="A118" s="599"/>
      <c r="B118" s="538" t="s">
        <v>2619</v>
      </c>
      <c r="C118" s="583"/>
      <c r="D118" s="583"/>
      <c r="E118" s="583"/>
      <c r="F118" s="583"/>
      <c r="G118" s="583"/>
      <c r="H118" s="583"/>
      <c r="I118" s="583"/>
      <c r="J118" s="583"/>
      <c r="K118" s="584"/>
      <c r="L118" s="585"/>
      <c r="M118" s="586"/>
      <c r="N118" s="1155"/>
      <c r="O118" s="1155"/>
      <c r="P118" s="2636"/>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6"/>
      <c r="Q119" s="504"/>
    </row>
    <row r="120" spans="1:17" s="471" customFormat="1" ht="28.5" thickTop="1">
      <c r="A120" s="593"/>
      <c r="B120" s="538" t="s">
        <v>2574</v>
      </c>
      <c r="C120" s="554"/>
      <c r="D120" s="554"/>
      <c r="E120" s="554"/>
      <c r="F120" s="554"/>
      <c r="G120" s="554"/>
      <c r="H120" s="554"/>
      <c r="I120" s="554"/>
      <c r="J120" s="554"/>
      <c r="K120" s="554"/>
      <c r="L120" s="580"/>
      <c r="M120" s="581"/>
      <c r="N120" s="1157"/>
      <c r="O120" s="1157"/>
      <c r="P120" s="2637"/>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7"/>
      <c r="Q121" s="559"/>
    </row>
    <row r="122" spans="1:17" ht="15" thickTop="1">
      <c r="A122" s="599"/>
      <c r="B122" s="538" t="s">
        <v>2620</v>
      </c>
      <c r="C122" s="2969" t="s">
        <v>3882</v>
      </c>
      <c r="D122" s="2969" t="s">
        <v>3883</v>
      </c>
      <c r="E122" s="2969" t="s">
        <v>3884</v>
      </c>
      <c r="F122" s="2970" t="s">
        <v>3885</v>
      </c>
      <c r="G122" s="583"/>
      <c r="H122" s="583"/>
      <c r="I122" s="583"/>
      <c r="J122" s="583"/>
      <c r="K122" s="584"/>
      <c r="L122" s="585"/>
      <c r="M122" s="586"/>
      <c r="N122" s="1155"/>
      <c r="O122" s="1155"/>
      <c r="P122" s="2636"/>
      <c r="Q122" s="504"/>
    </row>
    <row r="123" spans="1:17" ht="15.75" thickBot="1">
      <c r="A123" s="534"/>
      <c r="B123" s="543"/>
      <c r="C123" s="544">
        <v>100</v>
      </c>
      <c r="D123" s="544">
        <f t="shared" ref="D123:M123" si="33">C123-$K42</f>
        <v>96</v>
      </c>
      <c r="E123" s="544">
        <f t="shared" si="33"/>
        <v>92</v>
      </c>
      <c r="F123" s="544">
        <f t="shared" si="33"/>
        <v>88</v>
      </c>
      <c r="G123" s="544">
        <f t="shared" si="33"/>
        <v>84</v>
      </c>
      <c r="H123" s="544">
        <f t="shared" si="33"/>
        <v>80</v>
      </c>
      <c r="I123" s="544">
        <f t="shared" si="33"/>
        <v>76</v>
      </c>
      <c r="J123" s="544">
        <f t="shared" si="33"/>
        <v>72</v>
      </c>
      <c r="K123" s="544">
        <f t="shared" si="33"/>
        <v>68</v>
      </c>
      <c r="L123" s="544">
        <f t="shared" si="33"/>
        <v>64</v>
      </c>
      <c r="M123" s="544">
        <f t="shared" si="33"/>
        <v>60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60"/>
      <c r="E129" s="560"/>
      <c r="F129" s="560"/>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row r="136" spans="1:17" ht="15" thickBot="1">
      <c r="B136" s="2643" t="s">
        <v>2622</v>
      </c>
    </row>
    <row r="137" spans="1:17" ht="15">
      <c r="B137" s="2644" t="s">
        <v>2623</v>
      </c>
      <c r="C137" s="2645"/>
      <c r="D137" s="2645"/>
      <c r="E137" s="2645"/>
      <c r="F137" s="2645"/>
      <c r="G137" s="2646"/>
      <c r="H137" s="2647"/>
      <c r="I137" s="2648" t="s">
        <v>2624</v>
      </c>
      <c r="J137" s="2645"/>
      <c r="K137" s="2649"/>
    </row>
    <row r="138" spans="1:17" ht="15">
      <c r="B138" s="2650"/>
      <c r="C138" s="146" t="s">
        <v>2625</v>
      </c>
      <c r="D138" s="146" t="s">
        <v>2626</v>
      </c>
      <c r="E138" s="2651" t="s">
        <v>2627</v>
      </c>
      <c r="F138" s="2652" t="s">
        <v>2628</v>
      </c>
      <c r="G138" s="146" t="s">
        <v>2626</v>
      </c>
      <c r="H138" s="147" t="s">
        <v>2627</v>
      </c>
      <c r="I138" s="2653"/>
      <c r="J138" s="146" t="s">
        <v>2629</v>
      </c>
      <c r="K138" s="147" t="s">
        <v>2630</v>
      </c>
    </row>
    <row r="139" spans="1:17" ht="15">
      <c r="B139" s="1087">
        <v>6</v>
      </c>
      <c r="C139" s="1088">
        <v>96</v>
      </c>
      <c r="D139" s="2654" t="s">
        <v>2631</v>
      </c>
      <c r="E139" s="1089">
        <v>100</v>
      </c>
      <c r="F139" s="1090">
        <v>102.5</v>
      </c>
      <c r="G139" s="2654" t="s">
        <v>2631</v>
      </c>
      <c r="H139" s="1091">
        <v>105</v>
      </c>
      <c r="I139" s="2655" t="s">
        <v>2632</v>
      </c>
      <c r="J139" s="1088">
        <v>20</v>
      </c>
      <c r="K139" s="1092">
        <f>C145/(J139-2)</f>
        <v>4.0555555555555553E-3</v>
      </c>
    </row>
    <row r="140" spans="1:17" ht="15">
      <c r="B140" s="1093">
        <v>5</v>
      </c>
      <c r="C140" s="1094">
        <v>100</v>
      </c>
      <c r="D140" s="1094"/>
      <c r="E140" s="1095"/>
      <c r="F140" s="1096">
        <v>102</v>
      </c>
      <c r="G140" s="1094"/>
      <c r="H140" s="1097"/>
      <c r="I140" s="2656" t="s">
        <v>2633</v>
      </c>
      <c r="J140" s="315">
        <f>ROUNDUP((J139-1)/2,0)</f>
        <v>10</v>
      </c>
      <c r="K140" s="1098">
        <v>100</v>
      </c>
    </row>
    <row r="141" spans="1:17" ht="15">
      <c r="B141" s="1093">
        <v>4</v>
      </c>
      <c r="C141" s="1094">
        <v>102</v>
      </c>
      <c r="D141" s="1094"/>
      <c r="E141" s="1095"/>
      <c r="F141" s="1096">
        <v>101.5</v>
      </c>
      <c r="G141" s="1094"/>
      <c r="H141" s="1097"/>
      <c r="I141" s="2656" t="s">
        <v>2634</v>
      </c>
      <c r="J141" s="315">
        <v>1</v>
      </c>
      <c r="K141" s="1099">
        <f>ROUND(100+(J141-J140)*K139*100,1)</f>
        <v>96.4</v>
      </c>
    </row>
    <row r="142" spans="1:17" ht="15">
      <c r="B142" s="1093">
        <v>3</v>
      </c>
      <c r="C142" s="1094">
        <v>103</v>
      </c>
      <c r="D142" s="1094"/>
      <c r="E142" s="1095"/>
      <c r="F142" s="1096">
        <v>101</v>
      </c>
      <c r="G142" s="1094"/>
      <c r="H142" s="1097"/>
      <c r="I142" s="2656" t="s">
        <v>2635</v>
      </c>
      <c r="J142" s="315">
        <f>J139</f>
        <v>20</v>
      </c>
      <c r="K142" s="1100">
        <v>95</v>
      </c>
    </row>
    <row r="143" spans="1:17" ht="15">
      <c r="B143" s="1093">
        <v>2</v>
      </c>
      <c r="C143" s="1094">
        <v>100</v>
      </c>
      <c r="D143" s="1094"/>
      <c r="E143" s="1095"/>
      <c r="F143" s="1096">
        <v>100.5</v>
      </c>
      <c r="G143" s="1094"/>
      <c r="H143" s="1097"/>
      <c r="I143" s="2656" t="s">
        <v>2636</v>
      </c>
      <c r="J143" s="1094">
        <v>15</v>
      </c>
      <c r="K143" s="1099">
        <f>ROUND(100+(J143-J140)*K139*100,1)</f>
        <v>102</v>
      </c>
    </row>
    <row r="144" spans="1:17" ht="15">
      <c r="B144" s="1093">
        <v>1</v>
      </c>
      <c r="C144" s="1094">
        <v>98</v>
      </c>
      <c r="D144" s="2657" t="s">
        <v>2637</v>
      </c>
      <c r="E144" s="1095">
        <v>102</v>
      </c>
      <c r="F144" s="1101">
        <v>100</v>
      </c>
      <c r="G144" s="2657" t="s">
        <v>2637</v>
      </c>
      <c r="H144" s="1097">
        <v>105</v>
      </c>
      <c r="I144" s="2656" t="s">
        <v>2636</v>
      </c>
      <c r="J144" s="1094">
        <v>18</v>
      </c>
      <c r="K144" s="1099">
        <f>ROUND(100+(J144-J140)*K139*100,1)</f>
        <v>103.2</v>
      </c>
    </row>
    <row r="145" spans="2:11" ht="15.75" thickBot="1">
      <c r="B145" s="2658" t="s">
        <v>2638</v>
      </c>
      <c r="C145" s="1102">
        <f>ROUND(MAX(C139:C144)/MIN(C139:C144)-1,3)</f>
        <v>7.2999999999999995E-2</v>
      </c>
      <c r="D145" s="1103"/>
      <c r="E145" s="1103"/>
      <c r="F145" s="2659" t="s">
        <v>2639</v>
      </c>
      <c r="G145" s="2660"/>
      <c r="H145" s="2661"/>
      <c r="I145" s="2662" t="s">
        <v>2636</v>
      </c>
      <c r="J145" s="1104">
        <v>8</v>
      </c>
      <c r="K145" s="1105">
        <f>ROUND(100+(J145-J140)*K139*100,1)</f>
        <v>99.2</v>
      </c>
    </row>
    <row r="147" spans="2:11">
      <c r="B147" s="2643" t="s">
        <v>2640</v>
      </c>
    </row>
    <row r="148" spans="2:11">
      <c r="B148" s="2643" t="s">
        <v>2641</v>
      </c>
    </row>
  </sheetData>
  <sheetProtection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7" customWidth="1"/>
    <col min="2" max="16384" width="9" style="1947"/>
  </cols>
  <sheetData>
    <row r="1" spans="1:1" ht="23.25">
      <c r="A1" s="1946" t="s">
        <v>1607</v>
      </c>
    </row>
    <row r="2" spans="1:1">
      <c r="A2" s="1948"/>
    </row>
    <row r="3" spans="1:1" ht="18">
      <c r="A3" s="1949" t="str">
        <f>项目基本情况!B5&amp;"："</f>
        <v>：</v>
      </c>
    </row>
    <row r="4" spans="1:1" ht="36">
      <c r="A4" s="1950" t="str">
        <f>"受贵公司委托，我公司对"&amp;项目基本情况!S1&amp;"进行了预评估。"</f>
        <v>受贵公司委托，我公司对出让国有建设用地使用权及在建建筑物房地产抵押价值进行了预评估。</v>
      </c>
    </row>
    <row r="5" spans="1:1" ht="18.75">
      <c r="A5" s="1951" t="s">
        <v>1608</v>
      </c>
    </row>
    <row r="6" spans="1:1" ht="18.75">
      <c r="A6" s="1952" t="s">
        <v>1609</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估价对象为出让国有建设用地使用权及在建建筑物房地产，为所有。根据《国有土地使用证》[]，估价对象（分摊）出让国有建设用地使用权面积为16074.03平方米，建筑面积为34338.32平方米。</v>
      </c>
    </row>
    <row r="8" spans="1:1" ht="57.75">
      <c r="A8" s="1953" t="s">
        <v>1610</v>
      </c>
    </row>
    <row r="9" spans="1:1" ht="18.75">
      <c r="A9" s="1952" t="s">
        <v>1611</v>
      </c>
    </row>
    <row r="10" spans="1:1" ht="54">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出让国有建设用地使用权及在建建筑物房地产,属开发建设的，该项目尚在开发建设中。根据《国有土地使用证》[]，估价对象（分摊）出让国有建设用地使用权面积为16074.03平方米，规划建筑面积为34338.32平方米。</v>
      </c>
    </row>
    <row r="11" spans="1:1" ht="76.5">
      <c r="A11" s="1953" t="s">
        <v>1612</v>
      </c>
    </row>
    <row r="12" spans="1:1" ht="18.75">
      <c r="A12" s="1951" t="s">
        <v>1613</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1614</v>
      </c>
    </row>
    <row r="15" spans="1:1" ht="18">
      <c r="A15" s="1956" t="str">
        <f>TEXT(项目基本情况!D3,"yyyy年m月d日;;")&amp;IF(项目基本情况!D3=项目基本情况!B3,"（评估专业人员实地查勘之日）","")</f>
        <v>2019年8月12日（评估专业人员实地查勘之日）</v>
      </c>
    </row>
    <row r="16" spans="1:1" ht="18.75">
      <c r="A16" s="1955" t="s">
        <v>1615</v>
      </c>
    </row>
    <row r="17" spans="1:1" ht="75">
      <c r="A17" s="1950" t="s">
        <v>1616</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8月12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1605</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1606</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30"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588" t="s">
        <v>2642</v>
      </c>
      <c r="C1" s="1636" t="s">
        <v>2530</v>
      </c>
      <c r="D1" s="1623"/>
      <c r="E1" s="2663"/>
      <c r="F1" s="2590"/>
      <c r="G1" s="1633" t="s">
        <v>2643</v>
      </c>
      <c r="H1" s="1632"/>
      <c r="I1" s="1632"/>
      <c r="J1" s="1632"/>
      <c r="K1" s="1634"/>
      <c r="L1" s="1635"/>
      <c r="M1" s="1636"/>
      <c r="N1" s="1636"/>
      <c r="O1" s="1636"/>
      <c r="P1" s="2664"/>
      <c r="Q1" s="2665"/>
      <c r="R1" s="2665"/>
      <c r="S1" s="2665"/>
      <c r="T1" s="2665"/>
      <c r="U1" s="2665"/>
      <c r="V1" s="2665"/>
      <c r="W1" s="2665"/>
      <c r="X1" s="2665"/>
      <c r="Y1" s="2665"/>
      <c r="Z1" s="2665"/>
      <c r="AA1" s="2665"/>
      <c r="AB1" s="2665"/>
      <c r="AC1" s="2666"/>
    </row>
    <row r="2" spans="1:29" s="398" customFormat="1" ht="28.5" customHeight="1" thickTop="1">
      <c r="A2" s="1619" t="s">
        <v>2330</v>
      </c>
      <c r="B2" s="1421" t="e">
        <f ca="1">IF(C2="——",ROUND(C49*D3/10000,0),ROUND(C49*D3/10000,0)-D2)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2667"/>
      <c r="Q2" s="1132"/>
      <c r="R2" s="1132"/>
      <c r="S2" s="1132"/>
      <c r="T2" s="1132"/>
      <c r="U2" s="1132"/>
      <c r="V2" s="1132"/>
      <c r="W2" s="1132"/>
      <c r="X2" s="1132"/>
      <c r="Y2" s="1132"/>
      <c r="Z2" s="1132"/>
      <c r="AA2" s="1132"/>
      <c r="AB2" s="1132"/>
      <c r="AC2" s="2668"/>
    </row>
    <row r="3" spans="1:29" s="398" customFormat="1" ht="28.5" customHeight="1" thickBot="1">
      <c r="A3" s="247" t="s">
        <v>2332</v>
      </c>
      <c r="B3" s="609" t="e">
        <f ca="1">IF(C2="——",C49,ROUND(B2*10000/D3,0))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2667"/>
      <c r="Q3" s="1132"/>
      <c r="R3" s="1132"/>
      <c r="S3" s="1132"/>
      <c r="T3" s="1132"/>
      <c r="U3" s="1132"/>
      <c r="V3" s="1132"/>
      <c r="W3" s="1132"/>
      <c r="X3" s="1132"/>
      <c r="Y3" s="1132"/>
      <c r="Z3" s="1132"/>
      <c r="AA3" s="1132"/>
      <c r="AB3" s="1132"/>
      <c r="AC3" s="2669"/>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3" t="s">
        <v>2648</v>
      </c>
      <c r="AC4" s="3224" t="s">
        <v>2649</v>
      </c>
    </row>
    <row r="5" spans="1:29" ht="15">
      <c r="A5" s="404"/>
      <c r="B5" s="405"/>
      <c r="C5" s="3244" t="s">
        <v>2542</v>
      </c>
      <c r="D5" s="3245"/>
      <c r="E5" s="3251" t="s">
        <v>2543</v>
      </c>
      <c r="F5" s="3252"/>
      <c r="G5" s="3244" t="s">
        <v>2544</v>
      </c>
      <c r="H5" s="3245"/>
      <c r="I5" s="3244" t="s">
        <v>2545</v>
      </c>
      <c r="J5" s="3245"/>
      <c r="K5" s="610"/>
      <c r="L5" s="1133"/>
      <c r="M5" s="1134"/>
      <c r="N5" s="1134"/>
      <c r="O5" s="1134"/>
      <c r="P5" s="3232"/>
      <c r="Q5" s="3233"/>
      <c r="R5" s="3238"/>
      <c r="S5" s="3239"/>
      <c r="T5" s="3238"/>
      <c r="U5" s="3239"/>
      <c r="V5" s="3223"/>
      <c r="W5" s="3223"/>
      <c r="X5" s="1815"/>
      <c r="Y5" s="3238"/>
      <c r="Z5" s="3239"/>
      <c r="AA5" s="3225"/>
      <c r="AB5" s="3223"/>
      <c r="AC5" s="3225"/>
    </row>
    <row r="6" spans="1:29" ht="15.75" thickBot="1">
      <c r="A6" s="406"/>
      <c r="B6" s="407"/>
      <c r="C6" s="3242" t="s">
        <v>2546</v>
      </c>
      <c r="D6" s="3243"/>
      <c r="E6" s="3249" t="s">
        <v>2546</v>
      </c>
      <c r="F6" s="3250"/>
      <c r="G6" s="3242" t="s">
        <v>2546</v>
      </c>
      <c r="H6" s="3243"/>
      <c r="I6" s="3242" t="s">
        <v>2546</v>
      </c>
      <c r="J6" s="3243"/>
      <c r="K6" s="610" t="s">
        <v>2547</v>
      </c>
      <c r="L6" s="1133"/>
      <c r="M6" s="1134"/>
      <c r="N6" s="1134"/>
      <c r="O6" s="1134"/>
      <c r="P6" s="3234"/>
      <c r="Q6" s="3235"/>
      <c r="R6" s="3238"/>
      <c r="S6" s="3239"/>
      <c r="T6" s="3240"/>
      <c r="U6" s="3241"/>
      <c r="V6" s="3223"/>
      <c r="W6" s="3223"/>
      <c r="X6" s="1815"/>
      <c r="Y6" s="3240"/>
      <c r="Z6" s="3241"/>
      <c r="AA6" s="3226"/>
      <c r="AB6" s="3223"/>
      <c r="AC6" s="3226"/>
    </row>
    <row r="7" spans="1:29" s="117" customFormat="1" ht="15.75" thickBot="1">
      <c r="A7" s="408" t="s">
        <v>2548</v>
      </c>
      <c r="B7" s="409"/>
      <c r="C7" s="410">
        <f>'数据-取费表'!B2</f>
        <v>43689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46" t="s">
        <v>2549</v>
      </c>
      <c r="Q7" s="3248"/>
      <c r="R7" s="770" t="s">
        <v>17</v>
      </c>
      <c r="S7" s="771">
        <f t="shared" ref="S7:S15" si="0">F7</f>
        <v>0</v>
      </c>
      <c r="T7" s="770" t="s">
        <v>17</v>
      </c>
      <c r="U7" s="771">
        <f t="shared" ref="U7:U15" si="1">H7</f>
        <v>0</v>
      </c>
      <c r="V7" s="770" t="s">
        <v>17</v>
      </c>
      <c r="W7" s="771">
        <f t="shared" ref="W7:W15" si="2">J7</f>
        <v>0</v>
      </c>
      <c r="X7" s="772"/>
      <c r="Y7" s="3246" t="s">
        <v>2549</v>
      </c>
      <c r="Z7" s="3247"/>
      <c r="AA7" s="773" t="e">
        <f>D7/F7</f>
        <v>#DIV/0!</v>
      </c>
      <c r="AB7" s="773" t="e">
        <f>D7/H7</f>
        <v>#DIV/0!</v>
      </c>
      <c r="AC7" s="773" t="e">
        <f>D7/J7</f>
        <v>#DIV/0!</v>
      </c>
    </row>
    <row r="8" spans="1:29" s="117" customFormat="1" ht="15.75" thickBot="1">
      <c r="A8" s="408" t="s">
        <v>2550</v>
      </c>
      <c r="B8" s="409"/>
      <c r="C8" s="414" t="s">
        <v>2652</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46" t="s">
        <v>2552</v>
      </c>
      <c r="Q8" s="3247"/>
      <c r="R8" s="770" t="s">
        <v>17</v>
      </c>
      <c r="S8" s="771">
        <f t="shared" si="0"/>
        <v>0</v>
      </c>
      <c r="T8" s="770" t="s">
        <v>17</v>
      </c>
      <c r="U8" s="771">
        <f t="shared" si="1"/>
        <v>0</v>
      </c>
      <c r="V8" s="770" t="s">
        <v>17</v>
      </c>
      <c r="W8" s="771">
        <f t="shared" si="2"/>
        <v>0</v>
      </c>
      <c r="X8" s="772"/>
      <c r="Y8" s="3246" t="s">
        <v>2552</v>
      </c>
      <c r="Z8" s="3247"/>
      <c r="AA8" s="773" t="e">
        <f t="shared" ref="AA8:AA46" si="3">D8/F8</f>
        <v>#DIV/0!</v>
      </c>
      <c r="AB8" s="773" t="e">
        <f t="shared" ref="AB8:AB46" si="4">D8/H8</f>
        <v>#DIV/0!</v>
      </c>
      <c r="AC8" s="773" t="e">
        <f t="shared" ref="AC8:AC46" si="5">D8/J8</f>
        <v>#DIV/0!</v>
      </c>
    </row>
    <row r="9" spans="1:29" s="117" customFormat="1">
      <c r="A9" s="415" t="s">
        <v>2553</v>
      </c>
      <c r="B9" s="71" t="s">
        <v>2554</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16" t="s">
        <v>2555</v>
      </c>
      <c r="Q9" s="1797" t="str">
        <f t="shared" ref="Q9:Q15" si="6">B9</f>
        <v>用途</v>
      </c>
      <c r="R9" s="770" t="s">
        <v>17</v>
      </c>
      <c r="S9" s="771">
        <f t="shared" si="0"/>
        <v>100</v>
      </c>
      <c r="T9" s="770" t="s">
        <v>17</v>
      </c>
      <c r="U9" s="771">
        <f t="shared" si="1"/>
        <v>100</v>
      </c>
      <c r="V9" s="770" t="s">
        <v>17</v>
      </c>
      <c r="W9" s="771">
        <f t="shared" si="2"/>
        <v>100</v>
      </c>
      <c r="X9" s="772"/>
      <c r="Y9" s="306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16"/>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2558</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16"/>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16"/>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16"/>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16"/>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71.25">
      <c r="A15" s="440" t="s">
        <v>2559</v>
      </c>
      <c r="B15" s="69" t="s">
        <v>2653</v>
      </c>
      <c r="C15" s="2609"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88" t="s">
        <v>2560</v>
      </c>
      <c r="Q15" s="1812" t="str">
        <f t="shared" si="6"/>
        <v>商业繁华度</v>
      </c>
      <c r="R15" s="774" t="s">
        <v>17</v>
      </c>
      <c r="S15" s="775">
        <f t="shared" si="0"/>
        <v>100</v>
      </c>
      <c r="T15" s="774" t="s">
        <v>17</v>
      </c>
      <c r="U15" s="775">
        <f t="shared" si="1"/>
        <v>100</v>
      </c>
      <c r="V15" s="774" t="s">
        <v>17</v>
      </c>
      <c r="W15" s="775">
        <f t="shared" si="2"/>
        <v>100</v>
      </c>
      <c r="X15" s="1815"/>
      <c r="Y15" s="3219" t="s">
        <v>2560</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289"/>
      <c r="Q16" s="1812"/>
      <c r="R16" s="774"/>
      <c r="S16" s="775"/>
      <c r="T16" s="774"/>
      <c r="U16" s="775"/>
      <c r="V16" s="774"/>
      <c r="W16" s="775"/>
      <c r="X16" s="1815"/>
      <c r="Y16" s="3220"/>
      <c r="Z16" s="1816"/>
      <c r="AA16" s="1813">
        <v>1</v>
      </c>
      <c r="AB16" s="1813">
        <v>1</v>
      </c>
      <c r="AC16" s="1813">
        <v>1</v>
      </c>
    </row>
    <row r="17" spans="1:29" ht="85.5">
      <c r="A17" s="428"/>
      <c r="B17" s="451" t="s">
        <v>2098</v>
      </c>
      <c r="C17" s="2613"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89"/>
      <c r="Q17" s="1812" t="str">
        <f>B17</f>
        <v>交通便捷度</v>
      </c>
      <c r="R17" s="774" t="s">
        <v>17</v>
      </c>
      <c r="S17" s="775">
        <f>F17</f>
        <v>100</v>
      </c>
      <c r="T17" s="774" t="s">
        <v>17</v>
      </c>
      <c r="U17" s="775">
        <f>H17</f>
        <v>100</v>
      </c>
      <c r="V17" s="774" t="s">
        <v>17</v>
      </c>
      <c r="W17" s="775">
        <f>J17</f>
        <v>100</v>
      </c>
      <c r="X17" s="1815"/>
      <c r="Y17" s="322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34"/>
      <c r="P18" s="3289"/>
      <c r="Q18" s="1812"/>
      <c r="R18" s="774"/>
      <c r="S18" s="775"/>
      <c r="T18" s="774"/>
      <c r="U18" s="775"/>
      <c r="V18" s="774"/>
      <c r="W18" s="775"/>
      <c r="X18" s="1815"/>
      <c r="Y18" s="3220"/>
      <c r="Z18" s="1816"/>
      <c r="AA18" s="1813">
        <v>1</v>
      </c>
      <c r="AB18" s="1813">
        <v>1</v>
      </c>
      <c r="AC18" s="1813">
        <v>1</v>
      </c>
    </row>
    <row r="19" spans="1:29" ht="42.75">
      <c r="A19" s="428"/>
      <c r="B19" s="451" t="s">
        <v>2654</v>
      </c>
      <c r="C19" s="2613"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89"/>
      <c r="Q19" s="1812" t="str">
        <f>B19</f>
        <v>公共配套设施</v>
      </c>
      <c r="R19" s="774" t="s">
        <v>17</v>
      </c>
      <c r="S19" s="775">
        <f>F19</f>
        <v>100</v>
      </c>
      <c r="T19" s="774" t="s">
        <v>17</v>
      </c>
      <c r="U19" s="775">
        <f>H19</f>
        <v>100</v>
      </c>
      <c r="V19" s="774" t="s">
        <v>17</v>
      </c>
      <c r="W19" s="775">
        <f>J19</f>
        <v>100</v>
      </c>
      <c r="X19" s="1815"/>
      <c r="Y19" s="322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34"/>
      <c r="P20" s="3289"/>
      <c r="Q20" s="1812"/>
      <c r="R20" s="774"/>
      <c r="S20" s="775"/>
      <c r="T20" s="774"/>
      <c r="U20" s="775"/>
      <c r="V20" s="774"/>
      <c r="W20" s="775"/>
      <c r="X20" s="1815"/>
      <c r="Y20" s="3220"/>
      <c r="Z20" s="1816"/>
      <c r="AA20" s="1813">
        <v>1</v>
      </c>
      <c r="AB20" s="1813">
        <v>1</v>
      </c>
      <c r="AC20" s="1813">
        <v>1</v>
      </c>
    </row>
    <row r="21" spans="1:29" ht="28.5">
      <c r="A21" s="428"/>
      <c r="B21" s="1387" t="s">
        <v>2655</v>
      </c>
      <c r="C21" s="2613"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89"/>
      <c r="Q21" s="1812" t="str">
        <f>B21</f>
        <v>基础设施水平</v>
      </c>
      <c r="R21" s="774" t="s">
        <v>17</v>
      </c>
      <c r="S21" s="775">
        <f>F21</f>
        <v>100</v>
      </c>
      <c r="T21" s="774" t="s">
        <v>17</v>
      </c>
      <c r="U21" s="775">
        <f>H21</f>
        <v>100</v>
      </c>
      <c r="V21" s="774" t="s">
        <v>17</v>
      </c>
      <c r="W21" s="775">
        <f>J21</f>
        <v>100</v>
      </c>
      <c r="X21" s="1815"/>
      <c r="Y21" s="322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34"/>
      <c r="P22" s="3289"/>
      <c r="Q22" s="1812"/>
      <c r="R22" s="774"/>
      <c r="S22" s="775"/>
      <c r="T22" s="774"/>
      <c r="U22" s="775"/>
      <c r="V22" s="774"/>
      <c r="W22" s="775"/>
      <c r="X22" s="1815"/>
      <c r="Y22" s="3220"/>
      <c r="Z22" s="1816"/>
      <c r="AA22" s="1813">
        <v>1</v>
      </c>
      <c r="AB22" s="1813">
        <v>1</v>
      </c>
      <c r="AC22" s="1813">
        <v>1</v>
      </c>
    </row>
    <row r="23" spans="1:29" ht="57">
      <c r="A23" s="428"/>
      <c r="B23" s="451" t="s">
        <v>2103</v>
      </c>
      <c r="C23" s="2670"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89"/>
      <c r="Q23" s="1812" t="str">
        <f>B23</f>
        <v>自然及人文环境</v>
      </c>
      <c r="R23" s="774" t="s">
        <v>17</v>
      </c>
      <c r="S23" s="775">
        <f>F23</f>
        <v>100</v>
      </c>
      <c r="T23" s="774" t="s">
        <v>17</v>
      </c>
      <c r="U23" s="775">
        <f>H23</f>
        <v>100</v>
      </c>
      <c r="V23" s="774" t="s">
        <v>17</v>
      </c>
      <c r="W23" s="775">
        <f>J23</f>
        <v>100</v>
      </c>
      <c r="X23" s="1815"/>
      <c r="Y23" s="3220"/>
      <c r="Z23" s="1816" t="str">
        <f>Q23</f>
        <v>自然及人文环境</v>
      </c>
      <c r="AA23" s="1813">
        <f t="shared" si="3"/>
        <v>1</v>
      </c>
      <c r="AB23" s="1813">
        <f t="shared" si="4"/>
        <v>1</v>
      </c>
      <c r="AC23" s="1813">
        <f t="shared" si="5"/>
        <v>1</v>
      </c>
    </row>
    <row r="24" spans="1:29" ht="15">
      <c r="A24" s="428"/>
      <c r="B24" s="456"/>
      <c r="C24" s="447"/>
      <c r="D24" s="448"/>
      <c r="E24" s="2611"/>
      <c r="F24" s="449"/>
      <c r="G24" s="2610"/>
      <c r="H24" s="448"/>
      <c r="I24" s="2611"/>
      <c r="J24" s="448"/>
      <c r="K24" s="615"/>
      <c r="L24" s="1143"/>
      <c r="M24" s="1134"/>
      <c r="N24" s="1134"/>
      <c r="O24" s="1134"/>
      <c r="P24" s="3289"/>
      <c r="Q24" s="1812"/>
      <c r="R24" s="774"/>
      <c r="S24" s="775"/>
      <c r="T24" s="774"/>
      <c r="U24" s="775"/>
      <c r="V24" s="774"/>
      <c r="W24" s="775"/>
      <c r="X24" s="1815"/>
      <c r="Y24" s="3220"/>
      <c r="Z24" s="1816"/>
      <c r="AA24" s="1813">
        <v>1</v>
      </c>
      <c r="AB24" s="1813">
        <v>1</v>
      </c>
      <c r="AC24" s="1813">
        <v>1</v>
      </c>
    </row>
    <row r="25" spans="1:29" ht="15">
      <c r="A25" s="428"/>
      <c r="B25" s="422" t="s">
        <v>2656</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89"/>
      <c r="Q25" s="1812" t="str">
        <f t="shared" ref="Q25:Q46" si="11">B25</f>
        <v>临街状况</v>
      </c>
      <c r="R25" s="774" t="s">
        <v>17</v>
      </c>
      <c r="S25" s="775">
        <f>F25</f>
        <v>100</v>
      </c>
      <c r="T25" s="774" t="s">
        <v>17</v>
      </c>
      <c r="U25" s="775">
        <f>H25</f>
        <v>100</v>
      </c>
      <c r="V25" s="774" t="s">
        <v>17</v>
      </c>
      <c r="W25" s="775">
        <f>J25</f>
        <v>100</v>
      </c>
      <c r="X25" s="1815"/>
      <c r="Y25" s="3220"/>
      <c r="Z25" s="1816" t="str">
        <f>Q25</f>
        <v>临街状况</v>
      </c>
      <c r="AA25" s="1813">
        <f t="shared" si="3"/>
        <v>1</v>
      </c>
      <c r="AB25" s="1813">
        <f t="shared" si="4"/>
        <v>1</v>
      </c>
      <c r="AC25" s="1813">
        <f t="shared" si="5"/>
        <v>1</v>
      </c>
    </row>
    <row r="26" spans="1:29" ht="15">
      <c r="A26" s="428"/>
      <c r="B26" s="1389" t="s">
        <v>2657</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89"/>
      <c r="Q26" s="1812" t="str">
        <f t="shared" si="11"/>
        <v>平面位置/可视性</v>
      </c>
      <c r="R26" s="774" t="s">
        <v>17</v>
      </c>
      <c r="S26" s="775">
        <f>F26</f>
        <v>100</v>
      </c>
      <c r="T26" s="774" t="s">
        <v>17</v>
      </c>
      <c r="U26" s="775">
        <f>H26</f>
        <v>100</v>
      </c>
      <c r="V26" s="774" t="s">
        <v>17</v>
      </c>
      <c r="W26" s="775">
        <f>J26</f>
        <v>100</v>
      </c>
      <c r="X26" s="1815"/>
      <c r="Y26" s="3220"/>
      <c r="Z26" s="1816" t="str">
        <f>Q26</f>
        <v>平面位置/可视性</v>
      </c>
      <c r="AA26" s="1813">
        <f t="shared" si="3"/>
        <v>1</v>
      </c>
      <c r="AB26" s="1813">
        <f t="shared" si="4"/>
        <v>1</v>
      </c>
      <c r="AC26" s="1813">
        <f t="shared" si="5"/>
        <v>1</v>
      </c>
    </row>
    <row r="27" spans="1:29" s="117" customFormat="1" ht="15">
      <c r="A27" s="431"/>
      <c r="B27" s="451" t="s">
        <v>2658</v>
      </c>
      <c r="C27" s="2671"/>
      <c r="D27" s="462">
        <v>100</v>
      </c>
      <c r="E27" s="2671"/>
      <c r="F27" s="464">
        <f>SUMIF(90:90,E27,91:91)-SUMIF(90:90,C27,91:91)+100</f>
        <v>100</v>
      </c>
      <c r="G27" s="2671"/>
      <c r="H27" s="462">
        <f>SUMIF(90:90,G27,91:91)-SUMIF(90:90,C27,91:91)+100</f>
        <v>100</v>
      </c>
      <c r="I27" s="2671"/>
      <c r="J27" s="462">
        <f>SUMIF(90:90,I27,91:91)-SUMIF(90:90,C27,91:91)+100</f>
        <v>100</v>
      </c>
      <c r="K27" s="612"/>
      <c r="L27" s="1135"/>
      <c r="M27" s="1136"/>
      <c r="N27" s="1136"/>
      <c r="O27" s="1136"/>
      <c r="P27" s="3289"/>
      <c r="Q27" s="1797" t="str">
        <f t="shared" si="11"/>
        <v>人流量</v>
      </c>
      <c r="R27" s="770" t="s">
        <v>17</v>
      </c>
      <c r="S27" s="771">
        <f>F27</f>
        <v>100</v>
      </c>
      <c r="T27" s="770" t="s">
        <v>17</v>
      </c>
      <c r="U27" s="771">
        <f>H27</f>
        <v>100</v>
      </c>
      <c r="V27" s="770" t="s">
        <v>17</v>
      </c>
      <c r="W27" s="771">
        <f>J27</f>
        <v>100</v>
      </c>
      <c r="X27" s="772"/>
      <c r="Y27" s="3220"/>
      <c r="Z27" s="55" t="str">
        <f>Q27</f>
        <v>人流量</v>
      </c>
      <c r="AA27" s="1813">
        <f>D27/F27</f>
        <v>1</v>
      </c>
      <c r="AB27" s="1813">
        <f>D27/H27</f>
        <v>1</v>
      </c>
      <c r="AC27" s="1813">
        <f>D27/J27</f>
        <v>1</v>
      </c>
    </row>
    <row r="28" spans="1:29" ht="15">
      <c r="A28" s="428"/>
      <c r="B28" s="422" t="s">
        <v>2659</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8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220"/>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89"/>
      <c r="Q29" s="1812">
        <f t="shared" si="11"/>
        <v>111</v>
      </c>
      <c r="R29" s="774" t="s">
        <v>17</v>
      </c>
      <c r="S29" s="775">
        <f t="shared" si="12"/>
        <v>100</v>
      </c>
      <c r="T29" s="774" t="s">
        <v>17</v>
      </c>
      <c r="U29" s="775">
        <f t="shared" si="13"/>
        <v>100</v>
      </c>
      <c r="V29" s="774" t="s">
        <v>17</v>
      </c>
      <c r="W29" s="775">
        <f t="shared" si="14"/>
        <v>100</v>
      </c>
      <c r="X29" s="1815"/>
      <c r="Y29" s="3220"/>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89"/>
      <c r="Q30" s="1812">
        <f t="shared" si="11"/>
        <v>111</v>
      </c>
      <c r="R30" s="774" t="s">
        <v>17</v>
      </c>
      <c r="S30" s="775">
        <f t="shared" si="12"/>
        <v>100</v>
      </c>
      <c r="T30" s="774" t="s">
        <v>17</v>
      </c>
      <c r="U30" s="775">
        <f t="shared" si="13"/>
        <v>100</v>
      </c>
      <c r="V30" s="774" t="s">
        <v>17</v>
      </c>
      <c r="W30" s="775">
        <f t="shared" si="14"/>
        <v>100</v>
      </c>
      <c r="X30" s="1815"/>
      <c r="Y30" s="3220"/>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89"/>
      <c r="Q31" s="1812">
        <f t="shared" si="11"/>
        <v>111</v>
      </c>
      <c r="R31" s="774" t="s">
        <v>17</v>
      </c>
      <c r="S31" s="775">
        <f t="shared" si="12"/>
        <v>100</v>
      </c>
      <c r="T31" s="774" t="s">
        <v>17</v>
      </c>
      <c r="U31" s="775">
        <f t="shared" si="13"/>
        <v>100</v>
      </c>
      <c r="V31" s="774" t="s">
        <v>17</v>
      </c>
      <c r="W31" s="775">
        <f t="shared" si="14"/>
        <v>100</v>
      </c>
      <c r="X31" s="1815"/>
      <c r="Y31" s="3220"/>
      <c r="Z31" s="1816">
        <f t="shared" si="15"/>
        <v>111</v>
      </c>
      <c r="AA31" s="1813">
        <f t="shared" si="3"/>
        <v>1</v>
      </c>
      <c r="AB31" s="1813">
        <f t="shared" si="4"/>
        <v>1</v>
      </c>
      <c r="AC31" s="1813">
        <f t="shared" si="5"/>
        <v>1</v>
      </c>
    </row>
    <row r="32" spans="1:29" ht="15">
      <c r="A32" s="440" t="s">
        <v>2563</v>
      </c>
      <c r="B32" s="71" t="s">
        <v>2660</v>
      </c>
      <c r="C32" s="2623"/>
      <c r="D32" s="467">
        <v>100</v>
      </c>
      <c r="E32" s="2623"/>
      <c r="F32" s="461">
        <f>SUMIF(100:100,E32,101:101)-SUMIF(100:100,C32,101:101)+100</f>
        <v>100</v>
      </c>
      <c r="G32" s="2623"/>
      <c r="H32" s="435">
        <f>SUMIF(100:100,G32,101:101)-SUMIF(100:100,C32,101:101)+100</f>
        <v>100</v>
      </c>
      <c r="I32" s="2623"/>
      <c r="J32" s="467">
        <f>SUMIF(100:100,I32,101:101)-SUMIF(100:100,C32,101:101)+100</f>
        <v>100</v>
      </c>
      <c r="K32" s="612"/>
      <c r="L32" s="1143"/>
      <c r="M32" s="1134"/>
      <c r="N32" s="1134"/>
      <c r="O32" s="1134"/>
      <c r="P32" s="3284" t="s">
        <v>2565</v>
      </c>
      <c r="Q32" s="1812" t="str">
        <f t="shared" si="11"/>
        <v>商业类型</v>
      </c>
      <c r="R32" s="774" t="s">
        <v>17</v>
      </c>
      <c r="S32" s="775">
        <f t="shared" si="12"/>
        <v>100</v>
      </c>
      <c r="T32" s="774" t="s">
        <v>17</v>
      </c>
      <c r="U32" s="775">
        <f t="shared" si="13"/>
        <v>100</v>
      </c>
      <c r="V32" s="774" t="s">
        <v>17</v>
      </c>
      <c r="W32" s="775">
        <f t="shared" si="14"/>
        <v>100</v>
      </c>
      <c r="X32" s="1815"/>
      <c r="Y32" s="3222" t="s">
        <v>2565</v>
      </c>
      <c r="Z32" s="1816" t="str">
        <f t="shared" si="15"/>
        <v>商业类型</v>
      </c>
      <c r="AA32" s="1813">
        <f t="shared" si="3"/>
        <v>1</v>
      </c>
      <c r="AB32" s="1813">
        <f t="shared" si="4"/>
        <v>1</v>
      </c>
      <c r="AC32" s="1813">
        <f t="shared" si="5"/>
        <v>1</v>
      </c>
    </row>
    <row r="33" spans="1:29" s="471" customFormat="1" ht="15">
      <c r="A33" s="468"/>
      <c r="B33" s="422" t="s">
        <v>2566</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85"/>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3" t="e">
        <f t="shared" si="3"/>
        <v>#N/A</v>
      </c>
      <c r="AB33" s="1813" t="e">
        <f t="shared" si="4"/>
        <v>#N/A</v>
      </c>
      <c r="AC33" s="1813" t="e">
        <f t="shared" si="5"/>
        <v>#N/A</v>
      </c>
    </row>
    <row r="34" spans="1:29" ht="15">
      <c r="A34" s="472"/>
      <c r="B34" s="422" t="s">
        <v>2567</v>
      </c>
      <c r="C34" s="2625"/>
      <c r="D34" s="435">
        <v>100</v>
      </c>
      <c r="E34" s="2625"/>
      <c r="F34" s="461">
        <f>SUMIF(105:105,E34,106:106)-SUMIF(105:105,C34,106:106)+100</f>
        <v>100</v>
      </c>
      <c r="G34" s="2625"/>
      <c r="H34" s="435">
        <f>SUMIF(105:105,G34,106:106)-SUMIF(105:105,C34,106:106)+100</f>
        <v>100</v>
      </c>
      <c r="I34" s="2625"/>
      <c r="J34" s="435">
        <f>SUMIF(105:105,I34,106:106)-SUMIF(105:105,C34,106:106)+100</f>
        <v>100</v>
      </c>
      <c r="K34" s="612"/>
      <c r="L34" s="1143"/>
      <c r="M34" s="1134"/>
      <c r="N34" s="1134"/>
      <c r="O34" s="1134"/>
      <c r="P34" s="3285"/>
      <c r="Q34" s="1812" t="str">
        <f t="shared" si="11"/>
        <v>建筑结构</v>
      </c>
      <c r="R34" s="774" t="s">
        <v>17</v>
      </c>
      <c r="S34" s="775">
        <f t="shared" si="12"/>
        <v>100</v>
      </c>
      <c r="T34" s="774" t="s">
        <v>17</v>
      </c>
      <c r="U34" s="775">
        <f t="shared" si="13"/>
        <v>100</v>
      </c>
      <c r="V34" s="774" t="s">
        <v>17</v>
      </c>
      <c r="W34" s="775">
        <f t="shared" si="14"/>
        <v>100</v>
      </c>
      <c r="X34" s="1815"/>
      <c r="Y34" s="3222"/>
      <c r="Z34" s="1816" t="str">
        <f t="shared" si="15"/>
        <v>建筑结构</v>
      </c>
      <c r="AA34" s="1813">
        <f t="shared" si="3"/>
        <v>1</v>
      </c>
      <c r="AB34" s="1813">
        <f t="shared" si="4"/>
        <v>1</v>
      </c>
      <c r="AC34" s="1813">
        <f t="shared" si="5"/>
        <v>1</v>
      </c>
    </row>
    <row r="35" spans="1:29" ht="15">
      <c r="A35" s="472"/>
      <c r="B35" s="422" t="s">
        <v>2661</v>
      </c>
      <c r="C35" s="2619"/>
      <c r="D35" s="435">
        <v>100</v>
      </c>
      <c r="E35" s="2619"/>
      <c r="F35" s="461">
        <f>SUMIF(107:107,E35,108:108)-SUMIF(107:107,C35,108:108)+100</f>
        <v>100</v>
      </c>
      <c r="G35" s="2619"/>
      <c r="H35" s="435">
        <f>SUMIF(107:107,G35,108:108)-SUMIF(107:107,C35,108:108)+100</f>
        <v>100</v>
      </c>
      <c r="I35" s="2619"/>
      <c r="J35" s="435">
        <f>SUMIF(107:107,I35,108:108)-SUMIF(107:107,C35,108:108)+100</f>
        <v>100</v>
      </c>
      <c r="K35" s="612"/>
      <c r="L35" s="1143"/>
      <c r="M35" s="1134"/>
      <c r="N35" s="1134"/>
      <c r="O35" s="1134"/>
      <c r="P35" s="3285"/>
      <c r="Q35" s="1812" t="str">
        <f t="shared" si="11"/>
        <v>公共部分装修</v>
      </c>
      <c r="R35" s="774" t="s">
        <v>17</v>
      </c>
      <c r="S35" s="775">
        <f t="shared" si="12"/>
        <v>100</v>
      </c>
      <c r="T35" s="774" t="s">
        <v>17</v>
      </c>
      <c r="U35" s="775">
        <f t="shared" si="13"/>
        <v>100</v>
      </c>
      <c r="V35" s="774" t="s">
        <v>17</v>
      </c>
      <c r="W35" s="775">
        <f t="shared" si="14"/>
        <v>100</v>
      </c>
      <c r="X35" s="1815"/>
      <c r="Y35" s="3222"/>
      <c r="Z35" s="1816" t="str">
        <f t="shared" si="15"/>
        <v>公共部分装修</v>
      </c>
      <c r="AA35" s="1813">
        <f t="shared" si="3"/>
        <v>1</v>
      </c>
      <c r="AB35" s="1813">
        <f t="shared" si="4"/>
        <v>1</v>
      </c>
      <c r="AC35" s="1813">
        <f t="shared" si="5"/>
        <v>1</v>
      </c>
    </row>
    <row r="36" spans="1:29" ht="15">
      <c r="A36" s="472"/>
      <c r="B36" s="422" t="s">
        <v>2662</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85"/>
      <c r="Q36" s="1812" t="str">
        <f t="shared" si="11"/>
        <v>成新度</v>
      </c>
      <c r="R36" s="774" t="s">
        <v>17</v>
      </c>
      <c r="S36" s="775" t="e">
        <f t="shared" si="12"/>
        <v>#N/A</v>
      </c>
      <c r="T36" s="774" t="s">
        <v>17</v>
      </c>
      <c r="U36" s="775" t="e">
        <f t="shared" si="13"/>
        <v>#N/A</v>
      </c>
      <c r="V36" s="774" t="s">
        <v>17</v>
      </c>
      <c r="W36" s="775" t="e">
        <f t="shared" si="14"/>
        <v>#N/A</v>
      </c>
      <c r="X36" s="1815"/>
      <c r="Y36" s="3222"/>
      <c r="Z36" s="1816" t="str">
        <f t="shared" si="15"/>
        <v>成新度</v>
      </c>
      <c r="AA36" s="1813" t="e">
        <f t="shared" si="3"/>
        <v>#N/A</v>
      </c>
      <c r="AB36" s="1813" t="e">
        <f t="shared" si="4"/>
        <v>#N/A</v>
      </c>
      <c r="AC36" s="1813" t="e">
        <f t="shared" si="5"/>
        <v>#N/A</v>
      </c>
    </row>
    <row r="37" spans="1:29" s="117" customFormat="1" ht="15">
      <c r="A37" s="473"/>
      <c r="B37" s="422" t="s">
        <v>2663</v>
      </c>
      <c r="C37" s="2619"/>
      <c r="D37" s="136">
        <v>100</v>
      </c>
      <c r="E37" s="2619"/>
      <c r="F37" s="461">
        <f>SUMIF(112:112,E37,113:113)-SUMIF(112:112,C37,113:113)+100</f>
        <v>100</v>
      </c>
      <c r="G37" s="2619"/>
      <c r="H37" s="435">
        <f>SUMIF(112:112,G37,113:113)-SUMIF(112:112,C37,113:113)+100</f>
        <v>100</v>
      </c>
      <c r="I37" s="2619"/>
      <c r="J37" s="435">
        <f>SUMIF(112:112,I37,113:113)-SUMIF(112:112,C37,113:113)+100</f>
        <v>100</v>
      </c>
      <c r="K37" s="612"/>
      <c r="L37" s="1135"/>
      <c r="M37" s="1136"/>
      <c r="N37" s="1136"/>
      <c r="O37" s="1136"/>
      <c r="P37" s="3285"/>
      <c r="Q37" s="1797"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2664</v>
      </c>
      <c r="C38" s="2619"/>
      <c r="D38" s="435">
        <v>100</v>
      </c>
      <c r="E38" s="2619"/>
      <c r="F38" s="461">
        <f>SUMIF(114:114,E38,115:115)-SUMIF(114:114,C38,115:115)+100</f>
        <v>100</v>
      </c>
      <c r="G38" s="2619"/>
      <c r="H38" s="435">
        <f>SUMIF(114:114,G38,115:115)-SUMIF(114:114,C38,115:115)+100</f>
        <v>100</v>
      </c>
      <c r="I38" s="2619"/>
      <c r="J38" s="435">
        <f>SUMIF(114:114,I38,115:115)-SUMIF(114:114,C38,115:115)+100</f>
        <v>100</v>
      </c>
      <c r="K38" s="612"/>
      <c r="L38" s="1143"/>
      <c r="M38" s="1134"/>
      <c r="N38" s="1134"/>
      <c r="O38" s="1134"/>
      <c r="P38" s="3285" t="s">
        <v>2565</v>
      </c>
      <c r="Q38" s="1812" t="str">
        <f t="shared" si="11"/>
        <v>业态</v>
      </c>
      <c r="R38" s="774" t="s">
        <v>17</v>
      </c>
      <c r="S38" s="775">
        <f t="shared" si="12"/>
        <v>100</v>
      </c>
      <c r="T38" s="774" t="s">
        <v>17</v>
      </c>
      <c r="U38" s="775">
        <f t="shared" si="13"/>
        <v>100</v>
      </c>
      <c r="V38" s="774" t="s">
        <v>17</v>
      </c>
      <c r="W38" s="775">
        <f t="shared" si="14"/>
        <v>100</v>
      </c>
      <c r="X38" s="1815"/>
      <c r="Y38" s="3222" t="s">
        <v>2565</v>
      </c>
      <c r="Z38" s="1816" t="str">
        <f t="shared" si="15"/>
        <v>业态</v>
      </c>
      <c r="AA38" s="1813">
        <f t="shared" si="3"/>
        <v>1</v>
      </c>
      <c r="AB38" s="1813">
        <f t="shared" si="4"/>
        <v>1</v>
      </c>
      <c r="AC38" s="1813">
        <f t="shared" si="5"/>
        <v>1</v>
      </c>
    </row>
    <row r="39" spans="1:29" ht="15">
      <c r="A39" s="472"/>
      <c r="B39" s="422" t="s">
        <v>2665</v>
      </c>
      <c r="C39" s="2619"/>
      <c r="D39" s="435">
        <v>100</v>
      </c>
      <c r="E39" s="2619"/>
      <c r="F39" s="461">
        <f>SUMIF(116:116,E39,117:117)-SUMIF(116:116,C39,117:117)+100</f>
        <v>100</v>
      </c>
      <c r="G39" s="2619"/>
      <c r="H39" s="435">
        <f>SUMIF(116:116,G39,117:117)-SUMIF(116:116,C39,117:117)+100</f>
        <v>100</v>
      </c>
      <c r="I39" s="2619"/>
      <c r="J39" s="435">
        <f>SUMIF(116:116,I39,117:117)-SUMIF(116:116,C39,117:117)+100</f>
        <v>100</v>
      </c>
      <c r="K39" s="612"/>
      <c r="L39" s="1143"/>
      <c r="M39" s="1134"/>
      <c r="N39" s="1134"/>
      <c r="O39" s="1134"/>
      <c r="P39" s="3285"/>
      <c r="Q39" s="1812" t="str">
        <f t="shared" si="11"/>
        <v>层高</v>
      </c>
      <c r="R39" s="774" t="s">
        <v>17</v>
      </c>
      <c r="S39" s="775">
        <f t="shared" si="12"/>
        <v>100</v>
      </c>
      <c r="T39" s="774" t="s">
        <v>17</v>
      </c>
      <c r="U39" s="775">
        <f t="shared" si="13"/>
        <v>100</v>
      </c>
      <c r="V39" s="774" t="s">
        <v>17</v>
      </c>
      <c r="W39" s="775">
        <f t="shared" si="14"/>
        <v>100</v>
      </c>
      <c r="X39" s="1815"/>
      <c r="Y39" s="3222"/>
      <c r="Z39" s="1816" t="str">
        <f t="shared" si="15"/>
        <v>层高</v>
      </c>
      <c r="AA39" s="1813">
        <f t="shared" si="3"/>
        <v>1</v>
      </c>
      <c r="AB39" s="1813">
        <f t="shared" si="4"/>
        <v>1</v>
      </c>
      <c r="AC39" s="1813">
        <f t="shared" si="5"/>
        <v>1</v>
      </c>
    </row>
    <row r="40" spans="1:29" ht="15">
      <c r="A40" s="472"/>
      <c r="B40" s="422" t="s">
        <v>2666</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85"/>
      <c r="Q40" s="1812" t="str">
        <f t="shared" si="11"/>
        <v>单套建筑面积</v>
      </c>
      <c r="R40" s="774" t="s">
        <v>17</v>
      </c>
      <c r="S40" s="775">
        <f t="shared" si="12"/>
        <v>100</v>
      </c>
      <c r="T40" s="774" t="s">
        <v>17</v>
      </c>
      <c r="U40" s="775">
        <f t="shared" si="13"/>
        <v>100</v>
      </c>
      <c r="V40" s="774" t="s">
        <v>17</v>
      </c>
      <c r="W40" s="775">
        <f t="shared" si="14"/>
        <v>100</v>
      </c>
      <c r="X40" s="1815"/>
      <c r="Y40" s="3222"/>
      <c r="Z40" s="1816" t="str">
        <f t="shared" si="15"/>
        <v>单套建筑面积</v>
      </c>
      <c r="AA40" s="1813">
        <f t="shared" si="3"/>
        <v>1</v>
      </c>
      <c r="AB40" s="1813">
        <f t="shared" si="4"/>
        <v>1</v>
      </c>
      <c r="AC40" s="1813">
        <f t="shared" si="5"/>
        <v>1</v>
      </c>
    </row>
    <row r="41" spans="1:29" s="471" customFormat="1" ht="15">
      <c r="A41" s="468"/>
      <c r="B41" s="1814" t="s">
        <v>2667</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85"/>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3">
        <f t="shared" si="3"/>
        <v>1</v>
      </c>
      <c r="AB41" s="1813">
        <f t="shared" si="4"/>
        <v>1</v>
      </c>
      <c r="AC41" s="1813">
        <f t="shared" si="5"/>
        <v>1</v>
      </c>
    </row>
    <row r="42" spans="1:29" ht="15">
      <c r="A42" s="472"/>
      <c r="B42" s="422" t="s">
        <v>2668</v>
      </c>
      <c r="C42" s="2619"/>
      <c r="D42" s="435">
        <v>100</v>
      </c>
      <c r="E42" s="2619"/>
      <c r="F42" s="461">
        <f>SUMIF(122:122,E42,123:123)-SUMIF(122:122,C42,123:123)+100</f>
        <v>100</v>
      </c>
      <c r="G42" s="2619"/>
      <c r="H42" s="435">
        <f>SUMIF(122:122,G42,123:123)-SUMIF(122:122,C42,123:123)+100</f>
        <v>100</v>
      </c>
      <c r="I42" s="2619"/>
      <c r="J42" s="435">
        <f>SUMIF(122:122,I42,123:123)-SUMIF(122:122,C42,123:123)+100</f>
        <v>100</v>
      </c>
      <c r="K42" s="612"/>
      <c r="L42" s="1143"/>
      <c r="M42" s="1134"/>
      <c r="N42" s="1134"/>
      <c r="O42" s="1134"/>
      <c r="P42" s="3285"/>
      <c r="Q42" s="1812" t="str">
        <f t="shared" si="11"/>
        <v>内部装修</v>
      </c>
      <c r="R42" s="774" t="s">
        <v>17</v>
      </c>
      <c r="S42" s="775">
        <f t="shared" si="12"/>
        <v>100</v>
      </c>
      <c r="T42" s="774" t="s">
        <v>17</v>
      </c>
      <c r="U42" s="775">
        <f t="shared" si="13"/>
        <v>100</v>
      </c>
      <c r="V42" s="774" t="s">
        <v>17</v>
      </c>
      <c r="W42" s="775">
        <f t="shared" si="14"/>
        <v>100</v>
      </c>
      <c r="X42" s="1815"/>
      <c r="Y42" s="3222"/>
      <c r="Z42" s="1816" t="str">
        <f t="shared" si="15"/>
        <v>内部装修</v>
      </c>
      <c r="AA42" s="1813">
        <f t="shared" si="3"/>
        <v>1</v>
      </c>
      <c r="AB42" s="1813">
        <f t="shared" si="4"/>
        <v>1</v>
      </c>
      <c r="AC42" s="1813">
        <f t="shared" si="5"/>
        <v>1</v>
      </c>
    </row>
    <row r="43" spans="1:29" ht="15">
      <c r="A43" s="472"/>
      <c r="B43" s="422" t="s">
        <v>2576</v>
      </c>
      <c r="C43" s="2619"/>
      <c r="D43" s="435">
        <v>100</v>
      </c>
      <c r="E43" s="2619"/>
      <c r="F43" s="461">
        <f>SUMIF(124:124,E43,125:125)-SUMIF(124:124,C43,125:125)+100</f>
        <v>100</v>
      </c>
      <c r="G43" s="2619"/>
      <c r="H43" s="435">
        <f>SUMIF(124:124,G43,125:125)-SUMIF(124:124,C43,125:125)+100</f>
        <v>100</v>
      </c>
      <c r="I43" s="2619"/>
      <c r="J43" s="435">
        <f>SUMIF(124:124,I43,125:125)-SUMIF(124:124,C43,125:125)+100</f>
        <v>100</v>
      </c>
      <c r="K43" s="612"/>
      <c r="L43" s="1143"/>
      <c r="M43" s="1134"/>
      <c r="N43" s="1134"/>
      <c r="O43" s="1134"/>
      <c r="P43" s="3285"/>
      <c r="Q43" s="1812" t="str">
        <f t="shared" si="11"/>
        <v>内部装修维护情况</v>
      </c>
      <c r="R43" s="774" t="s">
        <v>17</v>
      </c>
      <c r="S43" s="775">
        <f t="shared" si="12"/>
        <v>100</v>
      </c>
      <c r="T43" s="774" t="s">
        <v>17</v>
      </c>
      <c r="U43" s="775">
        <f t="shared" si="13"/>
        <v>100</v>
      </c>
      <c r="V43" s="774" t="s">
        <v>17</v>
      </c>
      <c r="W43" s="775">
        <f t="shared" si="14"/>
        <v>100</v>
      </c>
      <c r="X43" s="1815"/>
      <c r="Y43" s="3222"/>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85"/>
      <c r="Q44" s="1797">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85"/>
      <c r="Q45" s="1812">
        <f t="shared" si="11"/>
        <v>111</v>
      </c>
      <c r="R45" s="774" t="s">
        <v>17</v>
      </c>
      <c r="S45" s="775">
        <f t="shared" si="12"/>
        <v>100</v>
      </c>
      <c r="T45" s="774" t="s">
        <v>17</v>
      </c>
      <c r="U45" s="775">
        <f t="shared" si="13"/>
        <v>100</v>
      </c>
      <c r="V45" s="774" t="s">
        <v>17</v>
      </c>
      <c r="W45" s="775">
        <f t="shared" si="14"/>
        <v>100</v>
      </c>
      <c r="X45" s="1815"/>
      <c r="Y45" s="3222"/>
      <c r="Z45" s="1816">
        <f t="shared" si="15"/>
        <v>111</v>
      </c>
      <c r="AA45" s="1813">
        <f t="shared" si="3"/>
        <v>1</v>
      </c>
      <c r="AB45" s="1813">
        <f t="shared" si="4"/>
        <v>1</v>
      </c>
      <c r="AC45" s="1813">
        <f t="shared" si="5"/>
        <v>1</v>
      </c>
    </row>
    <row r="46" spans="1:29" ht="15.75" thickBot="1">
      <c r="A46" s="478"/>
      <c r="B46" s="2608">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86"/>
      <c r="Q46" s="1812">
        <f t="shared" si="11"/>
        <v>111</v>
      </c>
      <c r="R46" s="774" t="s">
        <v>17</v>
      </c>
      <c r="S46" s="775">
        <f t="shared" si="12"/>
        <v>100</v>
      </c>
      <c r="T46" s="774" t="s">
        <v>17</v>
      </c>
      <c r="U46" s="775">
        <f t="shared" si="13"/>
        <v>100</v>
      </c>
      <c r="V46" s="774" t="s">
        <v>17</v>
      </c>
      <c r="W46" s="775">
        <f t="shared" si="14"/>
        <v>100</v>
      </c>
      <c r="X46" s="1815"/>
      <c r="Y46" s="3287"/>
      <c r="Z46" s="1816">
        <f t="shared" si="15"/>
        <v>111</v>
      </c>
      <c r="AA46" s="1813">
        <f t="shared" si="3"/>
        <v>1</v>
      </c>
      <c r="AB46" s="1813">
        <f t="shared" si="4"/>
        <v>1</v>
      </c>
      <c r="AC46" s="1813">
        <f t="shared" si="5"/>
        <v>1</v>
      </c>
    </row>
    <row r="47" spans="1:29" ht="15">
      <c r="A47" s="479" t="s">
        <v>2577</v>
      </c>
      <c r="B47" s="480"/>
      <c r="C47" s="1410" t="s">
        <v>1</v>
      </c>
      <c r="D47" s="1411"/>
      <c r="E47" s="1412"/>
      <c r="F47" s="1413"/>
      <c r="G47" s="1414"/>
      <c r="H47" s="1415"/>
      <c r="I47" s="1412"/>
      <c r="J47" s="1415"/>
      <c r="K47" s="783"/>
      <c r="L47" s="1146"/>
      <c r="M47" s="1147"/>
      <c r="N47" s="1134"/>
      <c r="O47" s="1147"/>
      <c r="P47" s="3217" t="str">
        <f>A47</f>
        <v>成交单价（元/平方米）</v>
      </c>
      <c r="Q47" s="3217"/>
      <c r="R47" s="3223">
        <f>E47</f>
        <v>0</v>
      </c>
      <c r="S47" s="3223"/>
      <c r="T47" s="3223">
        <f>G47</f>
        <v>0</v>
      </c>
      <c r="U47" s="3223"/>
      <c r="V47" s="3223">
        <f>I47</f>
        <v>0</v>
      </c>
      <c r="W47" s="3223"/>
      <c r="X47" s="759"/>
      <c r="Y47" s="781"/>
      <c r="Z47" s="759"/>
      <c r="AA47" s="759"/>
      <c r="AB47" s="759"/>
      <c r="AC47" s="759"/>
    </row>
    <row r="48" spans="1:29" ht="15.75" thickBot="1">
      <c r="A48" s="486" t="s">
        <v>2669</v>
      </c>
      <c r="B48" s="487"/>
      <c r="C48" s="1416" t="e">
        <f>R49</f>
        <v>#DIV/0!</v>
      </c>
      <c r="D48" s="1417"/>
      <c r="E48" s="1418" t="e">
        <f>R48</f>
        <v>#DIV/0!</v>
      </c>
      <c r="F48" s="1418"/>
      <c r="G48" s="1416" t="e">
        <f>T48</f>
        <v>#DIV/0!</v>
      </c>
      <c r="H48" s="1417"/>
      <c r="I48" s="1418" t="e">
        <f>V48</f>
        <v>#DIV/0!</v>
      </c>
      <c r="J48" s="1417"/>
      <c r="K48" s="784"/>
      <c r="L48" s="1146"/>
      <c r="M48" s="1147"/>
      <c r="N48" s="1134"/>
      <c r="O48" s="1147"/>
      <c r="P48" s="3217" t="str">
        <f>A48</f>
        <v>比较价值（元/平方米）</v>
      </c>
      <c r="Q48" s="3217"/>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759"/>
      <c r="Y48" s="759"/>
      <c r="Z48" s="759"/>
      <c r="AA48" s="759"/>
      <c r="AB48" s="759"/>
      <c r="AC48" s="759"/>
    </row>
    <row r="49" spans="1:29" ht="15.75" thickBot="1">
      <c r="A49" s="492" t="s">
        <v>2670</v>
      </c>
      <c r="B49" s="493"/>
      <c r="C49" s="1420" t="e">
        <f>R49</f>
        <v>#DIV/0!</v>
      </c>
      <c r="D49" s="1420"/>
      <c r="E49" s="1420"/>
      <c r="F49" s="1420"/>
      <c r="G49" s="1420"/>
      <c r="H49" s="1420"/>
      <c r="I49" s="1420"/>
      <c r="J49" s="1420"/>
      <c r="K49" s="785"/>
      <c r="L49" s="1146"/>
      <c r="M49" s="1147"/>
      <c r="N49" s="1134"/>
      <c r="O49" s="1147"/>
      <c r="P49" s="3211" t="str">
        <f>A49</f>
        <v>估价对象XX用房的比较价值（楼面单价，元/平方米）</v>
      </c>
      <c r="Q49" s="3212"/>
      <c r="R49" s="3282" t="e">
        <f>IF(F1="售价",ROUND(AVERAGE(R48:V48),0),ROUND(AVERAGE(R48:V48),1))</f>
        <v>#DIV/0!</v>
      </c>
      <c r="S49" s="3282"/>
      <c r="T49" s="3282"/>
      <c r="U49" s="3282"/>
      <c r="V49" s="3282"/>
      <c r="W49" s="3282"/>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2"/>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2"/>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2674</v>
      </c>
      <c r="B57" s="759"/>
      <c r="C57" s="764"/>
      <c r="D57" s="764"/>
      <c r="E57" s="764"/>
      <c r="F57" s="765"/>
      <c r="G57" s="765"/>
      <c r="H57" s="764"/>
      <c r="I57" s="764"/>
      <c r="J57" s="764"/>
      <c r="K57" s="766"/>
      <c r="L57" s="1164"/>
      <c r="M57" s="1162"/>
      <c r="N57" s="1162"/>
      <c r="O57" s="1162"/>
      <c r="P57" s="2673"/>
      <c r="Q57" s="2674"/>
      <c r="R57" s="759"/>
      <c r="S57" s="759"/>
      <c r="T57" s="759"/>
      <c r="U57" s="759"/>
      <c r="V57" s="759"/>
      <c r="W57" s="759"/>
      <c r="X57" s="759"/>
      <c r="Y57" s="759"/>
      <c r="Z57" s="759"/>
      <c r="AA57" s="759"/>
      <c r="AB57" s="759"/>
      <c r="AC57" s="759"/>
    </row>
    <row r="58" spans="1:29" s="508" customFormat="1" ht="15">
      <c r="A58" s="505" t="s">
        <v>2548</v>
      </c>
      <c r="B58" s="506"/>
      <c r="C58" s="1576" t="str">
        <f>YEAR(C7)&amp;"-"&amp;MONTH(C7)</f>
        <v>2019-8</v>
      </c>
      <c r="D58" s="1577">
        <f>EDATE(C58,-1)</f>
        <v>43647</v>
      </c>
      <c r="E58" s="1577">
        <f t="shared" ref="E58:N58" si="16">EDATE(D58,-1)</f>
        <v>43617</v>
      </c>
      <c r="F58" s="1577">
        <f t="shared" si="16"/>
        <v>43586</v>
      </c>
      <c r="G58" s="1577">
        <f t="shared" si="16"/>
        <v>43556</v>
      </c>
      <c r="H58" s="1577">
        <f t="shared" si="16"/>
        <v>43525</v>
      </c>
      <c r="I58" s="1577">
        <f t="shared" si="16"/>
        <v>43497</v>
      </c>
      <c r="J58" s="1577">
        <f t="shared" si="16"/>
        <v>43466</v>
      </c>
      <c r="K58" s="1577">
        <f t="shared" si="16"/>
        <v>43435</v>
      </c>
      <c r="L58" s="1577">
        <f t="shared" si="16"/>
        <v>43405</v>
      </c>
      <c r="M58" s="1577">
        <f t="shared" si="16"/>
        <v>43374</v>
      </c>
      <c r="N58" s="1577">
        <f t="shared" si="16"/>
        <v>43344</v>
      </c>
      <c r="O58" s="1577">
        <f>EDATE(N58,-1)</f>
        <v>43313</v>
      </c>
      <c r="P58" s="1572"/>
    </row>
    <row r="59" spans="1:29" s="117" customFormat="1" ht="15">
      <c r="A59" s="509"/>
      <c r="B59" s="510"/>
      <c r="C59" s="1575">
        <v>100</v>
      </c>
      <c r="D59" s="512"/>
      <c r="E59" s="512"/>
      <c r="F59" s="512"/>
      <c r="G59" s="512"/>
      <c r="H59" s="512"/>
      <c r="I59" s="512"/>
      <c r="J59" s="512"/>
      <c r="K59" s="512"/>
      <c r="L59" s="512"/>
      <c r="M59" s="513"/>
      <c r="N59" s="512"/>
      <c r="O59" s="513"/>
      <c r="P59" s="2634"/>
    </row>
    <row r="60" spans="1:29" s="117" customFormat="1" ht="15.75" thickBot="1">
      <c r="A60" s="515" t="s">
        <v>2585</v>
      </c>
      <c r="B60" s="516"/>
      <c r="C60" s="517"/>
      <c r="D60" s="518"/>
      <c r="E60" s="518"/>
      <c r="F60" s="518"/>
      <c r="G60" s="518"/>
      <c r="H60" s="518"/>
      <c r="I60" s="518"/>
      <c r="J60" s="518"/>
      <c r="K60" s="518"/>
      <c r="L60" s="518"/>
      <c r="M60" s="519"/>
      <c r="N60" s="518"/>
      <c r="O60" s="519"/>
      <c r="P60" s="2634"/>
      <c r="Q60" s="504"/>
    </row>
    <row r="61" spans="1:29" s="117" customFormat="1" ht="15">
      <c r="A61" s="521" t="s">
        <v>2550</v>
      </c>
      <c r="B61" s="510"/>
      <c r="C61" s="522" t="s">
        <v>2652</v>
      </c>
      <c r="D61" s="523"/>
      <c r="E61" s="523"/>
      <c r="F61" s="523"/>
      <c r="G61" s="523"/>
      <c r="H61" s="523"/>
      <c r="I61" s="523"/>
      <c r="J61" s="523"/>
      <c r="K61" s="523"/>
      <c r="L61" s="524"/>
      <c r="M61" s="525"/>
      <c r="N61" s="1154"/>
      <c r="O61" s="1154"/>
      <c r="P61" s="2635"/>
      <c r="Q61" s="504"/>
    </row>
    <row r="62" spans="1:29" s="117" customFormat="1" ht="15.75" thickBot="1">
      <c r="A62" s="521"/>
      <c r="B62" s="510"/>
      <c r="C62" s="511">
        <v>100</v>
      </c>
      <c r="D62" s="512"/>
      <c r="E62" s="512"/>
      <c r="F62" s="512"/>
      <c r="G62" s="512"/>
      <c r="H62" s="512"/>
      <c r="I62" s="512"/>
      <c r="J62" s="512"/>
      <c r="K62" s="512"/>
      <c r="L62" s="512"/>
      <c r="M62" s="514"/>
      <c r="N62" s="1154"/>
      <c r="O62" s="1154"/>
      <c r="P62" s="2634"/>
      <c r="Q62" s="504"/>
    </row>
    <row r="63" spans="1:29">
      <c r="A63" s="527" t="s">
        <v>2588</v>
      </c>
      <c r="B63" s="528" t="s">
        <v>2554</v>
      </c>
      <c r="C63" s="529">
        <f>C9</f>
        <v>0</v>
      </c>
      <c r="D63" s="530"/>
      <c r="E63" s="530"/>
      <c r="F63" s="530"/>
      <c r="G63" s="530"/>
      <c r="H63" s="530"/>
      <c r="I63" s="530"/>
      <c r="J63" s="530"/>
      <c r="K63" s="531"/>
      <c r="L63" s="532"/>
      <c r="M63" s="533"/>
      <c r="N63" s="1155"/>
      <c r="O63" s="1155"/>
      <c r="P63" s="2636"/>
      <c r="Q63" s="504"/>
    </row>
    <row r="64" spans="1:29" ht="15.75" thickBot="1">
      <c r="A64" s="534"/>
      <c r="B64" s="535"/>
      <c r="C64" s="536">
        <v>100</v>
      </c>
      <c r="D64" s="536"/>
      <c r="E64" s="536"/>
      <c r="F64" s="536"/>
      <c r="G64" s="536"/>
      <c r="H64" s="536"/>
      <c r="I64" s="536"/>
      <c r="J64" s="536"/>
      <c r="K64" s="536"/>
      <c r="L64" s="536"/>
      <c r="M64" s="537"/>
      <c r="N64" s="1156"/>
      <c r="O64" s="1156"/>
      <c r="P64" s="2636"/>
      <c r="Q64" s="504"/>
    </row>
    <row r="65" spans="1:17" ht="27.75" thickTop="1">
      <c r="A65" s="534"/>
      <c r="B65" s="538" t="s">
        <v>2557</v>
      </c>
      <c r="C65" s="539" t="s">
        <v>2589</v>
      </c>
      <c r="D65" s="539" t="s">
        <v>2590</v>
      </c>
      <c r="E65" s="539" t="s">
        <v>2591</v>
      </c>
      <c r="F65" s="539" t="s">
        <v>2592</v>
      </c>
      <c r="G65" s="539" t="s">
        <v>2593</v>
      </c>
      <c r="H65" s="539" t="s">
        <v>2594</v>
      </c>
      <c r="I65" s="539" t="s">
        <v>2595</v>
      </c>
      <c r="J65" s="539"/>
      <c r="K65" s="540"/>
      <c r="L65" s="541"/>
      <c r="M65" s="542"/>
      <c r="N65" s="1155"/>
      <c r="O65" s="1155"/>
      <c r="P65" s="2636"/>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6"/>
      <c r="Q66" s="504"/>
    </row>
    <row r="67" spans="1:17" ht="15.75" thickTop="1">
      <c r="A67" s="534"/>
      <c r="B67" s="546" t="s">
        <v>2558</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6"/>
      <c r="Q67" s="504"/>
    </row>
    <row r="68" spans="1:17" ht="15">
      <c r="A68" s="534"/>
      <c r="B68" s="548"/>
      <c r="C68" s="549"/>
      <c r="D68" s="549"/>
      <c r="E68" s="549"/>
      <c r="F68" s="549"/>
      <c r="G68" s="549"/>
      <c r="H68" s="549"/>
      <c r="I68" s="549"/>
      <c r="J68" s="549"/>
      <c r="K68" s="550"/>
      <c r="L68" s="551"/>
      <c r="M68" s="552"/>
      <c r="N68" s="1155"/>
      <c r="O68" s="1155"/>
      <c r="P68" s="2636"/>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6"/>
      <c r="Q69" s="504"/>
    </row>
    <row r="70" spans="1:17" s="471" customFormat="1" ht="15.75" thickTop="1">
      <c r="A70" s="553"/>
      <c r="B70" s="538">
        <f>B12</f>
        <v>111</v>
      </c>
      <c r="C70" s="554"/>
      <c r="D70" s="554"/>
      <c r="E70" s="554"/>
      <c r="F70" s="554"/>
      <c r="G70" s="554"/>
      <c r="H70" s="555"/>
      <c r="I70" s="555"/>
      <c r="J70" s="555"/>
      <c r="K70" s="555"/>
      <c r="L70" s="556"/>
      <c r="M70" s="557"/>
      <c r="N70" s="1157"/>
      <c r="O70" s="1157"/>
      <c r="P70" s="2637"/>
      <c r="Q70" s="559"/>
    </row>
    <row r="71" spans="1:17" s="471" customFormat="1" ht="15.75" thickBot="1">
      <c r="A71" s="553"/>
      <c r="B71" s="543"/>
      <c r="C71" s="560"/>
      <c r="D71" s="536"/>
      <c r="E71" s="536"/>
      <c r="F71" s="536"/>
      <c r="G71" s="536"/>
      <c r="H71" s="536"/>
      <c r="I71" s="536"/>
      <c r="J71" s="536"/>
      <c r="K71" s="536"/>
      <c r="L71" s="536"/>
      <c r="M71" s="537"/>
      <c r="N71" s="1156"/>
      <c r="O71" s="1156"/>
      <c r="P71" s="2637"/>
      <c r="Q71" s="559"/>
    </row>
    <row r="72" spans="1:17" s="471" customFormat="1" ht="15.75" thickTop="1">
      <c r="A72" s="553"/>
      <c r="B72" s="538">
        <f>B13</f>
        <v>111</v>
      </c>
      <c r="C72" s="554"/>
      <c r="D72" s="554"/>
      <c r="E72" s="554"/>
      <c r="F72" s="554"/>
      <c r="G72" s="554"/>
      <c r="H72" s="555"/>
      <c r="I72" s="555"/>
      <c r="J72" s="555"/>
      <c r="K72" s="555"/>
      <c r="L72" s="556"/>
      <c r="M72" s="557"/>
      <c r="N72" s="1157"/>
      <c r="O72" s="1157"/>
      <c r="P72" s="2638"/>
      <c r="Q72" s="561"/>
    </row>
    <row r="73" spans="1:17" s="471" customFormat="1" ht="15.75" thickBot="1">
      <c r="A73" s="553"/>
      <c r="B73" s="543"/>
      <c r="C73" s="560"/>
      <c r="D73" s="536"/>
      <c r="E73" s="536"/>
      <c r="F73" s="536"/>
      <c r="G73" s="560"/>
      <c r="H73" s="562"/>
      <c r="I73" s="562"/>
      <c r="J73" s="562"/>
      <c r="K73" s="562"/>
      <c r="L73" s="562"/>
      <c r="M73" s="563"/>
      <c r="N73" s="1157"/>
      <c r="O73" s="1157"/>
      <c r="P73" s="2637"/>
      <c r="Q73" s="559"/>
    </row>
    <row r="74" spans="1:17" s="471" customFormat="1" ht="15.75" thickTop="1">
      <c r="A74" s="553"/>
      <c r="B74" s="546">
        <f>B14</f>
        <v>111</v>
      </c>
      <c r="C74" s="554"/>
      <c r="D74" s="554"/>
      <c r="E74" s="554"/>
      <c r="F74" s="554"/>
      <c r="G74" s="523"/>
      <c r="H74" s="564"/>
      <c r="I74" s="564"/>
      <c r="J74" s="564"/>
      <c r="K74" s="564"/>
      <c r="L74" s="565"/>
      <c r="M74" s="566"/>
      <c r="N74" s="1157"/>
      <c r="O74" s="1157"/>
      <c r="P74" s="2639"/>
      <c r="Q74" s="559"/>
    </row>
    <row r="75" spans="1:17" s="471" customFormat="1" ht="15.75" thickBot="1">
      <c r="A75" s="568"/>
      <c r="B75" s="569"/>
      <c r="C75" s="570"/>
      <c r="D75" s="570"/>
      <c r="E75" s="570"/>
      <c r="F75" s="570"/>
      <c r="G75" s="570"/>
      <c r="H75" s="571"/>
      <c r="I75" s="571"/>
      <c r="J75" s="571"/>
      <c r="K75" s="571"/>
      <c r="L75" s="571"/>
      <c r="M75" s="572"/>
      <c r="N75" s="1157"/>
      <c r="O75" s="1157"/>
      <c r="P75" s="2637"/>
      <c r="Q75" s="559"/>
    </row>
    <row r="76" spans="1:17">
      <c r="A76" s="527" t="s">
        <v>2559</v>
      </c>
      <c r="B76" s="528" t="s">
        <v>2596</v>
      </c>
      <c r="C76" s="573" t="s">
        <v>2597</v>
      </c>
      <c r="D76" s="573" t="s">
        <v>2598</v>
      </c>
      <c r="E76" s="573" t="s">
        <v>2599</v>
      </c>
      <c r="F76" s="573" t="s">
        <v>2600</v>
      </c>
      <c r="G76" s="573" t="s">
        <v>2601</v>
      </c>
      <c r="H76" s="529"/>
      <c r="I76" s="529"/>
      <c r="J76" s="529"/>
      <c r="K76" s="574"/>
      <c r="L76" s="575"/>
      <c r="M76" s="576"/>
      <c r="N76" s="1155"/>
      <c r="O76" s="1155"/>
      <c r="P76" s="2640"/>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6"/>
      <c r="Q77" s="504"/>
    </row>
    <row r="78" spans="1:17" ht="15.75" thickTop="1">
      <c r="A78" s="534"/>
      <c r="B78" s="538" t="s">
        <v>2602</v>
      </c>
      <c r="C78" s="578" t="s">
        <v>2597</v>
      </c>
      <c r="D78" s="578" t="s">
        <v>2598</v>
      </c>
      <c r="E78" s="578" t="s">
        <v>2599</v>
      </c>
      <c r="F78" s="578" t="s">
        <v>2600</v>
      </c>
      <c r="G78" s="578" t="s">
        <v>2601</v>
      </c>
      <c r="H78" s="539"/>
      <c r="I78" s="539"/>
      <c r="J78" s="539"/>
      <c r="K78" s="540"/>
      <c r="L78" s="541"/>
      <c r="M78" s="542"/>
      <c r="N78" s="1155"/>
      <c r="O78" s="1155"/>
      <c r="P78" s="2636"/>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6"/>
      <c r="Q79" s="504"/>
    </row>
    <row r="80" spans="1:17" ht="15.75" thickTop="1">
      <c r="A80" s="534"/>
      <c r="B80" s="538" t="s">
        <v>2603</v>
      </c>
      <c r="C80" s="578" t="s">
        <v>2597</v>
      </c>
      <c r="D80" s="578" t="s">
        <v>2598</v>
      </c>
      <c r="E80" s="578" t="s">
        <v>2599</v>
      </c>
      <c r="F80" s="578" t="s">
        <v>2600</v>
      </c>
      <c r="G80" s="578" t="s">
        <v>2601</v>
      </c>
      <c r="H80" s="539"/>
      <c r="I80" s="539"/>
      <c r="J80" s="539"/>
      <c r="K80" s="540"/>
      <c r="L80" s="541"/>
      <c r="M80" s="542"/>
      <c r="N80" s="1155"/>
      <c r="O80" s="1155"/>
      <c r="P80" s="2636"/>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6"/>
      <c r="Q81" s="504"/>
    </row>
    <row r="82" spans="1:17" ht="15.75" thickTop="1">
      <c r="A82" s="534"/>
      <c r="B82" s="546" t="s">
        <v>2655</v>
      </c>
      <c r="C82" s="660" t="s">
        <v>2675</v>
      </c>
      <c r="D82" s="660" t="s">
        <v>2676</v>
      </c>
      <c r="E82" s="660" t="s">
        <v>2677</v>
      </c>
      <c r="F82" s="660" t="s">
        <v>2678</v>
      </c>
      <c r="G82" s="660" t="s">
        <v>2679</v>
      </c>
      <c r="H82" s="539"/>
      <c r="I82" s="539"/>
      <c r="J82" s="539"/>
      <c r="K82" s="539"/>
      <c r="L82" s="539"/>
      <c r="M82" s="1385"/>
      <c r="N82" s="1156"/>
      <c r="O82" s="1156"/>
      <c r="P82" s="2636"/>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6"/>
      <c r="Q83" s="504"/>
    </row>
    <row r="84" spans="1:17" ht="15.75" thickTop="1">
      <c r="A84" s="534"/>
      <c r="B84" s="538" t="s">
        <v>2609</v>
      </c>
      <c r="C84" s="578" t="s">
        <v>2597</v>
      </c>
      <c r="D84" s="578" t="s">
        <v>2598</v>
      </c>
      <c r="E84" s="578" t="s">
        <v>2599</v>
      </c>
      <c r="F84" s="578" t="s">
        <v>2600</v>
      </c>
      <c r="G84" s="578" t="s">
        <v>2601</v>
      </c>
      <c r="H84" s="539"/>
      <c r="I84" s="539"/>
      <c r="J84" s="539"/>
      <c r="K84" s="540"/>
      <c r="L84" s="541"/>
      <c r="M84" s="542"/>
      <c r="N84" s="1155"/>
      <c r="O84" s="1155"/>
      <c r="P84" s="2636"/>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6"/>
      <c r="Q85" s="504"/>
    </row>
    <row r="86" spans="1:17" s="117" customFormat="1" ht="15.75" thickTop="1">
      <c r="A86" s="579"/>
      <c r="B86" s="538" t="s">
        <v>2680</v>
      </c>
      <c r="C86" s="554"/>
      <c r="D86" s="554"/>
      <c r="E86" s="554"/>
      <c r="F86" s="554"/>
      <c r="G86" s="554"/>
      <c r="H86" s="554"/>
      <c r="I86" s="554"/>
      <c r="J86" s="554"/>
      <c r="K86" s="554"/>
      <c r="L86" s="580"/>
      <c r="M86" s="581"/>
      <c r="N86" s="1154"/>
      <c r="O86" s="1154"/>
      <c r="P86" s="2636"/>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6"/>
      <c r="Q87" s="504"/>
    </row>
    <row r="88" spans="1:17" s="117" customFormat="1" ht="15.75" thickTop="1">
      <c r="A88" s="579"/>
      <c r="B88" s="538" t="str">
        <f>B26</f>
        <v>平面位置/可视性</v>
      </c>
      <c r="C88" s="554"/>
      <c r="D88" s="554"/>
      <c r="E88" s="554"/>
      <c r="F88" s="2641"/>
      <c r="G88" s="554"/>
      <c r="H88" s="554"/>
      <c r="I88" s="554"/>
      <c r="J88" s="554"/>
      <c r="K88" s="554"/>
      <c r="L88" s="554"/>
      <c r="M88" s="581"/>
      <c r="N88" s="1154"/>
      <c r="O88" s="1154"/>
      <c r="P88" s="2636"/>
      <c r="Q88" s="504"/>
    </row>
    <row r="89" spans="1:17" s="117" customFormat="1" ht="15.75" thickBot="1">
      <c r="A89" s="579"/>
      <c r="B89" s="543"/>
      <c r="C89" s="560"/>
      <c r="D89" s="536"/>
      <c r="E89" s="536"/>
      <c r="F89" s="536"/>
      <c r="G89" s="536"/>
      <c r="H89" s="536"/>
      <c r="I89" s="536"/>
      <c r="J89" s="536"/>
      <c r="K89" s="536"/>
      <c r="L89" s="536"/>
      <c r="M89" s="536"/>
      <c r="N89" s="1156"/>
      <c r="O89" s="1156"/>
      <c r="P89" s="2636"/>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7"/>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7"/>
      <c r="Q91" s="559"/>
    </row>
    <row r="92" spans="1:17" ht="15.75" thickTop="1">
      <c r="A92" s="534"/>
      <c r="B92" s="538" t="str">
        <f>B28</f>
        <v>楼层</v>
      </c>
      <c r="C92" s="554"/>
      <c r="D92" s="554"/>
      <c r="E92" s="554"/>
      <c r="F92" s="554"/>
      <c r="G92" s="554"/>
      <c r="H92" s="554"/>
      <c r="I92" s="554"/>
      <c r="J92" s="554"/>
      <c r="K92" s="554"/>
      <c r="L92" s="580"/>
      <c r="M92" s="581"/>
      <c r="N92" s="1155"/>
      <c r="O92" s="1155"/>
      <c r="P92" s="2636"/>
      <c r="Q92" s="504"/>
    </row>
    <row r="93" spans="1:17" ht="15.75" thickBot="1">
      <c r="A93" s="534"/>
      <c r="B93" s="543"/>
      <c r="C93" s="536"/>
      <c r="D93" s="536"/>
      <c r="E93" s="536"/>
      <c r="F93" s="536"/>
      <c r="G93" s="536"/>
      <c r="H93" s="536"/>
      <c r="I93" s="536"/>
      <c r="J93" s="536"/>
      <c r="K93" s="536"/>
      <c r="L93" s="536"/>
      <c r="M93" s="537"/>
      <c r="N93" s="1156"/>
      <c r="O93" s="1156"/>
      <c r="P93" s="2636"/>
      <c r="Q93" s="504"/>
    </row>
    <row r="94" spans="1:17" ht="15.75" thickTop="1">
      <c r="A94" s="534"/>
      <c r="B94" s="538">
        <f>B29</f>
        <v>111</v>
      </c>
      <c r="C94" s="554"/>
      <c r="D94" s="554"/>
      <c r="E94" s="554"/>
      <c r="F94" s="554"/>
      <c r="G94" s="583"/>
      <c r="H94" s="583"/>
      <c r="I94" s="583"/>
      <c r="J94" s="583"/>
      <c r="K94" s="584"/>
      <c r="L94" s="585"/>
      <c r="M94" s="586"/>
      <c r="N94" s="1155"/>
      <c r="O94" s="1155"/>
      <c r="P94" s="2636"/>
      <c r="Q94" s="504"/>
    </row>
    <row r="95" spans="1:17" ht="15.75" thickBot="1">
      <c r="A95" s="534"/>
      <c r="B95" s="543"/>
      <c r="C95" s="560"/>
      <c r="D95" s="536"/>
      <c r="E95" s="536"/>
      <c r="F95" s="536"/>
      <c r="G95" s="536"/>
      <c r="H95" s="536"/>
      <c r="I95" s="536"/>
      <c r="J95" s="536"/>
      <c r="K95" s="536"/>
      <c r="L95" s="536"/>
      <c r="M95" s="537"/>
      <c r="N95" s="1156"/>
      <c r="O95" s="1156"/>
      <c r="P95" s="2636"/>
      <c r="Q95" s="504"/>
    </row>
    <row r="96" spans="1:17" ht="15.75" thickTop="1">
      <c r="A96" s="534"/>
      <c r="B96" s="538">
        <f>B30</f>
        <v>111</v>
      </c>
      <c r="C96" s="554"/>
      <c r="D96" s="554"/>
      <c r="E96" s="554"/>
      <c r="F96" s="554"/>
      <c r="G96" s="583"/>
      <c r="H96" s="583"/>
      <c r="I96" s="583"/>
      <c r="J96" s="583"/>
      <c r="K96" s="584"/>
      <c r="L96" s="585"/>
      <c r="M96" s="586"/>
      <c r="N96" s="1155"/>
      <c r="O96" s="1155"/>
      <c r="P96" s="2636"/>
      <c r="Q96" s="504"/>
    </row>
    <row r="97" spans="1:17" ht="15.75" thickBot="1">
      <c r="A97" s="534"/>
      <c r="B97" s="543"/>
      <c r="C97" s="560"/>
      <c r="D97" s="536"/>
      <c r="E97" s="536"/>
      <c r="F97" s="536"/>
      <c r="G97" s="536"/>
      <c r="H97" s="536"/>
      <c r="I97" s="536"/>
      <c r="J97" s="536"/>
      <c r="K97" s="536"/>
      <c r="L97" s="536"/>
      <c r="M97" s="537"/>
      <c r="N97" s="1156"/>
      <c r="O97" s="1156"/>
      <c r="P97" s="2636"/>
      <c r="Q97" s="504"/>
    </row>
    <row r="98" spans="1:17" ht="15.75" thickTop="1">
      <c r="A98" s="534"/>
      <c r="B98" s="546">
        <f>B31</f>
        <v>111</v>
      </c>
      <c r="C98" s="554"/>
      <c r="D98" s="554"/>
      <c r="E98" s="554"/>
      <c r="F98" s="554"/>
      <c r="G98" s="587"/>
      <c r="H98" s="587"/>
      <c r="I98" s="587"/>
      <c r="J98" s="587"/>
      <c r="K98" s="588"/>
      <c r="L98" s="589"/>
      <c r="M98" s="590"/>
      <c r="N98" s="1155"/>
      <c r="O98" s="1155"/>
      <c r="P98" s="2636"/>
      <c r="Q98" s="504"/>
    </row>
    <row r="99" spans="1:17" ht="15.75" thickBot="1">
      <c r="A99" s="2642"/>
      <c r="B99" s="569"/>
      <c r="C99" s="570"/>
      <c r="D99" s="570"/>
      <c r="E99" s="570"/>
      <c r="F99" s="570"/>
      <c r="G99" s="591"/>
      <c r="H99" s="591"/>
      <c r="I99" s="591"/>
      <c r="J99" s="591"/>
      <c r="K99" s="591"/>
      <c r="L99" s="591"/>
      <c r="M99" s="592"/>
      <c r="N99" s="1156"/>
      <c r="O99" s="1156"/>
      <c r="P99" s="2636"/>
      <c r="Q99" s="504"/>
    </row>
    <row r="100" spans="1:17">
      <c r="A100" s="527" t="s">
        <v>2563</v>
      </c>
      <c r="B100" s="528" t="s">
        <v>2681</v>
      </c>
      <c r="C100" s="530"/>
      <c r="D100" s="530"/>
      <c r="E100" s="530"/>
      <c r="F100" s="530"/>
      <c r="G100" s="530"/>
      <c r="H100" s="530"/>
      <c r="I100" s="530"/>
      <c r="J100" s="530"/>
      <c r="K100" s="531"/>
      <c r="L100" s="532"/>
      <c r="M100" s="533"/>
      <c r="N100" s="1155"/>
      <c r="O100" s="1155"/>
      <c r="P100" s="2636"/>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6"/>
      <c r="Q101" s="504"/>
    </row>
    <row r="102" spans="1:17" ht="15.75" thickTop="1">
      <c r="A102" s="534"/>
      <c r="B102" s="538" t="s">
        <v>2613</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6"/>
      <c r="Q102" s="504"/>
    </row>
    <row r="103" spans="1:17" s="471" customFormat="1">
      <c r="A103" s="593"/>
      <c r="B103" s="594"/>
      <c r="C103" s="595"/>
      <c r="D103" s="595"/>
      <c r="E103" s="595"/>
      <c r="F103" s="595"/>
      <c r="G103" s="595"/>
      <c r="H103" s="595"/>
      <c r="I103" s="595"/>
      <c r="J103" s="596"/>
      <c r="K103" s="596"/>
      <c r="L103" s="597"/>
      <c r="M103" s="598"/>
      <c r="N103" s="1157"/>
      <c r="O103" s="1157"/>
      <c r="P103" s="2637"/>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7"/>
      <c r="Q104" s="559"/>
    </row>
    <row r="105" spans="1:17" ht="15" thickTop="1">
      <c r="A105" s="599"/>
      <c r="B105" s="538" t="s">
        <v>2614</v>
      </c>
      <c r="C105" s="554"/>
      <c r="D105" s="554"/>
      <c r="E105" s="583"/>
      <c r="F105" s="583"/>
      <c r="G105" s="583"/>
      <c r="H105" s="583"/>
      <c r="I105" s="583"/>
      <c r="J105" s="583"/>
      <c r="K105" s="584"/>
      <c r="L105" s="585"/>
      <c r="M105" s="586"/>
      <c r="N105" s="1155"/>
      <c r="O105" s="1155"/>
      <c r="P105" s="2636"/>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6"/>
      <c r="Q106" s="504"/>
    </row>
    <row r="107" spans="1:17" ht="15" thickTop="1">
      <c r="A107" s="599"/>
      <c r="B107" s="538" t="s">
        <v>2616</v>
      </c>
      <c r="C107" s="554"/>
      <c r="D107" s="554"/>
      <c r="E107" s="554"/>
      <c r="F107" s="583"/>
      <c r="G107" s="583"/>
      <c r="H107" s="583"/>
      <c r="I107" s="583"/>
      <c r="J107" s="583"/>
      <c r="K107" s="584"/>
      <c r="L107" s="585"/>
      <c r="M107" s="586"/>
      <c r="N107" s="1155"/>
      <c r="O107" s="1155"/>
      <c r="P107" s="2636"/>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6"/>
      <c r="Q108" s="504"/>
    </row>
    <row r="109" spans="1:17" ht="15" thickTop="1">
      <c r="A109" s="599"/>
      <c r="B109" s="538" t="s">
        <v>1996</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6"/>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6"/>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6"/>
      <c r="Q111" s="504"/>
    </row>
    <row r="112" spans="1:17" s="471" customFormat="1" ht="15" thickTop="1">
      <c r="A112" s="593"/>
      <c r="B112" s="538" t="s">
        <v>2618</v>
      </c>
      <c r="C112" s="554"/>
      <c r="D112" s="554"/>
      <c r="E112" s="554"/>
      <c r="F112" s="554"/>
      <c r="G112" s="554"/>
      <c r="H112" s="583"/>
      <c r="I112" s="583"/>
      <c r="J112" s="583"/>
      <c r="K112" s="584"/>
      <c r="L112" s="585"/>
      <c r="M112" s="586"/>
      <c r="N112" s="1157"/>
      <c r="O112" s="1157"/>
      <c r="P112" s="2637"/>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7"/>
      <c r="Q113" s="559"/>
    </row>
    <row r="114" spans="1:17" ht="15" thickTop="1">
      <c r="A114" s="599"/>
      <c r="B114" s="538" t="s">
        <v>2682</v>
      </c>
      <c r="C114" s="554"/>
      <c r="D114" s="554"/>
      <c r="E114" s="583"/>
      <c r="F114" s="583"/>
      <c r="G114" s="583"/>
      <c r="H114" s="583"/>
      <c r="I114" s="583"/>
      <c r="J114" s="583"/>
      <c r="K114" s="584"/>
      <c r="L114" s="585"/>
      <c r="M114" s="586"/>
      <c r="N114" s="1155"/>
      <c r="O114" s="1155"/>
      <c r="P114" s="2636"/>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6"/>
      <c r="Q115" s="504"/>
    </row>
    <row r="116" spans="1:17" ht="15" thickTop="1">
      <c r="A116" s="599"/>
      <c r="B116" s="538" t="s">
        <v>2683</v>
      </c>
      <c r="C116" s="554"/>
      <c r="D116" s="554"/>
      <c r="E116" s="554"/>
      <c r="F116" s="554"/>
      <c r="G116" s="554"/>
      <c r="H116" s="583"/>
      <c r="I116" s="583"/>
      <c r="J116" s="583"/>
      <c r="K116" s="584"/>
      <c r="L116" s="585"/>
      <c r="M116" s="586"/>
      <c r="N116" s="1155"/>
      <c r="O116" s="1155"/>
      <c r="P116" s="2636"/>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6"/>
      <c r="Q117" s="504"/>
    </row>
    <row r="118" spans="1:17" ht="15" thickTop="1">
      <c r="A118" s="599"/>
      <c r="B118" s="538" t="s">
        <v>2684</v>
      </c>
      <c r="C118" s="627"/>
      <c r="D118" s="627"/>
      <c r="E118" s="627"/>
      <c r="F118" s="627"/>
      <c r="G118" s="627"/>
      <c r="H118" s="555"/>
      <c r="I118" s="555"/>
      <c r="J118" s="555"/>
      <c r="K118" s="555"/>
      <c r="L118" s="556"/>
      <c r="M118" s="557"/>
      <c r="N118" s="1155"/>
      <c r="O118" s="1155"/>
      <c r="P118" s="2636"/>
      <c r="Q118" s="504"/>
    </row>
    <row r="119" spans="1:17" ht="15.75" thickBot="1">
      <c r="A119" s="534"/>
      <c r="B119" s="543"/>
      <c r="C119" s="560"/>
      <c r="D119" s="536"/>
      <c r="E119" s="536"/>
      <c r="F119" s="536"/>
      <c r="G119" s="536"/>
      <c r="H119" s="536"/>
      <c r="I119" s="536"/>
      <c r="J119" s="536"/>
      <c r="K119" s="536"/>
      <c r="L119" s="536"/>
      <c r="M119" s="537"/>
      <c r="N119" s="1156"/>
      <c r="O119" s="1156"/>
      <c r="P119" s="2636"/>
      <c r="Q119" s="504"/>
    </row>
    <row r="120" spans="1:17" s="471" customFormat="1" ht="15" thickTop="1">
      <c r="A120" s="593"/>
      <c r="B120" s="538" t="s">
        <v>2685</v>
      </c>
      <c r="C120" s="583"/>
      <c r="D120" s="583"/>
      <c r="E120" s="583"/>
      <c r="F120" s="583"/>
      <c r="G120" s="555"/>
      <c r="H120" s="555"/>
      <c r="I120" s="555"/>
      <c r="J120" s="555"/>
      <c r="K120" s="555"/>
      <c r="L120" s="556"/>
      <c r="M120" s="557"/>
      <c r="N120" s="1157"/>
      <c r="O120" s="1157"/>
      <c r="P120" s="2637"/>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7"/>
      <c r="Q121" s="559"/>
    </row>
    <row r="122" spans="1:17" ht="15" thickTop="1">
      <c r="A122" s="599"/>
      <c r="B122" s="538" t="s">
        <v>2620</v>
      </c>
      <c r="C122" s="554"/>
      <c r="D122" s="554"/>
      <c r="E122" s="554"/>
      <c r="F122" s="583"/>
      <c r="G122" s="583"/>
      <c r="H122" s="583"/>
      <c r="I122" s="583"/>
      <c r="J122" s="583"/>
      <c r="K122" s="584"/>
      <c r="L122" s="585"/>
      <c r="M122" s="586"/>
      <c r="N122" s="1155"/>
      <c r="O122" s="1155"/>
      <c r="P122" s="2636"/>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6"/>
      <c r="Q123" s="504"/>
    </row>
    <row r="124" spans="1:17" ht="15" thickTop="1">
      <c r="A124" s="599"/>
      <c r="B124" s="538" t="s">
        <v>2621</v>
      </c>
      <c r="C124" s="578" t="s">
        <v>2597</v>
      </c>
      <c r="D124" s="578" t="s">
        <v>2598</v>
      </c>
      <c r="E124" s="578" t="s">
        <v>2599</v>
      </c>
      <c r="F124" s="578" t="s">
        <v>2600</v>
      </c>
      <c r="G124" s="578" t="s">
        <v>2601</v>
      </c>
      <c r="H124" s="539"/>
      <c r="I124" s="539"/>
      <c r="J124" s="539"/>
      <c r="K124" s="540"/>
      <c r="L124" s="541"/>
      <c r="M124" s="542"/>
      <c r="N124" s="1155"/>
      <c r="O124" s="1155"/>
      <c r="P124" s="2637"/>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6"/>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7"/>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7"/>
      <c r="Q127" s="559"/>
    </row>
    <row r="128" spans="1:17" ht="15" thickTop="1">
      <c r="A128" s="599"/>
      <c r="B128" s="538">
        <f>B45</f>
        <v>111</v>
      </c>
      <c r="C128" s="554"/>
      <c r="D128" s="554"/>
      <c r="E128" s="554"/>
      <c r="F128" s="554"/>
      <c r="G128" s="583"/>
      <c r="H128" s="583"/>
      <c r="I128" s="583"/>
      <c r="J128" s="583"/>
      <c r="K128" s="584"/>
      <c r="L128" s="585"/>
      <c r="M128" s="586"/>
      <c r="N128" s="1155"/>
      <c r="O128" s="1155"/>
      <c r="P128" s="2636"/>
      <c r="Q128" s="504"/>
    </row>
    <row r="129" spans="1:17" ht="15.75" thickBot="1">
      <c r="A129" s="534"/>
      <c r="B129" s="543"/>
      <c r="C129" s="560"/>
      <c r="D129" s="536"/>
      <c r="E129" s="536"/>
      <c r="F129" s="536"/>
      <c r="G129" s="536"/>
      <c r="H129" s="536"/>
      <c r="I129" s="536"/>
      <c r="J129" s="536"/>
      <c r="K129" s="536"/>
      <c r="L129" s="536"/>
      <c r="M129" s="537"/>
      <c r="N129" s="1156"/>
      <c r="O129" s="1156"/>
      <c r="P129" s="2636"/>
      <c r="Q129" s="504"/>
    </row>
    <row r="130" spans="1:17" ht="15" thickTop="1">
      <c r="A130" s="599"/>
      <c r="B130" s="546">
        <f>B46</f>
        <v>111</v>
      </c>
      <c r="C130" s="554"/>
      <c r="D130" s="554"/>
      <c r="E130" s="554"/>
      <c r="F130" s="554"/>
      <c r="G130" s="587"/>
      <c r="H130" s="587"/>
      <c r="I130" s="587"/>
      <c r="J130" s="587"/>
      <c r="K130" s="523"/>
      <c r="L130" s="524"/>
      <c r="M130" s="590"/>
      <c r="N130" s="1155"/>
      <c r="O130" s="1155"/>
      <c r="P130" s="2636"/>
      <c r="Q130" s="504"/>
    </row>
    <row r="131" spans="1:17" ht="15.75" thickBot="1">
      <c r="A131" s="2642"/>
      <c r="B131" s="569"/>
      <c r="C131" s="570"/>
      <c r="D131" s="570"/>
      <c r="E131" s="570"/>
      <c r="F131" s="570"/>
      <c r="G131" s="591"/>
      <c r="H131" s="591"/>
      <c r="I131" s="591"/>
      <c r="J131" s="591"/>
      <c r="K131" s="591"/>
      <c r="L131" s="591"/>
      <c r="M131" s="592"/>
      <c r="N131" s="1156"/>
      <c r="O131" s="1156"/>
      <c r="P131" s="2636"/>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2686</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IF(C2="——",ROUND(C50*D3/10000,0),ROUND(C50*D3/10000,0)-D2)</f>
        <v>#DIV/0!</v>
      </c>
      <c r="C2" s="2592"/>
      <c r="D2" s="1368"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IF(C2="——",C50,ROUND(B2*10000/D3,0))</f>
        <v>#DIV/0!</v>
      </c>
      <c r="C3" s="400" t="s">
        <v>2644</v>
      </c>
      <c r="D3" s="399">
        <f>IF(D1="",'数据-汇总表'!E3,SUMIF('数据-汇总表'!$C19:$C33,D1,'数据-汇总表'!$E19:$E33))</f>
        <v>34338.32</v>
      </c>
      <c r="E3" s="2669"/>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98" t="s">
        <v>2651</v>
      </c>
      <c r="Q4" s="3299"/>
      <c r="R4" s="3302" t="s">
        <v>2647</v>
      </c>
      <c r="S4" s="3303"/>
      <c r="T4" s="3302" t="s">
        <v>2648</v>
      </c>
      <c r="U4" s="3303"/>
      <c r="V4" s="3304" t="s">
        <v>2649</v>
      </c>
      <c r="W4" s="3304"/>
      <c r="X4" s="2676"/>
      <c r="Y4" s="3302" t="s">
        <v>2651</v>
      </c>
      <c r="Z4" s="3303"/>
      <c r="AA4" s="3306" t="s">
        <v>2647</v>
      </c>
      <c r="AB4" s="3306" t="s">
        <v>2648</v>
      </c>
      <c r="AC4" s="3295" t="s">
        <v>2649</v>
      </c>
    </row>
    <row r="5" spans="1:29" ht="15">
      <c r="A5" s="404"/>
      <c r="B5" s="405"/>
      <c r="C5" s="3244" t="s">
        <v>2542</v>
      </c>
      <c r="D5" s="3245"/>
      <c r="E5" s="3251" t="s">
        <v>2543</v>
      </c>
      <c r="F5" s="3252"/>
      <c r="G5" s="3244" t="s">
        <v>2544</v>
      </c>
      <c r="H5" s="3245"/>
      <c r="I5" s="3244" t="s">
        <v>2545</v>
      </c>
      <c r="J5" s="3245"/>
      <c r="K5" s="610"/>
      <c r="L5" s="1133"/>
      <c r="M5" s="1134"/>
      <c r="N5" s="1134"/>
      <c r="O5" s="1134"/>
      <c r="P5" s="3300"/>
      <c r="Q5" s="3233"/>
      <c r="R5" s="3238"/>
      <c r="S5" s="3239"/>
      <c r="T5" s="3238"/>
      <c r="U5" s="3239"/>
      <c r="V5" s="3223"/>
      <c r="W5" s="3223"/>
      <c r="X5" s="1815"/>
      <c r="Y5" s="3238"/>
      <c r="Z5" s="3239"/>
      <c r="AA5" s="3225"/>
      <c r="AB5" s="3225"/>
      <c r="AC5" s="3296"/>
    </row>
    <row r="6" spans="1:29" ht="15.75" thickBot="1">
      <c r="A6" s="406"/>
      <c r="B6" s="407"/>
      <c r="C6" s="3242" t="s">
        <v>2546</v>
      </c>
      <c r="D6" s="3243"/>
      <c r="E6" s="3249" t="s">
        <v>2546</v>
      </c>
      <c r="F6" s="3250"/>
      <c r="G6" s="3242" t="s">
        <v>2546</v>
      </c>
      <c r="H6" s="3243"/>
      <c r="I6" s="3242" t="s">
        <v>2546</v>
      </c>
      <c r="J6" s="3243"/>
      <c r="K6" s="610" t="s">
        <v>2547</v>
      </c>
      <c r="L6" s="1133"/>
      <c r="M6" s="1134"/>
      <c r="N6" s="1134"/>
      <c r="O6" s="1134"/>
      <c r="P6" s="3301"/>
      <c r="Q6" s="3235"/>
      <c r="R6" s="3238"/>
      <c r="S6" s="3239"/>
      <c r="T6" s="3240"/>
      <c r="U6" s="3241"/>
      <c r="V6" s="3223"/>
      <c r="W6" s="3223"/>
      <c r="X6" s="1815"/>
      <c r="Y6" s="3240"/>
      <c r="Z6" s="3241"/>
      <c r="AA6" s="3226"/>
      <c r="AB6" s="3226"/>
      <c r="AC6" s="3297"/>
    </row>
    <row r="7" spans="1:29" s="117" customFormat="1" ht="15.75" thickBot="1">
      <c r="A7" s="408" t="s">
        <v>2548</v>
      </c>
      <c r="B7" s="409"/>
      <c r="C7" s="410">
        <f>'数据-取费表'!B2</f>
        <v>43689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305" t="s">
        <v>2549</v>
      </c>
      <c r="Q7" s="3248"/>
      <c r="R7" s="770" t="s">
        <v>17</v>
      </c>
      <c r="S7" s="771">
        <f t="shared" ref="S7:S15" si="0">F7</f>
        <v>0</v>
      </c>
      <c r="T7" s="770" t="s">
        <v>17</v>
      </c>
      <c r="U7" s="771">
        <f t="shared" ref="U7:U15" si="1">H7</f>
        <v>0</v>
      </c>
      <c r="V7" s="770" t="s">
        <v>17</v>
      </c>
      <c r="W7" s="771">
        <f t="shared" ref="W7:W15" si="2">J7</f>
        <v>0</v>
      </c>
      <c r="X7" s="772"/>
      <c r="Y7" s="3246" t="s">
        <v>2549</v>
      </c>
      <c r="Z7" s="3247"/>
      <c r="AA7" s="773" t="e">
        <f>D7/F7</f>
        <v>#DIV/0!</v>
      </c>
      <c r="AB7" s="773" t="e">
        <f>D7/H7</f>
        <v>#DIV/0!</v>
      </c>
      <c r="AC7" s="2677" t="e">
        <f>D7/J7</f>
        <v>#DIV/0!</v>
      </c>
    </row>
    <row r="8" spans="1:29" s="117" customFormat="1" ht="15.75" thickBot="1">
      <c r="A8" s="408" t="s">
        <v>2550</v>
      </c>
      <c r="B8" s="409"/>
      <c r="C8" s="414" t="s">
        <v>2652</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305" t="s">
        <v>2552</v>
      </c>
      <c r="Q8" s="3247"/>
      <c r="R8" s="770" t="s">
        <v>17</v>
      </c>
      <c r="S8" s="771">
        <f t="shared" si="0"/>
        <v>0</v>
      </c>
      <c r="T8" s="770" t="s">
        <v>17</v>
      </c>
      <c r="U8" s="771">
        <f t="shared" si="1"/>
        <v>0</v>
      </c>
      <c r="V8" s="770" t="s">
        <v>17</v>
      </c>
      <c r="W8" s="771">
        <f t="shared" si="2"/>
        <v>0</v>
      </c>
      <c r="X8" s="772"/>
      <c r="Y8" s="3246" t="s">
        <v>2552</v>
      </c>
      <c r="Z8" s="3247"/>
      <c r="AA8" s="773" t="e">
        <f t="shared" ref="AA8:AA47" si="3">D8/F8</f>
        <v>#DIV/0!</v>
      </c>
      <c r="AB8" s="773" t="e">
        <f t="shared" ref="AB8:AB47" si="4">D8/H8</f>
        <v>#DIV/0!</v>
      </c>
      <c r="AC8" s="2677" t="e">
        <f t="shared" ref="AC8:AC47" si="5">D8/J8</f>
        <v>#DIV/0!</v>
      </c>
    </row>
    <row r="9" spans="1:29" s="117" customFormat="1">
      <c r="A9" s="415" t="s">
        <v>2553</v>
      </c>
      <c r="B9" s="71" t="s">
        <v>2554</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216" t="s">
        <v>2555</v>
      </c>
      <c r="Q9" s="1797" t="str">
        <f t="shared" ref="Q9:Q15" si="6">B9</f>
        <v>用途</v>
      </c>
      <c r="R9" s="770" t="s">
        <v>17</v>
      </c>
      <c r="S9" s="771">
        <f t="shared" si="0"/>
        <v>100</v>
      </c>
      <c r="T9" s="770" t="s">
        <v>17</v>
      </c>
      <c r="U9" s="771">
        <f t="shared" si="1"/>
        <v>100</v>
      </c>
      <c r="V9" s="770" t="s">
        <v>17</v>
      </c>
      <c r="W9" s="771">
        <f t="shared" si="2"/>
        <v>100</v>
      </c>
      <c r="X9" s="772"/>
      <c r="Y9" s="3064" t="s">
        <v>2556</v>
      </c>
      <c r="Z9" s="55" t="str">
        <f t="shared" ref="Z9:Z15" si="7">Q9</f>
        <v>用途</v>
      </c>
      <c r="AA9" s="773">
        <f t="shared" si="3"/>
        <v>1</v>
      </c>
      <c r="AB9" s="773">
        <f t="shared" si="4"/>
        <v>1</v>
      </c>
      <c r="AC9" s="2677">
        <f t="shared" si="5"/>
        <v>1</v>
      </c>
    </row>
    <row r="10" spans="1:29" s="427" customFormat="1" ht="27">
      <c r="A10" s="421"/>
      <c r="B10" s="422" t="s">
        <v>2557</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216"/>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2677">
        <f t="shared" si="5"/>
        <v>1</v>
      </c>
    </row>
    <row r="11" spans="1:29" ht="15">
      <c r="A11" s="428"/>
      <c r="B11" s="422" t="s">
        <v>2558</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216"/>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2677" t="e">
        <f t="shared" si="5"/>
        <v>#N/A</v>
      </c>
    </row>
    <row r="12" spans="1:29" s="117" customFormat="1" ht="15">
      <c r="A12" s="431"/>
      <c r="B12" s="2606">
        <v>111</v>
      </c>
      <c r="C12" s="432"/>
      <c r="D12" s="433">
        <v>100</v>
      </c>
      <c r="E12" s="432"/>
      <c r="F12" s="136">
        <f>SUMIF(71:71,E12,72:72)-SUMIF(71:71,C12,72:72)+100</f>
        <v>100</v>
      </c>
      <c r="G12" s="2678"/>
      <c r="H12" s="136">
        <f>SUMIF(71:71,G12,72:72)-SUMIF(71:71,C12,72:72)+100</f>
        <v>100</v>
      </c>
      <c r="I12" s="432"/>
      <c r="J12" s="136">
        <f>SUMIF(71:71,I12,72:72)-SUMIF(71:71,C12,72:72)+100</f>
        <v>100</v>
      </c>
      <c r="K12" s="613"/>
      <c r="L12" s="1135"/>
      <c r="M12" s="1136"/>
      <c r="N12" s="1136"/>
      <c r="O12" s="1136"/>
      <c r="P12" s="3216"/>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2677">
        <f>D12/J12</f>
        <v>1</v>
      </c>
    </row>
    <row r="13" spans="1:29" ht="15">
      <c r="A13" s="428"/>
      <c r="B13" s="2606">
        <v>111</v>
      </c>
      <c r="C13" s="434"/>
      <c r="D13" s="435">
        <v>100</v>
      </c>
      <c r="E13" s="432"/>
      <c r="F13" s="136">
        <f>SUMIF(73:73,E13,74:74)-SUMIF(73:73,C13,74:74)+100</f>
        <v>100</v>
      </c>
      <c r="G13" s="2678"/>
      <c r="H13" s="435">
        <f>SUMIF(73:73,G13,74:74)-SUMIF(73:73,C13,74:74)+100</f>
        <v>100</v>
      </c>
      <c r="I13" s="432"/>
      <c r="J13" s="435">
        <f>SUMIF(73:73,I13,74:74)-SUMIF(73:73,C13,74:74)+100</f>
        <v>100</v>
      </c>
      <c r="K13" s="613"/>
      <c r="L13" s="1143"/>
      <c r="M13" s="1134"/>
      <c r="N13" s="1134"/>
      <c r="O13" s="1134"/>
      <c r="P13" s="3216"/>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2677">
        <f t="shared" si="5"/>
        <v>1</v>
      </c>
    </row>
    <row r="14" spans="1:29" ht="15.75" thickBot="1">
      <c r="A14" s="436"/>
      <c r="B14" s="2608">
        <v>111</v>
      </c>
      <c r="C14" s="437"/>
      <c r="D14" s="438">
        <v>100</v>
      </c>
      <c r="E14" s="628"/>
      <c r="F14" s="438">
        <f>SUMIF(75:75,E14,76:76)-SUMIF(75:75,C14,76:76)+100</f>
        <v>100</v>
      </c>
      <c r="G14" s="2678"/>
      <c r="H14" s="438">
        <f>SUMIF(75:75,G14,76:76)-SUMIF(75:75,C14,76:76)+100</f>
        <v>100</v>
      </c>
      <c r="I14" s="432"/>
      <c r="J14" s="438">
        <f>SUMIF(75:75,I14,76:76)-SUMIF(75:75,C14,76:76)+100</f>
        <v>100</v>
      </c>
      <c r="K14" s="613"/>
      <c r="L14" s="1143"/>
      <c r="M14" s="1134"/>
      <c r="N14" s="1134"/>
      <c r="O14" s="1134"/>
      <c r="P14" s="3216"/>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2677">
        <f t="shared" si="5"/>
        <v>1</v>
      </c>
    </row>
    <row r="15" spans="1:29" ht="71.25">
      <c r="A15" s="440" t="s">
        <v>2559</v>
      </c>
      <c r="B15" s="629" t="s">
        <v>2687</v>
      </c>
      <c r="C15" s="2679"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288" t="s">
        <v>2560</v>
      </c>
      <c r="Q15" s="1812" t="str">
        <f t="shared" si="6"/>
        <v>办公集聚程度</v>
      </c>
      <c r="R15" s="774" t="s">
        <v>17</v>
      </c>
      <c r="S15" s="775">
        <f t="shared" si="0"/>
        <v>100</v>
      </c>
      <c r="T15" s="774" t="s">
        <v>17</v>
      </c>
      <c r="U15" s="775">
        <f t="shared" si="1"/>
        <v>100</v>
      </c>
      <c r="V15" s="774" t="s">
        <v>17</v>
      </c>
      <c r="W15" s="775">
        <f t="shared" si="2"/>
        <v>100</v>
      </c>
      <c r="X15" s="1815"/>
      <c r="Y15" s="3219" t="s">
        <v>2560</v>
      </c>
      <c r="Z15" s="1816" t="str">
        <f t="shared" si="7"/>
        <v>办公集聚程度</v>
      </c>
      <c r="AA15" s="1813">
        <f t="shared" si="3"/>
        <v>1</v>
      </c>
      <c r="AB15" s="1813">
        <f t="shared" si="4"/>
        <v>1</v>
      </c>
      <c r="AC15" s="2680">
        <f t="shared" si="5"/>
        <v>1</v>
      </c>
    </row>
    <row r="16" spans="1:29" ht="15">
      <c r="A16" s="428"/>
      <c r="B16" s="630"/>
      <c r="C16" s="2617"/>
      <c r="D16" s="448"/>
      <c r="E16" s="447"/>
      <c r="F16" s="448"/>
      <c r="G16" s="2617"/>
      <c r="H16" s="450"/>
      <c r="I16" s="447"/>
      <c r="J16" s="448"/>
      <c r="K16" s="615"/>
      <c r="L16" s="1143"/>
      <c r="M16" s="1134"/>
      <c r="N16" s="1134"/>
      <c r="O16" s="1134"/>
      <c r="P16" s="3289"/>
      <c r="Q16" s="1812"/>
      <c r="R16" s="774"/>
      <c r="S16" s="775"/>
      <c r="T16" s="774"/>
      <c r="U16" s="775"/>
      <c r="V16" s="774"/>
      <c r="W16" s="775"/>
      <c r="X16" s="1815"/>
      <c r="Y16" s="3220"/>
      <c r="Z16" s="1816"/>
      <c r="AA16" s="1813">
        <v>1</v>
      </c>
      <c r="AB16" s="1813">
        <v>1</v>
      </c>
      <c r="AC16" s="2680">
        <v>1</v>
      </c>
    </row>
    <row r="17" spans="1:29" ht="71.25">
      <c r="A17" s="428"/>
      <c r="B17" s="631" t="s">
        <v>2098</v>
      </c>
      <c r="C17" s="2681"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289"/>
      <c r="Q17" s="1812" t="str">
        <f>B17</f>
        <v>交通便捷度</v>
      </c>
      <c r="R17" s="774" t="s">
        <v>17</v>
      </c>
      <c r="S17" s="775">
        <f>F17</f>
        <v>100</v>
      </c>
      <c r="T17" s="774" t="s">
        <v>17</v>
      </c>
      <c r="U17" s="775">
        <f>H17</f>
        <v>100</v>
      </c>
      <c r="V17" s="774" t="s">
        <v>17</v>
      </c>
      <c r="W17" s="775">
        <f>J17</f>
        <v>100</v>
      </c>
      <c r="X17" s="1815"/>
      <c r="Y17" s="3220"/>
      <c r="Z17" s="1816" t="str">
        <f>Q17</f>
        <v>交通便捷度</v>
      </c>
      <c r="AA17" s="1813">
        <f t="shared" si="3"/>
        <v>1</v>
      </c>
      <c r="AB17" s="1813">
        <f t="shared" si="4"/>
        <v>1</v>
      </c>
      <c r="AC17" s="2680">
        <f t="shared" si="5"/>
        <v>1</v>
      </c>
    </row>
    <row r="18" spans="1:29" ht="15">
      <c r="A18" s="428"/>
      <c r="B18" s="632"/>
      <c r="C18" s="2682"/>
      <c r="D18" s="450"/>
      <c r="E18" s="2615"/>
      <c r="F18" s="450"/>
      <c r="G18" s="2616"/>
      <c r="H18" s="448"/>
      <c r="I18" s="2616"/>
      <c r="J18" s="448"/>
      <c r="K18" s="615"/>
      <c r="L18" s="1143"/>
      <c r="M18" s="1134"/>
      <c r="N18" s="1134"/>
      <c r="O18" s="1134"/>
      <c r="P18" s="3289"/>
      <c r="Q18" s="1812"/>
      <c r="R18" s="774"/>
      <c r="S18" s="775"/>
      <c r="T18" s="774"/>
      <c r="U18" s="775"/>
      <c r="V18" s="774"/>
      <c r="W18" s="775"/>
      <c r="X18" s="1815"/>
      <c r="Y18" s="3220"/>
      <c r="Z18" s="1816"/>
      <c r="AA18" s="1813">
        <v>1</v>
      </c>
      <c r="AB18" s="1813">
        <v>1</v>
      </c>
      <c r="AC18" s="2680">
        <v>1</v>
      </c>
    </row>
    <row r="19" spans="1:29" ht="42.75">
      <c r="A19" s="428"/>
      <c r="B19" s="631" t="s">
        <v>2688</v>
      </c>
      <c r="C19" s="2681"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289"/>
      <c r="Q19" s="1812" t="str">
        <f>B19</f>
        <v>公共配套设施</v>
      </c>
      <c r="R19" s="774" t="s">
        <v>17</v>
      </c>
      <c r="S19" s="775">
        <f>F19</f>
        <v>100</v>
      </c>
      <c r="T19" s="774" t="s">
        <v>17</v>
      </c>
      <c r="U19" s="775">
        <f>H19</f>
        <v>100</v>
      </c>
      <c r="V19" s="774" t="s">
        <v>17</v>
      </c>
      <c r="W19" s="775">
        <f>J19</f>
        <v>100</v>
      </c>
      <c r="X19" s="1815"/>
      <c r="Y19" s="3220"/>
      <c r="Z19" s="1816" t="str">
        <f>Q19</f>
        <v>公共配套设施</v>
      </c>
      <c r="AA19" s="1813">
        <f t="shared" si="3"/>
        <v>1</v>
      </c>
      <c r="AB19" s="1813">
        <f t="shared" si="4"/>
        <v>1</v>
      </c>
      <c r="AC19" s="2680">
        <f t="shared" si="5"/>
        <v>1</v>
      </c>
    </row>
    <row r="20" spans="1:29" ht="15">
      <c r="A20" s="428"/>
      <c r="B20" s="632"/>
      <c r="C20" s="2617"/>
      <c r="D20" s="448"/>
      <c r="E20" s="2610"/>
      <c r="F20" s="448"/>
      <c r="G20" s="2611"/>
      <c r="H20" s="448"/>
      <c r="I20" s="2611"/>
      <c r="J20" s="448"/>
      <c r="K20" s="615"/>
      <c r="L20" s="1143"/>
      <c r="M20" s="1134"/>
      <c r="N20" s="1134"/>
      <c r="O20" s="1134"/>
      <c r="P20" s="3289"/>
      <c r="Q20" s="1812"/>
      <c r="R20" s="774"/>
      <c r="S20" s="775"/>
      <c r="T20" s="774"/>
      <c r="U20" s="775"/>
      <c r="V20" s="774"/>
      <c r="W20" s="775"/>
      <c r="X20" s="1815"/>
      <c r="Y20" s="3220"/>
      <c r="Z20" s="1816"/>
      <c r="AA20" s="1813">
        <v>1</v>
      </c>
      <c r="AB20" s="1813">
        <v>1</v>
      </c>
      <c r="AC20" s="2680">
        <v>1</v>
      </c>
    </row>
    <row r="21" spans="1:29" ht="28.5">
      <c r="A21" s="428"/>
      <c r="B21" s="633" t="s">
        <v>2689</v>
      </c>
      <c r="C21" s="2681"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289"/>
      <c r="Q21" s="1812" t="str">
        <f>B21</f>
        <v>基础设施水平</v>
      </c>
      <c r="R21" s="774" t="s">
        <v>17</v>
      </c>
      <c r="S21" s="775">
        <f>F21</f>
        <v>100</v>
      </c>
      <c r="T21" s="774" t="s">
        <v>17</v>
      </c>
      <c r="U21" s="775">
        <f>H21</f>
        <v>100</v>
      </c>
      <c r="V21" s="774" t="s">
        <v>17</v>
      </c>
      <c r="W21" s="775">
        <f>J21</f>
        <v>100</v>
      </c>
      <c r="X21" s="1815"/>
      <c r="Y21" s="3220"/>
      <c r="Z21" s="1816" t="str">
        <f>Q21</f>
        <v>基础设施水平</v>
      </c>
      <c r="AA21" s="1813">
        <f t="shared" ref="AA21" si="8">D21/F21</f>
        <v>1</v>
      </c>
      <c r="AB21" s="1813">
        <f t="shared" ref="AB21" si="9">D21/H21</f>
        <v>1</v>
      </c>
      <c r="AC21" s="2680">
        <f t="shared" ref="AC21" si="10">D21/J21</f>
        <v>1</v>
      </c>
    </row>
    <row r="22" spans="1:29" ht="15">
      <c r="A22" s="428"/>
      <c r="B22" s="633"/>
      <c r="C22" s="2682"/>
      <c r="D22" s="448"/>
      <c r="E22" s="447"/>
      <c r="F22" s="448"/>
      <c r="G22" s="2617"/>
      <c r="H22" s="448"/>
      <c r="I22" s="2617"/>
      <c r="J22" s="448"/>
      <c r="K22" s="1386"/>
      <c r="L22" s="1143"/>
      <c r="M22" s="1134"/>
      <c r="N22" s="1134"/>
      <c r="O22" s="1134"/>
      <c r="P22" s="3289"/>
      <c r="Q22" s="1812"/>
      <c r="R22" s="774"/>
      <c r="S22" s="775"/>
      <c r="T22" s="774"/>
      <c r="U22" s="775"/>
      <c r="V22" s="774"/>
      <c r="W22" s="775"/>
      <c r="X22" s="1815"/>
      <c r="Y22" s="3220"/>
      <c r="Z22" s="1816"/>
      <c r="AA22" s="1813">
        <v>1</v>
      </c>
      <c r="AB22" s="1813">
        <v>1</v>
      </c>
      <c r="AC22" s="2680">
        <v>1</v>
      </c>
    </row>
    <row r="23" spans="1:29" ht="42.75">
      <c r="A23" s="428"/>
      <c r="B23" s="631" t="s">
        <v>2690</v>
      </c>
      <c r="C23" s="2681"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289"/>
      <c r="Q23" s="1812" t="str">
        <f>B23</f>
        <v>环境质量</v>
      </c>
      <c r="R23" s="774" t="s">
        <v>17</v>
      </c>
      <c r="S23" s="775">
        <f>F23</f>
        <v>100</v>
      </c>
      <c r="T23" s="774" t="s">
        <v>17</v>
      </c>
      <c r="U23" s="775">
        <f>H23</f>
        <v>100</v>
      </c>
      <c r="V23" s="774" t="s">
        <v>17</v>
      </c>
      <c r="W23" s="775">
        <f>J23</f>
        <v>100</v>
      </c>
      <c r="X23" s="1815"/>
      <c r="Y23" s="3220"/>
      <c r="Z23" s="1816" t="str">
        <f>Q23</f>
        <v>环境质量</v>
      </c>
      <c r="AA23" s="1813">
        <f t="shared" si="3"/>
        <v>1</v>
      </c>
      <c r="AB23" s="1813">
        <f t="shared" si="4"/>
        <v>1</v>
      </c>
      <c r="AC23" s="2680">
        <f t="shared" si="5"/>
        <v>1</v>
      </c>
    </row>
    <row r="24" spans="1:29" ht="15">
      <c r="A24" s="428"/>
      <c r="B24" s="633"/>
      <c r="C24" s="2617"/>
      <c r="D24" s="448"/>
      <c r="E24" s="2610"/>
      <c r="F24" s="448"/>
      <c r="G24" s="2611"/>
      <c r="H24" s="448"/>
      <c r="I24" s="2611"/>
      <c r="J24" s="448"/>
      <c r="K24" s="615"/>
      <c r="L24" s="1143"/>
      <c r="M24" s="1134"/>
      <c r="N24" s="1134"/>
      <c r="O24" s="1134"/>
      <c r="P24" s="3289"/>
      <c r="Q24" s="1812"/>
      <c r="R24" s="774"/>
      <c r="S24" s="775"/>
      <c r="T24" s="774"/>
      <c r="U24" s="775"/>
      <c r="V24" s="774"/>
      <c r="W24" s="775"/>
      <c r="X24" s="1815"/>
      <c r="Y24" s="3220"/>
      <c r="Z24" s="1816"/>
      <c r="AA24" s="1813">
        <v>1</v>
      </c>
      <c r="AB24" s="1813">
        <v>1</v>
      </c>
      <c r="AC24" s="2680">
        <v>1</v>
      </c>
    </row>
    <row r="25" spans="1:29" ht="27">
      <c r="A25" s="404"/>
      <c r="B25" s="631" t="s">
        <v>2691</v>
      </c>
      <c r="C25" s="2621"/>
      <c r="D25" s="435">
        <v>100</v>
      </c>
      <c r="E25" s="434"/>
      <c r="F25" s="435">
        <f>SUMIF(87:87,E26,88:88)-SUMIF(87:87,C26,88:88)+100</f>
        <v>100</v>
      </c>
      <c r="G25" s="2621"/>
      <c r="H25" s="435">
        <f>SUMIF(87:87,G26,88:88)-SUMIF(87:87,C26,88:88)+100</f>
        <v>100</v>
      </c>
      <c r="I25" s="434"/>
      <c r="J25" s="435">
        <f>SUMIF(87:87,I26,88:88)-SUMIF(87:87,C26,88:88)+100</f>
        <v>100</v>
      </c>
      <c r="K25" s="614"/>
      <c r="L25" s="1143"/>
      <c r="M25" s="1134"/>
      <c r="N25" s="1134"/>
      <c r="O25" s="1134"/>
      <c r="P25" s="3289"/>
      <c r="Q25" s="1812" t="str">
        <f>B25</f>
        <v>毗邻道路的类型与等级</v>
      </c>
      <c r="R25" s="774" t="s">
        <v>17</v>
      </c>
      <c r="S25" s="775">
        <f>F25</f>
        <v>100</v>
      </c>
      <c r="T25" s="774" t="s">
        <v>17</v>
      </c>
      <c r="U25" s="775">
        <f>H25</f>
        <v>100</v>
      </c>
      <c r="V25" s="774" t="s">
        <v>17</v>
      </c>
      <c r="W25" s="775">
        <f>J25</f>
        <v>100</v>
      </c>
      <c r="X25" s="1815"/>
      <c r="Y25" s="3220"/>
      <c r="Z25" s="1816" t="str">
        <f>Q25</f>
        <v>毗邻道路的类型与等级</v>
      </c>
      <c r="AA25" s="1813">
        <f t="shared" si="3"/>
        <v>1</v>
      </c>
      <c r="AB25" s="1813">
        <f t="shared" si="4"/>
        <v>1</v>
      </c>
      <c r="AC25" s="2680">
        <f t="shared" si="5"/>
        <v>1</v>
      </c>
    </row>
    <row r="26" spans="1:29" ht="15">
      <c r="A26" s="404"/>
      <c r="B26" s="632"/>
      <c r="C26" s="634"/>
      <c r="D26" s="435"/>
      <c r="E26" s="616"/>
      <c r="F26" s="435"/>
      <c r="G26" s="634"/>
      <c r="H26" s="435"/>
      <c r="I26" s="616"/>
      <c r="J26" s="435"/>
      <c r="K26" s="615"/>
      <c r="L26" s="1143"/>
      <c r="M26" s="1134"/>
      <c r="N26" s="1134"/>
      <c r="O26" s="1134"/>
      <c r="P26" s="3289"/>
      <c r="Q26" s="1812"/>
      <c r="R26" s="774"/>
      <c r="S26" s="775"/>
      <c r="T26" s="774"/>
      <c r="U26" s="775"/>
      <c r="V26" s="774"/>
      <c r="W26" s="775"/>
      <c r="X26" s="1815"/>
      <c r="Y26" s="3220"/>
      <c r="Z26" s="1816"/>
      <c r="AA26" s="1813">
        <v>1</v>
      </c>
      <c r="AB26" s="1813">
        <v>1</v>
      </c>
      <c r="AC26" s="2680">
        <v>1</v>
      </c>
    </row>
    <row r="27" spans="1:29" ht="15">
      <c r="A27" s="428"/>
      <c r="B27" s="632" t="s">
        <v>2659</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89"/>
      <c r="Q27" s="1812" t="str">
        <f t="shared" ref="Q27:Q47" si="11">B27</f>
        <v>楼层</v>
      </c>
      <c r="R27" s="774" t="s">
        <v>17</v>
      </c>
      <c r="S27" s="775">
        <f>F27</f>
        <v>100</v>
      </c>
      <c r="T27" s="774" t="s">
        <v>17</v>
      </c>
      <c r="U27" s="775">
        <f>H27</f>
        <v>100</v>
      </c>
      <c r="V27" s="774" t="s">
        <v>17</v>
      </c>
      <c r="W27" s="775">
        <f>J27</f>
        <v>100</v>
      </c>
      <c r="X27" s="1815"/>
      <c r="Y27" s="3220"/>
      <c r="Z27" s="1816" t="str">
        <f>Q27</f>
        <v>楼层</v>
      </c>
      <c r="AA27" s="1813">
        <f t="shared" si="3"/>
        <v>1</v>
      </c>
      <c r="AB27" s="1813">
        <f t="shared" si="4"/>
        <v>1</v>
      </c>
      <c r="AC27" s="2680">
        <f t="shared" si="5"/>
        <v>1</v>
      </c>
    </row>
    <row r="28" spans="1:29" s="117" customFormat="1" ht="15">
      <c r="A28" s="431"/>
      <c r="B28" s="631" t="s">
        <v>2692</v>
      </c>
      <c r="C28" s="2683"/>
      <c r="D28" s="462">
        <v>100</v>
      </c>
      <c r="E28" s="2671"/>
      <c r="F28" s="462">
        <f>SUMIF(91:91,E28,92:92)-SUMIF(91:91,C28,92:92)+100</f>
        <v>100</v>
      </c>
      <c r="G28" s="2683"/>
      <c r="H28" s="462">
        <f>SUMIF(91:91,G28,92:92)-SUMIF(91:91,C28,92:92)+100</f>
        <v>100</v>
      </c>
      <c r="I28" s="2671"/>
      <c r="J28" s="462">
        <f>SUMIF(91:91,I28,92:92)-SUMIF(91:91,C28,92:92)+100</f>
        <v>100</v>
      </c>
      <c r="K28" s="612"/>
      <c r="L28" s="1135"/>
      <c r="M28" s="1136"/>
      <c r="N28" s="1136"/>
      <c r="O28" s="1136"/>
      <c r="P28" s="3289"/>
      <c r="Q28" s="1797" t="str">
        <f t="shared" si="11"/>
        <v>朝向</v>
      </c>
      <c r="R28" s="770" t="s">
        <v>17</v>
      </c>
      <c r="S28" s="771">
        <f>F28</f>
        <v>100</v>
      </c>
      <c r="T28" s="770" t="s">
        <v>17</v>
      </c>
      <c r="U28" s="771">
        <f>H28</f>
        <v>100</v>
      </c>
      <c r="V28" s="770" t="s">
        <v>17</v>
      </c>
      <c r="W28" s="771">
        <f>J28</f>
        <v>100</v>
      </c>
      <c r="X28" s="772"/>
      <c r="Y28" s="3220"/>
      <c r="Z28" s="55" t="str">
        <f>Q28</f>
        <v>朝向</v>
      </c>
      <c r="AA28" s="1813">
        <f>D28/F28</f>
        <v>1</v>
      </c>
      <c r="AB28" s="1813">
        <f>D28/H28</f>
        <v>1</v>
      </c>
      <c r="AC28" s="2680">
        <f>D28/J28</f>
        <v>1</v>
      </c>
    </row>
    <row r="29" spans="1:29" ht="15">
      <c r="A29" s="428"/>
      <c r="B29" s="2684">
        <v>111</v>
      </c>
      <c r="C29" s="2621"/>
      <c r="D29" s="435">
        <v>100</v>
      </c>
      <c r="E29" s="432"/>
      <c r="F29" s="435">
        <f>SUMIF(93:93,E29,94:94)-SUMIF(93:93,C29,94:94)+100</f>
        <v>100</v>
      </c>
      <c r="G29" s="2678"/>
      <c r="H29" s="435">
        <f>SUMIF(93:93,G29,94:94)-SUMIF(93:93,C29,94:94)+100</f>
        <v>100</v>
      </c>
      <c r="I29" s="432"/>
      <c r="J29" s="435">
        <f>SUMIF(93:93,I29,94:94)-SUMIF(93:93,C29,94:94)+100</f>
        <v>100</v>
      </c>
      <c r="K29" s="613"/>
      <c r="L29" s="1143"/>
      <c r="M29" s="1134"/>
      <c r="N29" s="1134"/>
      <c r="O29" s="1134"/>
      <c r="P29" s="3289"/>
      <c r="Q29" s="1812">
        <f t="shared" si="11"/>
        <v>111</v>
      </c>
      <c r="R29" s="774" t="s">
        <v>17</v>
      </c>
      <c r="S29" s="775">
        <f t="shared" ref="S29:S47" si="12">F29</f>
        <v>100</v>
      </c>
      <c r="T29" s="774" t="s">
        <v>17</v>
      </c>
      <c r="U29" s="775">
        <f t="shared" ref="U29:U47" si="13">H29</f>
        <v>100</v>
      </c>
      <c r="V29" s="774" t="s">
        <v>17</v>
      </c>
      <c r="W29" s="775">
        <f t="shared" ref="W29:W47" si="14">J29</f>
        <v>100</v>
      </c>
      <c r="X29" s="1815"/>
      <c r="Y29" s="3220"/>
      <c r="Z29" s="1816">
        <f t="shared" ref="Z29:Z47" si="15">Q29</f>
        <v>111</v>
      </c>
      <c r="AA29" s="1813">
        <f t="shared" si="3"/>
        <v>1</v>
      </c>
      <c r="AB29" s="1813">
        <f t="shared" si="4"/>
        <v>1</v>
      </c>
      <c r="AC29" s="2680">
        <f t="shared" si="5"/>
        <v>1</v>
      </c>
    </row>
    <row r="30" spans="1:29" ht="15">
      <c r="A30" s="428"/>
      <c r="B30" s="2684">
        <v>111</v>
      </c>
      <c r="C30" s="2621"/>
      <c r="D30" s="435">
        <v>100</v>
      </c>
      <c r="E30" s="432"/>
      <c r="F30" s="435">
        <f>SUMIF(95:95,E30,96:96)-SUMIF(95:95,C30,96:96)+100</f>
        <v>100</v>
      </c>
      <c r="G30" s="2678"/>
      <c r="H30" s="435">
        <f>SUMIF(95:95,G30,96:96)-SUMIF(95:95,C30,96:96)+100</f>
        <v>100</v>
      </c>
      <c r="I30" s="432"/>
      <c r="J30" s="435">
        <f>SUMIF(95:95,I30,96:96)-SUMIF(95:95,C30,96:96)+100</f>
        <v>100</v>
      </c>
      <c r="K30" s="613"/>
      <c r="L30" s="1143"/>
      <c r="M30" s="1134"/>
      <c r="N30" s="1134"/>
      <c r="O30" s="1134"/>
      <c r="P30" s="3289"/>
      <c r="Q30" s="1812">
        <f t="shared" si="11"/>
        <v>111</v>
      </c>
      <c r="R30" s="774" t="s">
        <v>17</v>
      </c>
      <c r="S30" s="775">
        <f t="shared" si="12"/>
        <v>100</v>
      </c>
      <c r="T30" s="774" t="s">
        <v>17</v>
      </c>
      <c r="U30" s="775">
        <f t="shared" si="13"/>
        <v>100</v>
      </c>
      <c r="V30" s="774" t="s">
        <v>17</v>
      </c>
      <c r="W30" s="775">
        <f t="shared" si="14"/>
        <v>100</v>
      </c>
      <c r="X30" s="1815"/>
      <c r="Y30" s="3220"/>
      <c r="Z30" s="1816">
        <f t="shared" si="15"/>
        <v>111</v>
      </c>
      <c r="AA30" s="1813">
        <f t="shared" si="3"/>
        <v>1</v>
      </c>
      <c r="AB30" s="1813">
        <f t="shared" si="4"/>
        <v>1</v>
      </c>
      <c r="AC30" s="2680">
        <f t="shared" si="5"/>
        <v>1</v>
      </c>
    </row>
    <row r="31" spans="1:29" ht="15">
      <c r="A31" s="428"/>
      <c r="B31" s="2684">
        <v>111</v>
      </c>
      <c r="C31" s="2621"/>
      <c r="D31" s="435">
        <v>100</v>
      </c>
      <c r="E31" s="432"/>
      <c r="F31" s="435">
        <f>SUMIF(97:97,E31,98:98)-SUMIF(97:97,C31,98:98)+100</f>
        <v>100</v>
      </c>
      <c r="G31" s="2678"/>
      <c r="H31" s="435">
        <f>SUMIF(97:97,G31,98:98)-SUMIF(97:97,C31,98:98)+100</f>
        <v>100</v>
      </c>
      <c r="I31" s="432"/>
      <c r="J31" s="435">
        <f>SUMIF(97:97,I31,98:98)-SUMIF(97:97,C31,98:98)+100</f>
        <v>100</v>
      </c>
      <c r="K31" s="613"/>
      <c r="L31" s="1143"/>
      <c r="M31" s="1134"/>
      <c r="N31" s="1134"/>
      <c r="O31" s="1134"/>
      <c r="P31" s="3289"/>
      <c r="Q31" s="1812">
        <f t="shared" si="11"/>
        <v>111</v>
      </c>
      <c r="R31" s="774" t="s">
        <v>17</v>
      </c>
      <c r="S31" s="775">
        <f t="shared" si="12"/>
        <v>100</v>
      </c>
      <c r="T31" s="774" t="s">
        <v>17</v>
      </c>
      <c r="U31" s="775">
        <f t="shared" si="13"/>
        <v>100</v>
      </c>
      <c r="V31" s="774" t="s">
        <v>17</v>
      </c>
      <c r="W31" s="775">
        <f t="shared" si="14"/>
        <v>100</v>
      </c>
      <c r="X31" s="1815"/>
      <c r="Y31" s="3220"/>
      <c r="Z31" s="1816">
        <f t="shared" si="15"/>
        <v>111</v>
      </c>
      <c r="AA31" s="1813">
        <f t="shared" si="3"/>
        <v>1</v>
      </c>
      <c r="AB31" s="1813">
        <f t="shared" si="4"/>
        <v>1</v>
      </c>
      <c r="AC31" s="2680">
        <f t="shared" si="5"/>
        <v>1</v>
      </c>
    </row>
    <row r="32" spans="1:29" ht="15.75" thickBot="1">
      <c r="A32" s="436"/>
      <c r="B32" s="635">
        <v>111</v>
      </c>
      <c r="C32" s="2622"/>
      <c r="D32" s="438">
        <v>100</v>
      </c>
      <c r="E32" s="628"/>
      <c r="F32" s="438">
        <f>SUMIF(99:99,E32,100:100)-SUMIF(99:99,C32,100:100)+100</f>
        <v>100</v>
      </c>
      <c r="G32" s="2678"/>
      <c r="H32" s="438">
        <f>SUMIF(99:99,G32,100:100)-SUMIF(99:99,C32,100:100)+100</f>
        <v>100</v>
      </c>
      <c r="I32" s="432"/>
      <c r="J32" s="438">
        <f>SUMIF(99:99,I32,100:100)-SUMIF(99:99,C32,100:100)+100</f>
        <v>100</v>
      </c>
      <c r="K32" s="613"/>
      <c r="L32" s="1143"/>
      <c r="M32" s="1134"/>
      <c r="N32" s="1134"/>
      <c r="O32" s="1134"/>
      <c r="P32" s="3289"/>
      <c r="Q32" s="1812">
        <f t="shared" si="11"/>
        <v>111</v>
      </c>
      <c r="R32" s="774" t="s">
        <v>17</v>
      </c>
      <c r="S32" s="775">
        <f t="shared" si="12"/>
        <v>100</v>
      </c>
      <c r="T32" s="774" t="s">
        <v>17</v>
      </c>
      <c r="U32" s="775">
        <f t="shared" si="13"/>
        <v>100</v>
      </c>
      <c r="V32" s="774" t="s">
        <v>17</v>
      </c>
      <c r="W32" s="775">
        <f t="shared" si="14"/>
        <v>100</v>
      </c>
      <c r="X32" s="1815"/>
      <c r="Y32" s="3220"/>
      <c r="Z32" s="1816">
        <f t="shared" si="15"/>
        <v>111</v>
      </c>
      <c r="AA32" s="1813">
        <f t="shared" si="3"/>
        <v>1</v>
      </c>
      <c r="AB32" s="1813">
        <f t="shared" si="4"/>
        <v>1</v>
      </c>
      <c r="AC32" s="2680">
        <f t="shared" si="5"/>
        <v>1</v>
      </c>
    </row>
    <row r="33" spans="1:29" ht="15">
      <c r="A33" s="440" t="s">
        <v>2563</v>
      </c>
      <c r="B33" s="71" t="s">
        <v>2693</v>
      </c>
      <c r="C33" s="2685"/>
      <c r="D33" s="467">
        <v>100</v>
      </c>
      <c r="E33" s="2685"/>
      <c r="F33" s="461">
        <f>SUMIF(101:101,E33,102:102)-SUMIF(101:101,C33,102:102)+100</f>
        <v>100</v>
      </c>
      <c r="G33" s="2685"/>
      <c r="H33" s="435">
        <f>SUMIF(101:101,G33,102:102)-SUMIF(101:101,C33,102:102)+100</f>
        <v>100</v>
      </c>
      <c r="I33" s="2685"/>
      <c r="J33" s="467">
        <f>SUMIF(101:101,I33,102:102)-SUMIF(101:101,C33,102:102)+100</f>
        <v>100</v>
      </c>
      <c r="K33" s="612"/>
      <c r="L33" s="1143"/>
      <c r="M33" s="1134"/>
      <c r="N33" s="1134"/>
      <c r="O33" s="1134"/>
      <c r="P33" s="3284" t="s">
        <v>2565</v>
      </c>
      <c r="Q33" s="1812" t="str">
        <f t="shared" si="11"/>
        <v>建筑类型</v>
      </c>
      <c r="R33" s="774" t="s">
        <v>17</v>
      </c>
      <c r="S33" s="775">
        <f t="shared" si="12"/>
        <v>100</v>
      </c>
      <c r="T33" s="774" t="s">
        <v>17</v>
      </c>
      <c r="U33" s="775">
        <f t="shared" si="13"/>
        <v>100</v>
      </c>
      <c r="V33" s="774" t="s">
        <v>17</v>
      </c>
      <c r="W33" s="775">
        <f t="shared" si="14"/>
        <v>100</v>
      </c>
      <c r="X33" s="1815"/>
      <c r="Y33" s="3222" t="s">
        <v>2565</v>
      </c>
      <c r="Z33" s="1816" t="str">
        <f t="shared" si="15"/>
        <v>建筑类型</v>
      </c>
      <c r="AA33" s="1813">
        <f t="shared" si="3"/>
        <v>1</v>
      </c>
      <c r="AB33" s="1813">
        <f t="shared" si="4"/>
        <v>1</v>
      </c>
      <c r="AC33" s="2680">
        <f t="shared" si="5"/>
        <v>1</v>
      </c>
    </row>
    <row r="34" spans="1:29" s="471" customFormat="1" ht="15">
      <c r="A34" s="468"/>
      <c r="B34" s="422" t="s">
        <v>2566</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285"/>
      <c r="Q34" s="776" t="str">
        <f t="shared" si="11"/>
        <v>项目建筑规模</v>
      </c>
      <c r="R34" s="777" t="s">
        <v>17</v>
      </c>
      <c r="S34" s="778" t="e">
        <f t="shared" si="12"/>
        <v>#N/A</v>
      </c>
      <c r="T34" s="777" t="s">
        <v>17</v>
      </c>
      <c r="U34" s="778" t="e">
        <f t="shared" si="13"/>
        <v>#N/A</v>
      </c>
      <c r="V34" s="777" t="s">
        <v>17</v>
      </c>
      <c r="W34" s="778" t="e">
        <f t="shared" si="14"/>
        <v>#N/A</v>
      </c>
      <c r="X34" s="779"/>
      <c r="Y34" s="3222"/>
      <c r="Z34" s="780" t="str">
        <f t="shared" si="15"/>
        <v>项目建筑规模</v>
      </c>
      <c r="AA34" s="1813" t="e">
        <f t="shared" si="3"/>
        <v>#N/A</v>
      </c>
      <c r="AB34" s="1813" t="e">
        <f t="shared" si="4"/>
        <v>#N/A</v>
      </c>
      <c r="AC34" s="2680" t="e">
        <f t="shared" si="5"/>
        <v>#N/A</v>
      </c>
    </row>
    <row r="35" spans="1:29" ht="15">
      <c r="A35" s="472"/>
      <c r="B35" s="422" t="s">
        <v>2567</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285"/>
      <c r="Q35" s="1812" t="str">
        <f t="shared" si="11"/>
        <v>建筑结构</v>
      </c>
      <c r="R35" s="774" t="s">
        <v>17</v>
      </c>
      <c r="S35" s="775">
        <f t="shared" si="12"/>
        <v>100</v>
      </c>
      <c r="T35" s="774" t="s">
        <v>17</v>
      </c>
      <c r="U35" s="775">
        <f t="shared" si="13"/>
        <v>100</v>
      </c>
      <c r="V35" s="774" t="s">
        <v>17</v>
      </c>
      <c r="W35" s="775">
        <f t="shared" si="14"/>
        <v>100</v>
      </c>
      <c r="X35" s="1815"/>
      <c r="Y35" s="3222"/>
      <c r="Z35" s="1816" t="str">
        <f t="shared" si="15"/>
        <v>建筑结构</v>
      </c>
      <c r="AA35" s="1813">
        <f t="shared" si="3"/>
        <v>1</v>
      </c>
      <c r="AB35" s="1813">
        <f t="shared" si="4"/>
        <v>1</v>
      </c>
      <c r="AC35" s="2680">
        <f t="shared" si="5"/>
        <v>1</v>
      </c>
    </row>
    <row r="36" spans="1:29" ht="15">
      <c r="A36" s="472"/>
      <c r="B36" s="422" t="s">
        <v>2661</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285"/>
      <c r="Q36" s="1812" t="str">
        <f t="shared" si="11"/>
        <v>公共部分装修</v>
      </c>
      <c r="R36" s="774" t="s">
        <v>17</v>
      </c>
      <c r="S36" s="775">
        <f t="shared" si="12"/>
        <v>100</v>
      </c>
      <c r="T36" s="774" t="s">
        <v>17</v>
      </c>
      <c r="U36" s="775">
        <f t="shared" si="13"/>
        <v>100</v>
      </c>
      <c r="V36" s="774" t="s">
        <v>17</v>
      </c>
      <c r="W36" s="775">
        <f t="shared" si="14"/>
        <v>100</v>
      </c>
      <c r="X36" s="1815"/>
      <c r="Y36" s="3222"/>
      <c r="Z36" s="1816" t="str">
        <f t="shared" si="15"/>
        <v>公共部分装修</v>
      </c>
      <c r="AA36" s="1813">
        <f t="shared" si="3"/>
        <v>1</v>
      </c>
      <c r="AB36" s="1813">
        <f t="shared" si="4"/>
        <v>1</v>
      </c>
      <c r="AC36" s="2680">
        <f t="shared" si="5"/>
        <v>1</v>
      </c>
    </row>
    <row r="37" spans="1:29" ht="15">
      <c r="A37" s="472"/>
      <c r="B37" s="422" t="s">
        <v>2662</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285"/>
      <c r="Q37" s="1812" t="str">
        <f t="shared" si="11"/>
        <v>成新度</v>
      </c>
      <c r="R37" s="774" t="s">
        <v>17</v>
      </c>
      <c r="S37" s="775" t="e">
        <f t="shared" si="12"/>
        <v>#N/A</v>
      </c>
      <c r="T37" s="774" t="s">
        <v>17</v>
      </c>
      <c r="U37" s="775" t="e">
        <f t="shared" si="13"/>
        <v>#N/A</v>
      </c>
      <c r="V37" s="774" t="s">
        <v>17</v>
      </c>
      <c r="W37" s="775" t="e">
        <f t="shared" si="14"/>
        <v>#N/A</v>
      </c>
      <c r="X37" s="1815"/>
      <c r="Y37" s="3222"/>
      <c r="Z37" s="1816" t="str">
        <f t="shared" si="15"/>
        <v>成新度</v>
      </c>
      <c r="AA37" s="1813" t="e">
        <f t="shared" si="3"/>
        <v>#N/A</v>
      </c>
      <c r="AB37" s="1813" t="e">
        <f t="shared" si="4"/>
        <v>#N/A</v>
      </c>
      <c r="AC37" s="2680" t="e">
        <f t="shared" si="5"/>
        <v>#N/A</v>
      </c>
    </row>
    <row r="38" spans="1:29" s="117" customFormat="1" ht="15">
      <c r="A38" s="473"/>
      <c r="B38" s="422" t="s">
        <v>2694</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285"/>
      <c r="Q38" s="1797" t="str">
        <f t="shared" si="11"/>
        <v>写字楼等级</v>
      </c>
      <c r="R38" s="770" t="s">
        <v>17</v>
      </c>
      <c r="S38" s="771">
        <f t="shared" si="12"/>
        <v>100</v>
      </c>
      <c r="T38" s="770" t="s">
        <v>17</v>
      </c>
      <c r="U38" s="771">
        <f t="shared" si="13"/>
        <v>100</v>
      </c>
      <c r="V38" s="770" t="s">
        <v>17</v>
      </c>
      <c r="W38" s="771">
        <f t="shared" si="14"/>
        <v>100</v>
      </c>
      <c r="X38" s="772"/>
      <c r="Y38" s="3222"/>
      <c r="Z38" s="55" t="str">
        <f t="shared" si="15"/>
        <v>写字楼等级</v>
      </c>
      <c r="AA38" s="773">
        <f t="shared" si="3"/>
        <v>1</v>
      </c>
      <c r="AB38" s="773">
        <f t="shared" si="4"/>
        <v>1</v>
      </c>
      <c r="AC38" s="2677">
        <f t="shared" si="5"/>
        <v>1</v>
      </c>
    </row>
    <row r="39" spans="1:29" ht="15">
      <c r="A39" s="472"/>
      <c r="B39" s="422" t="s">
        <v>2695</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285" t="s">
        <v>2565</v>
      </c>
      <c r="Q39" s="1812" t="str">
        <f t="shared" si="11"/>
        <v>物业管理</v>
      </c>
      <c r="R39" s="774" t="s">
        <v>17</v>
      </c>
      <c r="S39" s="775">
        <f t="shared" si="12"/>
        <v>100</v>
      </c>
      <c r="T39" s="774" t="s">
        <v>17</v>
      </c>
      <c r="U39" s="775">
        <f t="shared" si="13"/>
        <v>100</v>
      </c>
      <c r="V39" s="774" t="s">
        <v>17</v>
      </c>
      <c r="W39" s="775">
        <f t="shared" si="14"/>
        <v>100</v>
      </c>
      <c r="X39" s="1815"/>
      <c r="Y39" s="3222" t="s">
        <v>2565</v>
      </c>
      <c r="Z39" s="1816" t="str">
        <f t="shared" si="15"/>
        <v>物业管理</v>
      </c>
      <c r="AA39" s="1813">
        <f t="shared" si="3"/>
        <v>1</v>
      </c>
      <c r="AB39" s="1813">
        <f t="shared" si="4"/>
        <v>1</v>
      </c>
      <c r="AC39" s="2680">
        <f t="shared" si="5"/>
        <v>1</v>
      </c>
    </row>
    <row r="40" spans="1:29" ht="15">
      <c r="A40" s="472"/>
      <c r="B40" s="422" t="s">
        <v>2663</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285"/>
      <c r="Q40" s="1812" t="str">
        <f t="shared" si="11"/>
        <v>市政基础设施</v>
      </c>
      <c r="R40" s="774" t="s">
        <v>17</v>
      </c>
      <c r="S40" s="775">
        <f t="shared" si="12"/>
        <v>100</v>
      </c>
      <c r="T40" s="774" t="s">
        <v>17</v>
      </c>
      <c r="U40" s="775">
        <f t="shared" si="13"/>
        <v>100</v>
      </c>
      <c r="V40" s="774" t="s">
        <v>17</v>
      </c>
      <c r="W40" s="775">
        <f t="shared" si="14"/>
        <v>100</v>
      </c>
      <c r="X40" s="1815"/>
      <c r="Y40" s="3222"/>
      <c r="Z40" s="1816" t="str">
        <f t="shared" si="15"/>
        <v>市政基础设施</v>
      </c>
      <c r="AA40" s="1813">
        <f t="shared" si="3"/>
        <v>1</v>
      </c>
      <c r="AB40" s="1813">
        <f t="shared" si="4"/>
        <v>1</v>
      </c>
      <c r="AC40" s="2680">
        <f t="shared" si="5"/>
        <v>1</v>
      </c>
    </row>
    <row r="41" spans="1:29" ht="15">
      <c r="A41" s="472"/>
      <c r="B41" s="422" t="s">
        <v>2665</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85"/>
      <c r="Q41" s="1812" t="str">
        <f t="shared" si="11"/>
        <v>层高</v>
      </c>
      <c r="R41" s="774" t="s">
        <v>17</v>
      </c>
      <c r="S41" s="775">
        <f t="shared" si="12"/>
        <v>100</v>
      </c>
      <c r="T41" s="774" t="s">
        <v>17</v>
      </c>
      <c r="U41" s="775">
        <f t="shared" si="13"/>
        <v>100</v>
      </c>
      <c r="V41" s="774" t="s">
        <v>17</v>
      </c>
      <c r="W41" s="775">
        <f t="shared" si="14"/>
        <v>100</v>
      </c>
      <c r="X41" s="1815"/>
      <c r="Y41" s="3222"/>
      <c r="Z41" s="1816" t="str">
        <f t="shared" si="15"/>
        <v>层高</v>
      </c>
      <c r="AA41" s="1813">
        <f t="shared" si="3"/>
        <v>1</v>
      </c>
      <c r="AB41" s="1813">
        <f t="shared" si="4"/>
        <v>1</v>
      </c>
      <c r="AC41" s="2680">
        <f t="shared" si="5"/>
        <v>1</v>
      </c>
    </row>
    <row r="42" spans="1:29" s="471" customFormat="1" ht="15">
      <c r="A42" s="468"/>
      <c r="B42" s="1814" t="s">
        <v>2696</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85"/>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3">
        <f t="shared" si="3"/>
        <v>1</v>
      </c>
      <c r="AB42" s="1813">
        <f t="shared" si="4"/>
        <v>1</v>
      </c>
      <c r="AC42" s="2680">
        <f t="shared" si="5"/>
        <v>1</v>
      </c>
    </row>
    <row r="43" spans="1:29" ht="15">
      <c r="A43" s="472"/>
      <c r="B43" s="422" t="s">
        <v>2668</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285"/>
      <c r="Q43" s="1812" t="str">
        <f t="shared" si="11"/>
        <v>内部装修</v>
      </c>
      <c r="R43" s="774" t="s">
        <v>17</v>
      </c>
      <c r="S43" s="775">
        <f t="shared" si="12"/>
        <v>100</v>
      </c>
      <c r="T43" s="774" t="s">
        <v>17</v>
      </c>
      <c r="U43" s="775">
        <f t="shared" si="13"/>
        <v>100</v>
      </c>
      <c r="V43" s="774" t="s">
        <v>17</v>
      </c>
      <c r="W43" s="775">
        <f t="shared" si="14"/>
        <v>100</v>
      </c>
      <c r="X43" s="1815"/>
      <c r="Y43" s="3222"/>
      <c r="Z43" s="1816" t="str">
        <f t="shared" si="15"/>
        <v>内部装修</v>
      </c>
      <c r="AA43" s="1813">
        <f t="shared" si="3"/>
        <v>1</v>
      </c>
      <c r="AB43" s="1813">
        <f t="shared" si="4"/>
        <v>1</v>
      </c>
      <c r="AC43" s="2680">
        <f t="shared" si="5"/>
        <v>1</v>
      </c>
    </row>
    <row r="44" spans="1:29" ht="15">
      <c r="A44" s="472"/>
      <c r="B44" s="422" t="s">
        <v>2576</v>
      </c>
      <c r="C44" s="460"/>
      <c r="D44" s="435">
        <v>100</v>
      </c>
      <c r="E44" s="2619"/>
      <c r="F44" s="461">
        <f>SUMIF(125:125,E44,126:126)-SUMIF(125:125,C44,126:126)+100</f>
        <v>100</v>
      </c>
      <c r="G44" s="2619"/>
      <c r="H44" s="435">
        <f>SUMIF(125:125,G44,126:126)-SUMIF(125:125,C44,126:126)+100</f>
        <v>100</v>
      </c>
      <c r="I44" s="2619"/>
      <c r="J44" s="435">
        <f>SUMIF(125:125,I44,126:126)-SUMIF(125:125,C44,126:126)+100</f>
        <v>100</v>
      </c>
      <c r="K44" s="612"/>
      <c r="L44" s="1143"/>
      <c r="M44" s="1134"/>
      <c r="N44" s="1134"/>
      <c r="O44" s="1134"/>
      <c r="P44" s="3285"/>
      <c r="Q44" s="1812" t="str">
        <f t="shared" si="11"/>
        <v>内部装修维护情况</v>
      </c>
      <c r="R44" s="774" t="s">
        <v>17</v>
      </c>
      <c r="S44" s="775">
        <f t="shared" si="12"/>
        <v>100</v>
      </c>
      <c r="T44" s="774" t="s">
        <v>17</v>
      </c>
      <c r="U44" s="775">
        <f t="shared" si="13"/>
        <v>100</v>
      </c>
      <c r="V44" s="774" t="s">
        <v>17</v>
      </c>
      <c r="W44" s="775">
        <f t="shared" si="14"/>
        <v>100</v>
      </c>
      <c r="X44" s="1815"/>
      <c r="Y44" s="3222"/>
      <c r="Z44" s="1816" t="str">
        <f t="shared" si="15"/>
        <v>内部装修维护情况</v>
      </c>
      <c r="AA44" s="1813">
        <f t="shared" si="3"/>
        <v>1</v>
      </c>
      <c r="AB44" s="1813">
        <f t="shared" si="4"/>
        <v>1</v>
      </c>
      <c r="AC44" s="2680">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85"/>
      <c r="Q45" s="1797">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7">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85"/>
      <c r="Q46" s="1812">
        <f t="shared" si="11"/>
        <v>111</v>
      </c>
      <c r="R46" s="774" t="s">
        <v>17</v>
      </c>
      <c r="S46" s="775">
        <f t="shared" si="12"/>
        <v>100</v>
      </c>
      <c r="T46" s="774" t="s">
        <v>17</v>
      </c>
      <c r="U46" s="775">
        <f t="shared" si="13"/>
        <v>100</v>
      </c>
      <c r="V46" s="774" t="s">
        <v>17</v>
      </c>
      <c r="W46" s="775">
        <f t="shared" si="14"/>
        <v>100</v>
      </c>
      <c r="X46" s="1815"/>
      <c r="Y46" s="3222"/>
      <c r="Z46" s="1816">
        <f t="shared" si="15"/>
        <v>111</v>
      </c>
      <c r="AA46" s="1813">
        <f t="shared" si="3"/>
        <v>1</v>
      </c>
      <c r="AB46" s="1813">
        <f t="shared" si="4"/>
        <v>1</v>
      </c>
      <c r="AC46" s="2680">
        <f t="shared" si="5"/>
        <v>1</v>
      </c>
    </row>
    <row r="47" spans="1:29" ht="15.75" thickBot="1">
      <c r="A47" s="478"/>
      <c r="B47" s="2608">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86"/>
      <c r="Q47" s="1812">
        <f t="shared" si="11"/>
        <v>111</v>
      </c>
      <c r="R47" s="774" t="s">
        <v>17</v>
      </c>
      <c r="S47" s="775">
        <f t="shared" si="12"/>
        <v>100</v>
      </c>
      <c r="T47" s="774" t="s">
        <v>17</v>
      </c>
      <c r="U47" s="775">
        <f t="shared" si="13"/>
        <v>100</v>
      </c>
      <c r="V47" s="774" t="s">
        <v>17</v>
      </c>
      <c r="W47" s="775">
        <f t="shared" si="14"/>
        <v>100</v>
      </c>
      <c r="X47" s="1815"/>
      <c r="Y47" s="3287"/>
      <c r="Z47" s="1816">
        <f t="shared" si="15"/>
        <v>111</v>
      </c>
      <c r="AA47" s="1813">
        <f t="shared" si="3"/>
        <v>1</v>
      </c>
      <c r="AB47" s="1813">
        <f t="shared" si="4"/>
        <v>1</v>
      </c>
      <c r="AC47" s="2680">
        <f t="shared" si="5"/>
        <v>1</v>
      </c>
    </row>
    <row r="48" spans="1:29" ht="15">
      <c r="A48" s="479" t="s">
        <v>2577</v>
      </c>
      <c r="B48" s="480"/>
      <c r="C48" s="1410" t="s">
        <v>1</v>
      </c>
      <c r="D48" s="1411"/>
      <c r="E48" s="1412"/>
      <c r="F48" s="1413"/>
      <c r="G48" s="1414"/>
      <c r="H48" s="1415"/>
      <c r="I48" s="1412"/>
      <c r="J48" s="485"/>
      <c r="K48" s="783"/>
      <c r="L48" s="1146"/>
      <c r="M48" s="1134"/>
      <c r="N48" s="1134"/>
      <c r="O48" s="1134"/>
      <c r="P48" s="3216" t="str">
        <f>A48</f>
        <v>成交单价（元/平方米）</v>
      </c>
      <c r="Q48" s="3217"/>
      <c r="R48" s="3283">
        <f>E48</f>
        <v>0</v>
      </c>
      <c r="S48" s="3283"/>
      <c r="T48" s="3283">
        <f>G48</f>
        <v>0</v>
      </c>
      <c r="U48" s="3283"/>
      <c r="V48" s="3283">
        <f>I48</f>
        <v>0</v>
      </c>
      <c r="W48" s="3283"/>
      <c r="X48" s="446"/>
      <c r="Y48" s="781"/>
      <c r="Z48" s="446"/>
      <c r="AA48" s="446"/>
      <c r="AB48" s="446"/>
      <c r="AC48" s="630"/>
    </row>
    <row r="49" spans="1:29" ht="15.75" thickBot="1">
      <c r="A49" s="486" t="s">
        <v>2669</v>
      </c>
      <c r="B49" s="487"/>
      <c r="C49" s="1416" t="e">
        <f>R50</f>
        <v>#DIV/0!</v>
      </c>
      <c r="D49" s="1417"/>
      <c r="E49" s="1418" t="e">
        <f>R49</f>
        <v>#DIV/0!</v>
      </c>
      <c r="F49" s="1418"/>
      <c r="G49" s="1416" t="e">
        <f>T49</f>
        <v>#DIV/0!</v>
      </c>
      <c r="H49" s="1417"/>
      <c r="I49" s="1418" t="e">
        <f>V49</f>
        <v>#DIV/0!</v>
      </c>
      <c r="J49" s="489"/>
      <c r="K49" s="784"/>
      <c r="L49" s="1146"/>
      <c r="M49" s="1134"/>
      <c r="N49" s="1134"/>
      <c r="O49" s="1134"/>
      <c r="P49" s="3216" t="str">
        <f>A49</f>
        <v>比较价值（元/平方米）</v>
      </c>
      <c r="Q49" s="3217"/>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46"/>
      <c r="Y49" s="446"/>
      <c r="Z49" s="446"/>
      <c r="AA49" s="446"/>
      <c r="AB49" s="446"/>
      <c r="AC49" s="630"/>
    </row>
    <row r="50" spans="1:29" ht="15.75" thickBot="1">
      <c r="A50" s="492" t="s">
        <v>2670</v>
      </c>
      <c r="B50" s="493"/>
      <c r="C50" s="1420" t="e">
        <f>R50</f>
        <v>#DIV/0!</v>
      </c>
      <c r="D50" s="1420"/>
      <c r="E50" s="1420"/>
      <c r="F50" s="1420"/>
      <c r="G50" s="1420"/>
      <c r="H50" s="1420"/>
      <c r="I50" s="1420"/>
      <c r="J50" s="494"/>
      <c r="K50" s="785"/>
      <c r="L50" s="1146"/>
      <c r="M50" s="1134"/>
      <c r="N50" s="1134"/>
      <c r="O50" s="1134"/>
      <c r="P50" s="3292" t="str">
        <f>A50</f>
        <v>估价对象XX用房的比较价值（楼面单价，元/平方米）</v>
      </c>
      <c r="Q50" s="3293"/>
      <c r="R50" s="3294" t="e">
        <f>IF(F1="售价",ROUND(AVERAGE(R49:V49),0),ROUND(AVERAGE(R49:V49),1))</f>
        <v>#DIV/0!</v>
      </c>
      <c r="S50" s="3294"/>
      <c r="T50" s="3294"/>
      <c r="U50" s="3294"/>
      <c r="V50" s="3294"/>
      <c r="W50" s="3294"/>
      <c r="X50" s="2660"/>
      <c r="Y50" s="2660"/>
      <c r="Z50" s="2660"/>
      <c r="AA50" s="2660"/>
      <c r="AB50" s="2660"/>
      <c r="AC50" s="2661"/>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2671</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2672</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2673</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6"/>
    </row>
    <row r="56" spans="1:29" s="502" customFormat="1">
      <c r="A56" s="1148"/>
      <c r="B56" s="1149"/>
      <c r="C56" s="1153"/>
      <c r="D56" s="1148"/>
      <c r="E56" s="1148"/>
      <c r="F56" s="1148"/>
      <c r="G56" s="1148"/>
      <c r="H56" s="1148"/>
      <c r="I56" s="1148"/>
      <c r="J56" s="1148"/>
      <c r="K56" s="1151"/>
      <c r="L56" s="1152"/>
      <c r="M56" s="1148"/>
      <c r="N56" s="1148"/>
      <c r="O56" s="1148"/>
      <c r="P56" s="2686"/>
    </row>
    <row r="57" spans="1:29">
      <c r="A57" s="1147"/>
      <c r="B57" s="1149"/>
      <c r="C57" s="1153"/>
      <c r="D57" s="1147"/>
      <c r="E57" s="1147"/>
      <c r="F57" s="1147"/>
      <c r="G57" s="1147"/>
      <c r="H57" s="1147"/>
      <c r="I57" s="1147"/>
      <c r="J57" s="1147"/>
      <c r="K57" s="1108"/>
      <c r="L57" s="1109"/>
      <c r="M57" s="1147"/>
      <c r="N57" s="1147"/>
      <c r="O57" s="1147"/>
    </row>
    <row r="58" spans="1:29" ht="21.75" thickBot="1">
      <c r="A58" s="763" t="s">
        <v>2674</v>
      </c>
      <c r="B58" s="759"/>
      <c r="C58" s="764"/>
      <c r="D58" s="764"/>
      <c r="E58" s="764"/>
      <c r="F58" s="765"/>
      <c r="G58" s="765"/>
      <c r="H58" s="764"/>
      <c r="I58" s="764"/>
      <c r="J58" s="764"/>
      <c r="K58" s="766"/>
      <c r="L58" s="1164"/>
      <c r="M58" s="1162"/>
      <c r="N58" s="1162"/>
      <c r="O58" s="1162"/>
      <c r="P58" s="2687"/>
      <c r="Q58" s="504"/>
    </row>
    <row r="59" spans="1:29" s="508" customFormat="1" ht="15">
      <c r="A59" s="505" t="s">
        <v>2548</v>
      </c>
      <c r="B59" s="506"/>
      <c r="C59" s="1576" t="str">
        <f>YEAR(C7)&amp;"-"&amp;MONTH(C7)</f>
        <v>2019-8</v>
      </c>
      <c r="D59" s="1577">
        <f>EDATE(C59,-1)</f>
        <v>43647</v>
      </c>
      <c r="E59" s="1577">
        <f>EDATE(D59,-1)</f>
        <v>43617</v>
      </c>
      <c r="F59" s="1577">
        <f t="shared" ref="F59:O59" si="16">EDATE(E59,-1)</f>
        <v>43586</v>
      </c>
      <c r="G59" s="1577">
        <f t="shared" si="16"/>
        <v>43556</v>
      </c>
      <c r="H59" s="1577">
        <f t="shared" si="16"/>
        <v>43525</v>
      </c>
      <c r="I59" s="1577">
        <f t="shared" si="16"/>
        <v>43497</v>
      </c>
      <c r="J59" s="1577">
        <f t="shared" si="16"/>
        <v>43466</v>
      </c>
      <c r="K59" s="1577">
        <f t="shared" si="16"/>
        <v>43435</v>
      </c>
      <c r="L59" s="1577">
        <f t="shared" si="16"/>
        <v>43405</v>
      </c>
      <c r="M59" s="1577">
        <f t="shared" si="16"/>
        <v>43374</v>
      </c>
      <c r="N59" s="1577">
        <f t="shared" si="16"/>
        <v>43344</v>
      </c>
      <c r="O59" s="1577">
        <f t="shared" si="16"/>
        <v>43313</v>
      </c>
      <c r="P59" s="1573"/>
    </row>
    <row r="60" spans="1:29" s="117" customFormat="1" ht="15">
      <c r="A60" s="509"/>
      <c r="B60" s="510"/>
      <c r="C60" s="1575">
        <v>100</v>
      </c>
      <c r="D60" s="512"/>
      <c r="E60" s="512"/>
      <c r="F60" s="512"/>
      <c r="G60" s="512"/>
      <c r="H60" s="512"/>
      <c r="I60" s="512"/>
      <c r="J60" s="512"/>
      <c r="K60" s="512"/>
      <c r="L60" s="512"/>
      <c r="M60" s="513"/>
      <c r="N60" s="512"/>
      <c r="O60" s="513"/>
      <c r="P60" s="2688"/>
    </row>
    <row r="61" spans="1:29" s="117" customFormat="1" ht="15.75" thickBot="1">
      <c r="A61" s="515" t="s">
        <v>2585</v>
      </c>
      <c r="B61" s="516"/>
      <c r="C61" s="517"/>
      <c r="D61" s="518"/>
      <c r="E61" s="518"/>
      <c r="F61" s="518"/>
      <c r="G61" s="518"/>
      <c r="H61" s="518"/>
      <c r="I61" s="518"/>
      <c r="J61" s="518"/>
      <c r="K61" s="518"/>
      <c r="L61" s="518"/>
      <c r="M61" s="519"/>
      <c r="N61" s="518"/>
      <c r="O61" s="519"/>
      <c r="P61" s="2688"/>
      <c r="Q61" s="504"/>
    </row>
    <row r="62" spans="1:29" s="117" customFormat="1" ht="15">
      <c r="A62" s="521" t="s">
        <v>2550</v>
      </c>
      <c r="B62" s="510"/>
      <c r="C62" s="522" t="s">
        <v>2652</v>
      </c>
      <c r="D62" s="523"/>
      <c r="E62" s="523"/>
      <c r="F62" s="523"/>
      <c r="G62" s="523"/>
      <c r="H62" s="523"/>
      <c r="I62" s="523"/>
      <c r="J62" s="523"/>
      <c r="K62" s="523"/>
      <c r="L62" s="524"/>
      <c r="M62" s="525"/>
      <c r="N62" s="1154"/>
      <c r="O62" s="1154"/>
      <c r="P62" s="2689"/>
      <c r="Q62" s="504"/>
    </row>
    <row r="63" spans="1:29" s="117" customFormat="1" ht="15.75" thickBot="1">
      <c r="A63" s="521"/>
      <c r="B63" s="510"/>
      <c r="C63" s="511">
        <v>100</v>
      </c>
      <c r="D63" s="512"/>
      <c r="E63" s="512"/>
      <c r="F63" s="512"/>
      <c r="G63" s="512"/>
      <c r="H63" s="512"/>
      <c r="I63" s="512"/>
      <c r="J63" s="512"/>
      <c r="K63" s="512"/>
      <c r="L63" s="512"/>
      <c r="M63" s="514"/>
      <c r="N63" s="1154"/>
      <c r="O63" s="1154"/>
      <c r="P63" s="2688"/>
      <c r="Q63" s="504"/>
    </row>
    <row r="64" spans="1:29">
      <c r="A64" s="527" t="s">
        <v>2588</v>
      </c>
      <c r="B64" s="528" t="s">
        <v>2554</v>
      </c>
      <c r="C64" s="529">
        <f>C9</f>
        <v>0</v>
      </c>
      <c r="D64" s="530"/>
      <c r="E64" s="530"/>
      <c r="F64" s="530"/>
      <c r="G64" s="530"/>
      <c r="H64" s="530"/>
      <c r="I64" s="530"/>
      <c r="J64" s="530"/>
      <c r="K64" s="531"/>
      <c r="L64" s="532"/>
      <c r="M64" s="533"/>
      <c r="N64" s="1155"/>
      <c r="O64" s="1155"/>
      <c r="P64" s="2690"/>
      <c r="Q64" s="504"/>
    </row>
    <row r="65" spans="1:17" ht="15.75" thickBot="1">
      <c r="A65" s="534"/>
      <c r="B65" s="535"/>
      <c r="C65" s="536">
        <v>100</v>
      </c>
      <c r="D65" s="536"/>
      <c r="E65" s="536"/>
      <c r="F65" s="536"/>
      <c r="G65" s="536"/>
      <c r="H65" s="536"/>
      <c r="I65" s="536"/>
      <c r="J65" s="536"/>
      <c r="K65" s="536"/>
      <c r="L65" s="536"/>
      <c r="M65" s="537"/>
      <c r="N65" s="1156"/>
      <c r="O65" s="1156"/>
      <c r="P65" s="2690"/>
      <c r="Q65" s="504"/>
    </row>
    <row r="66" spans="1:17" ht="27.75" thickTop="1">
      <c r="A66" s="534"/>
      <c r="B66" s="538" t="s">
        <v>2557</v>
      </c>
      <c r="C66" s="539" t="s">
        <v>2589</v>
      </c>
      <c r="D66" s="539" t="s">
        <v>2590</v>
      </c>
      <c r="E66" s="539" t="s">
        <v>2591</v>
      </c>
      <c r="F66" s="539" t="s">
        <v>2592</v>
      </c>
      <c r="G66" s="539" t="s">
        <v>2593</v>
      </c>
      <c r="H66" s="539" t="s">
        <v>2594</v>
      </c>
      <c r="I66" s="539" t="s">
        <v>2595</v>
      </c>
      <c r="J66" s="539"/>
      <c r="K66" s="540"/>
      <c r="L66" s="541"/>
      <c r="M66" s="542"/>
      <c r="N66" s="1155"/>
      <c r="O66" s="1155"/>
      <c r="P66" s="2690"/>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90"/>
      <c r="Q67" s="504"/>
    </row>
    <row r="68" spans="1:17" ht="15.75" thickTop="1">
      <c r="A68" s="534"/>
      <c r="B68" s="546" t="s">
        <v>2558</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90"/>
      <c r="Q68" s="504"/>
    </row>
    <row r="69" spans="1:17" ht="15">
      <c r="A69" s="534"/>
      <c r="B69" s="548"/>
      <c r="C69" s="549"/>
      <c r="D69" s="549"/>
      <c r="E69" s="549"/>
      <c r="F69" s="549"/>
      <c r="G69" s="549"/>
      <c r="H69" s="549"/>
      <c r="I69" s="549"/>
      <c r="J69" s="549"/>
      <c r="K69" s="550"/>
      <c r="L69" s="551"/>
      <c r="M69" s="552"/>
      <c r="N69" s="1155"/>
      <c r="O69" s="1155"/>
      <c r="P69" s="2690"/>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90"/>
      <c r="Q70" s="504"/>
    </row>
    <row r="71" spans="1:17" s="471" customFormat="1" ht="15.75" thickTop="1">
      <c r="A71" s="553"/>
      <c r="B71" s="538">
        <f>B12</f>
        <v>111</v>
      </c>
      <c r="C71" s="554"/>
      <c r="D71" s="554"/>
      <c r="E71" s="554"/>
      <c r="F71" s="554"/>
      <c r="G71" s="554"/>
      <c r="H71" s="555"/>
      <c r="I71" s="555"/>
      <c r="J71" s="555"/>
      <c r="K71" s="555"/>
      <c r="L71" s="556"/>
      <c r="M71" s="557"/>
      <c r="N71" s="1157"/>
      <c r="O71" s="1157"/>
      <c r="P71" s="2691"/>
      <c r="Q71" s="559"/>
    </row>
    <row r="72" spans="1:17" s="471" customFormat="1" ht="15.75" thickBot="1">
      <c r="A72" s="553"/>
      <c r="B72" s="543"/>
      <c r="C72" s="560"/>
      <c r="D72" s="536"/>
      <c r="E72" s="536"/>
      <c r="F72" s="536"/>
      <c r="G72" s="536"/>
      <c r="H72" s="536"/>
      <c r="I72" s="536"/>
      <c r="J72" s="536"/>
      <c r="K72" s="536"/>
      <c r="L72" s="536"/>
      <c r="M72" s="537"/>
      <c r="N72" s="1156"/>
      <c r="O72" s="1156"/>
      <c r="P72" s="2691"/>
      <c r="Q72" s="559"/>
    </row>
    <row r="73" spans="1:17" s="471" customFormat="1" ht="15.75" thickTop="1">
      <c r="A73" s="553"/>
      <c r="B73" s="538">
        <f>B13</f>
        <v>111</v>
      </c>
      <c r="C73" s="554"/>
      <c r="D73" s="554"/>
      <c r="E73" s="554"/>
      <c r="F73" s="554"/>
      <c r="G73" s="554"/>
      <c r="H73" s="555"/>
      <c r="I73" s="555"/>
      <c r="J73" s="555"/>
      <c r="K73" s="555"/>
      <c r="L73" s="556"/>
      <c r="M73" s="557"/>
      <c r="N73" s="1157"/>
      <c r="O73" s="1157"/>
      <c r="P73" s="2692"/>
      <c r="Q73" s="561"/>
    </row>
    <row r="74" spans="1:17" s="471" customFormat="1" ht="15.75" thickBot="1">
      <c r="A74" s="553"/>
      <c r="B74" s="543"/>
      <c r="C74" s="560"/>
      <c r="D74" s="560"/>
      <c r="E74" s="560"/>
      <c r="F74" s="560"/>
      <c r="G74" s="560"/>
      <c r="H74" s="562"/>
      <c r="I74" s="562"/>
      <c r="J74" s="562"/>
      <c r="K74" s="562"/>
      <c r="L74" s="562"/>
      <c r="M74" s="563"/>
      <c r="N74" s="1157"/>
      <c r="O74" s="1157"/>
      <c r="P74" s="2691"/>
      <c r="Q74" s="559"/>
    </row>
    <row r="75" spans="1:17" s="471" customFormat="1" ht="15.75" thickTop="1">
      <c r="A75" s="553"/>
      <c r="B75" s="546">
        <f>B14</f>
        <v>111</v>
      </c>
      <c r="C75" s="523"/>
      <c r="D75" s="523"/>
      <c r="E75" s="523"/>
      <c r="F75" s="523"/>
      <c r="G75" s="523"/>
      <c r="H75" s="564"/>
      <c r="I75" s="564"/>
      <c r="J75" s="564"/>
      <c r="K75" s="564"/>
      <c r="L75" s="565"/>
      <c r="M75" s="566"/>
      <c r="N75" s="1157"/>
      <c r="O75" s="1157"/>
      <c r="P75" s="2693"/>
      <c r="Q75" s="559"/>
    </row>
    <row r="76" spans="1:17" s="471" customFormat="1" ht="15.75" thickBot="1">
      <c r="A76" s="568"/>
      <c r="B76" s="569"/>
      <c r="C76" s="570"/>
      <c r="D76" s="570"/>
      <c r="E76" s="570"/>
      <c r="F76" s="570"/>
      <c r="G76" s="570"/>
      <c r="H76" s="571"/>
      <c r="I76" s="571"/>
      <c r="J76" s="571"/>
      <c r="K76" s="571"/>
      <c r="L76" s="571"/>
      <c r="M76" s="572"/>
      <c r="N76" s="1157"/>
      <c r="O76" s="1157"/>
      <c r="P76" s="2691"/>
      <c r="Q76" s="559"/>
    </row>
    <row r="77" spans="1:17">
      <c r="A77" s="527" t="s">
        <v>2559</v>
      </c>
      <c r="B77" s="528" t="s">
        <v>2697</v>
      </c>
      <c r="C77" s="573" t="s">
        <v>2597</v>
      </c>
      <c r="D77" s="573" t="s">
        <v>2598</v>
      </c>
      <c r="E77" s="573" t="s">
        <v>2599</v>
      </c>
      <c r="F77" s="573" t="s">
        <v>2600</v>
      </c>
      <c r="G77" s="573" t="s">
        <v>2601</v>
      </c>
      <c r="H77" s="529"/>
      <c r="I77" s="529"/>
      <c r="J77" s="529"/>
      <c r="K77" s="574"/>
      <c r="L77" s="575"/>
      <c r="M77" s="576"/>
      <c r="N77" s="1155"/>
      <c r="O77" s="1155"/>
      <c r="P77" s="2694"/>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90"/>
      <c r="Q78" s="504"/>
    </row>
    <row r="79" spans="1:17" ht="15.75" thickTop="1">
      <c r="A79" s="534"/>
      <c r="B79" s="538" t="s">
        <v>2602</v>
      </c>
      <c r="C79" s="578" t="s">
        <v>2597</v>
      </c>
      <c r="D79" s="578" t="s">
        <v>2598</v>
      </c>
      <c r="E79" s="578" t="s">
        <v>2599</v>
      </c>
      <c r="F79" s="578" t="s">
        <v>2600</v>
      </c>
      <c r="G79" s="578" t="s">
        <v>2601</v>
      </c>
      <c r="H79" s="539"/>
      <c r="I79" s="539"/>
      <c r="J79" s="539"/>
      <c r="K79" s="540"/>
      <c r="L79" s="541"/>
      <c r="M79" s="542"/>
      <c r="N79" s="1155"/>
      <c r="O79" s="1155"/>
      <c r="P79" s="2690"/>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90"/>
      <c r="Q80" s="504"/>
    </row>
    <row r="81" spans="1:17" ht="15.75" thickTop="1">
      <c r="A81" s="534"/>
      <c r="B81" s="538" t="s">
        <v>2603</v>
      </c>
      <c r="C81" s="578" t="s">
        <v>2597</v>
      </c>
      <c r="D81" s="578" t="s">
        <v>2598</v>
      </c>
      <c r="E81" s="578" t="s">
        <v>2599</v>
      </c>
      <c r="F81" s="578" t="s">
        <v>2600</v>
      </c>
      <c r="G81" s="578" t="s">
        <v>2601</v>
      </c>
      <c r="H81" s="539"/>
      <c r="I81" s="539"/>
      <c r="J81" s="539"/>
      <c r="K81" s="540"/>
      <c r="L81" s="541"/>
      <c r="M81" s="542"/>
      <c r="N81" s="1155"/>
      <c r="O81" s="1155"/>
      <c r="P81" s="2690"/>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90"/>
      <c r="Q82" s="504"/>
    </row>
    <row r="83" spans="1:17" ht="15.75" thickTop="1">
      <c r="A83" s="534"/>
      <c r="B83" s="546" t="s">
        <v>2689</v>
      </c>
      <c r="C83" s="660" t="s">
        <v>2675</v>
      </c>
      <c r="D83" s="660" t="s">
        <v>2676</v>
      </c>
      <c r="E83" s="660" t="s">
        <v>2677</v>
      </c>
      <c r="F83" s="660" t="s">
        <v>2678</v>
      </c>
      <c r="G83" s="660" t="s">
        <v>2679</v>
      </c>
      <c r="H83" s="539"/>
      <c r="I83" s="539"/>
      <c r="J83" s="539"/>
      <c r="K83" s="539"/>
      <c r="L83" s="539"/>
      <c r="M83" s="1385"/>
      <c r="N83" s="1156"/>
      <c r="O83" s="1156"/>
      <c r="P83" s="2690"/>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90"/>
      <c r="Q84" s="504"/>
    </row>
    <row r="85" spans="1:17" ht="15.75" thickTop="1">
      <c r="A85" s="534"/>
      <c r="B85" s="538" t="s">
        <v>2698</v>
      </c>
      <c r="C85" s="578" t="s">
        <v>2597</v>
      </c>
      <c r="D85" s="578" t="s">
        <v>2598</v>
      </c>
      <c r="E85" s="578" t="s">
        <v>2599</v>
      </c>
      <c r="F85" s="578" t="s">
        <v>2600</v>
      </c>
      <c r="G85" s="578" t="s">
        <v>2601</v>
      </c>
      <c r="H85" s="539"/>
      <c r="I85" s="539"/>
      <c r="J85" s="539"/>
      <c r="K85" s="540"/>
      <c r="L85" s="541"/>
      <c r="M85" s="542"/>
      <c r="N85" s="1155"/>
      <c r="O85" s="1155"/>
      <c r="P85" s="2690"/>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90"/>
      <c r="Q86" s="504"/>
    </row>
    <row r="87" spans="1:17" s="117" customFormat="1" ht="27.75" thickTop="1">
      <c r="A87" s="579"/>
      <c r="B87" s="538" t="s">
        <v>2699</v>
      </c>
      <c r="C87" s="554"/>
      <c r="D87" s="554"/>
      <c r="E87" s="554"/>
      <c r="F87" s="554"/>
      <c r="G87" s="554"/>
      <c r="H87" s="554"/>
      <c r="I87" s="554"/>
      <c r="J87" s="554"/>
      <c r="K87" s="554"/>
      <c r="L87" s="580"/>
      <c r="M87" s="581"/>
      <c r="N87" s="1154"/>
      <c r="O87" s="1154"/>
      <c r="P87" s="2690"/>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90"/>
      <c r="Q88" s="504"/>
    </row>
    <row r="89" spans="1:17" s="117" customFormat="1" ht="15.75" thickTop="1">
      <c r="A89" s="579"/>
      <c r="B89" s="538" t="str">
        <f>B27</f>
        <v>楼层</v>
      </c>
      <c r="C89" s="554"/>
      <c r="D89" s="554"/>
      <c r="E89" s="554"/>
      <c r="F89" s="2641"/>
      <c r="G89" s="554"/>
      <c r="H89" s="554"/>
      <c r="I89" s="554"/>
      <c r="J89" s="554"/>
      <c r="K89" s="554"/>
      <c r="L89" s="554"/>
      <c r="M89" s="581"/>
      <c r="N89" s="1154"/>
      <c r="O89" s="1154"/>
      <c r="P89" s="2690"/>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90"/>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91"/>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91"/>
      <c r="Q92" s="559"/>
    </row>
    <row r="93" spans="1:17" ht="15.75" thickTop="1">
      <c r="A93" s="534"/>
      <c r="B93" s="538">
        <f>B29</f>
        <v>111</v>
      </c>
      <c r="C93" s="554"/>
      <c r="D93" s="554"/>
      <c r="E93" s="554"/>
      <c r="F93" s="554"/>
      <c r="G93" s="554"/>
      <c r="H93" s="554"/>
      <c r="I93" s="554"/>
      <c r="J93" s="554"/>
      <c r="K93" s="554"/>
      <c r="L93" s="580"/>
      <c r="M93" s="581"/>
      <c r="N93" s="1155"/>
      <c r="O93" s="1155"/>
      <c r="P93" s="2690"/>
      <c r="Q93" s="504"/>
    </row>
    <row r="94" spans="1:17" ht="15.75" thickBot="1">
      <c r="A94" s="534"/>
      <c r="B94" s="543"/>
      <c r="C94" s="560"/>
      <c r="D94" s="536"/>
      <c r="E94" s="536"/>
      <c r="F94" s="536"/>
      <c r="G94" s="536"/>
      <c r="H94" s="536"/>
      <c r="I94" s="536"/>
      <c r="J94" s="536"/>
      <c r="K94" s="536"/>
      <c r="L94" s="536"/>
      <c r="M94" s="537"/>
      <c r="N94" s="1156"/>
      <c r="O94" s="1156"/>
      <c r="P94" s="2690"/>
      <c r="Q94" s="504"/>
    </row>
    <row r="95" spans="1:17" ht="15.75" thickTop="1">
      <c r="A95" s="534"/>
      <c r="B95" s="538">
        <f>B30</f>
        <v>111</v>
      </c>
      <c r="C95" s="554"/>
      <c r="D95" s="554"/>
      <c r="E95" s="554"/>
      <c r="F95" s="554"/>
      <c r="G95" s="583"/>
      <c r="H95" s="583"/>
      <c r="I95" s="583"/>
      <c r="J95" s="583"/>
      <c r="K95" s="584"/>
      <c r="L95" s="585"/>
      <c r="M95" s="586"/>
      <c r="N95" s="1155"/>
      <c r="O95" s="1155"/>
      <c r="P95" s="2690"/>
      <c r="Q95" s="504"/>
    </row>
    <row r="96" spans="1:17" ht="15.75" thickBot="1">
      <c r="A96" s="534"/>
      <c r="B96" s="543"/>
      <c r="C96" s="560"/>
      <c r="D96" s="560"/>
      <c r="E96" s="560"/>
      <c r="F96" s="560"/>
      <c r="G96" s="536"/>
      <c r="H96" s="536"/>
      <c r="I96" s="536"/>
      <c r="J96" s="536"/>
      <c r="K96" s="536"/>
      <c r="L96" s="536"/>
      <c r="M96" s="537"/>
      <c r="N96" s="1156"/>
      <c r="O96" s="1156"/>
      <c r="P96" s="2690"/>
      <c r="Q96" s="504"/>
    </row>
    <row r="97" spans="1:17" ht="15.75" thickTop="1">
      <c r="A97" s="534"/>
      <c r="B97" s="538">
        <f>B31</f>
        <v>111</v>
      </c>
      <c r="C97" s="554"/>
      <c r="D97" s="554"/>
      <c r="E97" s="554"/>
      <c r="F97" s="554"/>
      <c r="G97" s="583"/>
      <c r="H97" s="583"/>
      <c r="I97" s="583"/>
      <c r="J97" s="583"/>
      <c r="K97" s="584"/>
      <c r="L97" s="585"/>
      <c r="M97" s="586"/>
      <c r="N97" s="1155"/>
      <c r="O97" s="1155"/>
      <c r="P97" s="2690"/>
      <c r="Q97" s="504"/>
    </row>
    <row r="98" spans="1:17" ht="15.75" thickBot="1">
      <c r="A98" s="534"/>
      <c r="B98" s="543"/>
      <c r="C98" s="560"/>
      <c r="D98" s="536"/>
      <c r="E98" s="536"/>
      <c r="F98" s="536"/>
      <c r="G98" s="536"/>
      <c r="H98" s="536"/>
      <c r="I98" s="536"/>
      <c r="J98" s="536"/>
      <c r="K98" s="536"/>
      <c r="L98" s="536"/>
      <c r="M98" s="537"/>
      <c r="N98" s="1156"/>
      <c r="O98" s="1156"/>
      <c r="P98" s="2690"/>
      <c r="Q98" s="504"/>
    </row>
    <row r="99" spans="1:17" ht="15.75" thickTop="1">
      <c r="A99" s="534"/>
      <c r="B99" s="546">
        <f>B32</f>
        <v>111</v>
      </c>
      <c r="C99" s="523"/>
      <c r="D99" s="523"/>
      <c r="E99" s="523"/>
      <c r="F99" s="523"/>
      <c r="G99" s="587"/>
      <c r="H99" s="587"/>
      <c r="I99" s="587"/>
      <c r="J99" s="587"/>
      <c r="K99" s="588"/>
      <c r="L99" s="589"/>
      <c r="M99" s="590"/>
      <c r="N99" s="1155"/>
      <c r="O99" s="1155"/>
      <c r="P99" s="2690"/>
      <c r="Q99" s="504"/>
    </row>
    <row r="100" spans="1:17" ht="15.75" thickBot="1">
      <c r="A100" s="2642"/>
      <c r="B100" s="569"/>
      <c r="C100" s="570"/>
      <c r="D100" s="570"/>
      <c r="E100" s="570"/>
      <c r="F100" s="570"/>
      <c r="G100" s="591"/>
      <c r="H100" s="591"/>
      <c r="I100" s="591"/>
      <c r="J100" s="591"/>
      <c r="K100" s="591"/>
      <c r="L100" s="591"/>
      <c r="M100" s="592"/>
      <c r="N100" s="1156"/>
      <c r="O100" s="1156"/>
      <c r="P100" s="2690"/>
      <c r="Q100" s="504"/>
    </row>
    <row r="101" spans="1:17">
      <c r="A101" s="527" t="s">
        <v>2563</v>
      </c>
      <c r="B101" s="528" t="s">
        <v>2612</v>
      </c>
      <c r="C101" s="530"/>
      <c r="D101" s="530"/>
      <c r="E101" s="530"/>
      <c r="F101" s="530"/>
      <c r="G101" s="530"/>
      <c r="H101" s="530"/>
      <c r="I101" s="530"/>
      <c r="J101" s="530"/>
      <c r="K101" s="531"/>
      <c r="L101" s="532"/>
      <c r="M101" s="533"/>
      <c r="N101" s="1155"/>
      <c r="O101" s="1155"/>
      <c r="P101" s="2690"/>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90"/>
      <c r="Q102" s="504"/>
    </row>
    <row r="103" spans="1:17" ht="15.75" thickTop="1">
      <c r="A103" s="534"/>
      <c r="B103" s="538" t="s">
        <v>2613</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90"/>
      <c r="Q103" s="504"/>
    </row>
    <row r="104" spans="1:17" s="471" customFormat="1">
      <c r="A104" s="593"/>
      <c r="B104" s="594"/>
      <c r="C104" s="595"/>
      <c r="D104" s="595"/>
      <c r="E104" s="595"/>
      <c r="F104" s="595"/>
      <c r="G104" s="595"/>
      <c r="H104" s="595"/>
      <c r="I104" s="595"/>
      <c r="J104" s="596"/>
      <c r="K104" s="596"/>
      <c r="L104" s="597"/>
      <c r="M104" s="598"/>
      <c r="N104" s="1157"/>
      <c r="O104" s="1157"/>
      <c r="P104" s="2691"/>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91"/>
      <c r="Q105" s="559"/>
    </row>
    <row r="106" spans="1:17" ht="15" thickTop="1">
      <c r="A106" s="599"/>
      <c r="B106" s="538" t="s">
        <v>2614</v>
      </c>
      <c r="C106" s="554"/>
      <c r="D106" s="554"/>
      <c r="E106" s="583"/>
      <c r="F106" s="583"/>
      <c r="G106" s="583"/>
      <c r="H106" s="583"/>
      <c r="I106" s="583"/>
      <c r="J106" s="583"/>
      <c r="K106" s="584"/>
      <c r="L106" s="585"/>
      <c r="M106" s="586"/>
      <c r="N106" s="1155"/>
      <c r="O106" s="1155"/>
      <c r="P106" s="2690"/>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90"/>
      <c r="Q107" s="504"/>
    </row>
    <row r="108" spans="1:17" ht="15" thickTop="1">
      <c r="A108" s="599"/>
      <c r="B108" s="538" t="s">
        <v>2616</v>
      </c>
      <c r="C108" s="554"/>
      <c r="D108" s="554"/>
      <c r="E108" s="554"/>
      <c r="F108" s="583"/>
      <c r="G108" s="583"/>
      <c r="H108" s="583"/>
      <c r="I108" s="583"/>
      <c r="J108" s="583"/>
      <c r="K108" s="584"/>
      <c r="L108" s="585"/>
      <c r="M108" s="586"/>
      <c r="N108" s="1155"/>
      <c r="O108" s="1155"/>
      <c r="P108" s="2690"/>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90"/>
      <c r="Q109" s="504"/>
    </row>
    <row r="110" spans="1:17" ht="15" thickTop="1">
      <c r="A110" s="599"/>
      <c r="B110" s="538" t="s">
        <v>1996</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90"/>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90"/>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90"/>
      <c r="Q112" s="504"/>
    </row>
    <row r="113" spans="1:17" s="471" customFormat="1" ht="15" thickTop="1">
      <c r="A113" s="593"/>
      <c r="B113" s="538" t="s">
        <v>2700</v>
      </c>
      <c r="C113" s="554"/>
      <c r="D113" s="554"/>
      <c r="E113" s="554"/>
      <c r="F113" s="554"/>
      <c r="G113" s="554"/>
      <c r="H113" s="583"/>
      <c r="I113" s="583"/>
      <c r="J113" s="583"/>
      <c r="K113" s="584"/>
      <c r="L113" s="585"/>
      <c r="M113" s="586"/>
      <c r="N113" s="1157"/>
      <c r="O113" s="1157"/>
      <c r="P113" s="2691"/>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91"/>
      <c r="Q114" s="559"/>
    </row>
    <row r="115" spans="1:17" ht="15" thickTop="1">
      <c r="A115" s="599"/>
      <c r="B115" s="538" t="s">
        <v>2617</v>
      </c>
      <c r="C115" s="554"/>
      <c r="D115" s="554"/>
      <c r="E115" s="583"/>
      <c r="F115" s="583"/>
      <c r="G115" s="583"/>
      <c r="H115" s="583"/>
      <c r="I115" s="583"/>
      <c r="J115" s="583"/>
      <c r="K115" s="584"/>
      <c r="L115" s="585"/>
      <c r="M115" s="586"/>
      <c r="N115" s="1155"/>
      <c r="O115" s="1155"/>
      <c r="P115" s="2690"/>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90"/>
      <c r="Q116" s="504"/>
    </row>
    <row r="117" spans="1:17" ht="15" thickTop="1">
      <c r="A117" s="599"/>
      <c r="B117" s="538" t="s">
        <v>2618</v>
      </c>
      <c r="C117" s="554"/>
      <c r="D117" s="554"/>
      <c r="E117" s="554"/>
      <c r="F117" s="554"/>
      <c r="G117" s="554"/>
      <c r="H117" s="583"/>
      <c r="I117" s="583"/>
      <c r="J117" s="583"/>
      <c r="K117" s="584"/>
      <c r="L117" s="585"/>
      <c r="M117" s="586"/>
      <c r="N117" s="1155"/>
      <c r="O117" s="1155"/>
      <c r="P117" s="2690"/>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90"/>
      <c r="Q118" s="504"/>
    </row>
    <row r="119" spans="1:17" ht="15" thickTop="1">
      <c r="A119" s="599"/>
      <c r="B119" s="636" t="s">
        <v>2701</v>
      </c>
      <c r="C119" s="583"/>
      <c r="D119" s="583"/>
      <c r="E119" s="583"/>
      <c r="F119" s="583"/>
      <c r="G119" s="583"/>
      <c r="H119" s="583"/>
      <c r="I119" s="583"/>
      <c r="J119" s="583"/>
      <c r="K119" s="583"/>
      <c r="L119" s="2695"/>
      <c r="M119" s="2696"/>
      <c r="N119" s="1156"/>
      <c r="O119" s="1156"/>
      <c r="P119" s="2697"/>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90"/>
      <c r="Q120" s="504"/>
    </row>
    <row r="121" spans="1:17" s="471" customFormat="1" ht="15" thickTop="1">
      <c r="A121" s="593"/>
      <c r="B121" s="538" t="s">
        <v>2684</v>
      </c>
      <c r="C121" s="554"/>
      <c r="D121" s="554"/>
      <c r="E121" s="554"/>
      <c r="F121" s="583"/>
      <c r="G121" s="555"/>
      <c r="H121" s="555"/>
      <c r="I121" s="555"/>
      <c r="J121" s="555"/>
      <c r="K121" s="555"/>
      <c r="L121" s="556"/>
      <c r="M121" s="557"/>
      <c r="N121" s="1157"/>
      <c r="O121" s="1157"/>
      <c r="P121" s="2691"/>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91"/>
      <c r="Q122" s="559"/>
    </row>
    <row r="123" spans="1:17" ht="15" thickTop="1">
      <c r="A123" s="599"/>
      <c r="B123" s="538" t="s">
        <v>2620</v>
      </c>
      <c r="C123" s="554"/>
      <c r="D123" s="554"/>
      <c r="E123" s="554"/>
      <c r="F123" s="583"/>
      <c r="G123" s="583"/>
      <c r="H123" s="583"/>
      <c r="I123" s="583"/>
      <c r="J123" s="583"/>
      <c r="K123" s="584"/>
      <c r="L123" s="585"/>
      <c r="M123" s="586"/>
      <c r="N123" s="1155"/>
      <c r="O123" s="1155"/>
      <c r="P123" s="2690"/>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90"/>
      <c r="Q124" s="504"/>
    </row>
    <row r="125" spans="1:17" ht="15" thickTop="1">
      <c r="A125" s="599"/>
      <c r="B125" s="538" t="s">
        <v>2621</v>
      </c>
      <c r="C125" s="578" t="s">
        <v>2597</v>
      </c>
      <c r="D125" s="578" t="s">
        <v>2598</v>
      </c>
      <c r="E125" s="578" t="s">
        <v>2599</v>
      </c>
      <c r="F125" s="578" t="s">
        <v>2600</v>
      </c>
      <c r="G125" s="578" t="s">
        <v>2601</v>
      </c>
      <c r="H125" s="539"/>
      <c r="I125" s="539"/>
      <c r="J125" s="539"/>
      <c r="K125" s="540"/>
      <c r="L125" s="541"/>
      <c r="M125" s="542"/>
      <c r="N125" s="1155"/>
      <c r="O125" s="1155"/>
      <c r="P125" s="2691"/>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90"/>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91"/>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91"/>
      <c r="Q128" s="559"/>
    </row>
    <row r="129" spans="1:17" ht="15" thickTop="1">
      <c r="A129" s="599"/>
      <c r="B129" s="538">
        <f>B46</f>
        <v>111</v>
      </c>
      <c r="C129" s="554"/>
      <c r="D129" s="554"/>
      <c r="E129" s="554"/>
      <c r="F129" s="554"/>
      <c r="G129" s="583"/>
      <c r="H129" s="583"/>
      <c r="I129" s="583"/>
      <c r="J129" s="583"/>
      <c r="K129" s="584"/>
      <c r="L129" s="585"/>
      <c r="M129" s="586"/>
      <c r="N129" s="1155"/>
      <c r="O129" s="1155"/>
      <c r="P129" s="2690"/>
      <c r="Q129" s="504"/>
    </row>
    <row r="130" spans="1:17" ht="15.75" thickBot="1">
      <c r="A130" s="534"/>
      <c r="B130" s="543"/>
      <c r="C130" s="560"/>
      <c r="D130" s="560"/>
      <c r="E130" s="560"/>
      <c r="F130" s="560"/>
      <c r="G130" s="536"/>
      <c r="H130" s="536"/>
      <c r="I130" s="536"/>
      <c r="J130" s="536"/>
      <c r="K130" s="536"/>
      <c r="L130" s="536"/>
      <c r="M130" s="537"/>
      <c r="N130" s="1156"/>
      <c r="O130" s="1156"/>
      <c r="P130" s="2690"/>
      <c r="Q130" s="504"/>
    </row>
    <row r="131" spans="1:17" ht="15" thickTop="1">
      <c r="A131" s="599"/>
      <c r="B131" s="546">
        <f>B47</f>
        <v>111</v>
      </c>
      <c r="C131" s="523"/>
      <c r="D131" s="523"/>
      <c r="E131" s="523"/>
      <c r="F131" s="523"/>
      <c r="G131" s="587"/>
      <c r="H131" s="587"/>
      <c r="I131" s="587"/>
      <c r="J131" s="587"/>
      <c r="K131" s="523"/>
      <c r="L131" s="524"/>
      <c r="M131" s="590"/>
      <c r="N131" s="1155"/>
      <c r="O131" s="1155"/>
      <c r="P131" s="2690"/>
      <c r="Q131" s="504"/>
    </row>
    <row r="132" spans="1:17" ht="15.75" thickBot="1">
      <c r="A132" s="2642"/>
      <c r="B132" s="569"/>
      <c r="C132" s="570"/>
      <c r="D132" s="570"/>
      <c r="E132" s="570"/>
      <c r="F132" s="570"/>
      <c r="G132" s="591"/>
      <c r="H132" s="591"/>
      <c r="I132" s="591"/>
      <c r="J132" s="591"/>
      <c r="K132" s="591"/>
      <c r="L132" s="591"/>
      <c r="M132" s="592"/>
      <c r="N132" s="1156"/>
      <c r="O132" s="1156"/>
      <c r="P132" s="2690"/>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2528</v>
      </c>
      <c r="B1" s="2675" t="s">
        <v>2702</v>
      </c>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IF(C2="——",ROUND(C43*D3/10000,0),ROUND(C43*D3/10000,0)-D2)</f>
        <v>#DIV/0!</v>
      </c>
      <c r="C2" s="2592"/>
      <c r="D2" s="1127" t="e">
        <f ca="1">SUMIF(INDIRECT("'"&amp;F2&amp;"'"&amp;"!A:A"),"承租人权益价值",INDIRECT("'"&amp;F2&amp;"'"&amp;"!c:c"))</f>
        <v>#REF!</v>
      </c>
      <c r="E2" s="2593" t="s">
        <v>2331</v>
      </c>
      <c r="F2" s="2594"/>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2332</v>
      </c>
      <c r="B3" s="609" t="e">
        <f ca="1">IF(C2="——",C43,ROUND(B2*10000/D3,0))</f>
        <v>#DIV/0!</v>
      </c>
      <c r="C3" s="400" t="s">
        <v>2644</v>
      </c>
      <c r="D3" s="399">
        <f>IF(D1="",'数据-汇总表'!E3,SUMIF('数据-汇总表'!$C19:$C33,D1,'数据-汇总表'!$E19:$E33))</f>
        <v>34338.32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5" t="s">
        <v>2648</v>
      </c>
      <c r="AC4" s="3224" t="s">
        <v>2649</v>
      </c>
    </row>
    <row r="5" spans="1:29" ht="15">
      <c r="A5" s="404"/>
      <c r="B5" s="405"/>
      <c r="C5" s="3244" t="s">
        <v>2542</v>
      </c>
      <c r="D5" s="3245"/>
      <c r="E5" s="3251" t="s">
        <v>2543</v>
      </c>
      <c r="F5" s="3252"/>
      <c r="G5" s="3244" t="s">
        <v>2544</v>
      </c>
      <c r="H5" s="3245"/>
      <c r="I5" s="3244" t="s">
        <v>2545</v>
      </c>
      <c r="J5" s="3245"/>
      <c r="K5" s="610"/>
      <c r="L5" s="1133"/>
      <c r="M5" s="1134"/>
      <c r="N5" s="1134"/>
      <c r="O5" s="1134"/>
      <c r="P5" s="3232"/>
      <c r="Q5" s="3233"/>
      <c r="R5" s="3238"/>
      <c r="S5" s="3239"/>
      <c r="T5" s="3238"/>
      <c r="U5" s="3239"/>
      <c r="V5" s="3223"/>
      <c r="W5" s="3223"/>
      <c r="X5" s="1815"/>
      <c r="Y5" s="3238"/>
      <c r="Z5" s="3239"/>
      <c r="AA5" s="3225"/>
      <c r="AB5" s="3225"/>
      <c r="AC5" s="3225"/>
    </row>
    <row r="6" spans="1:29" ht="15.75" thickBot="1">
      <c r="A6" s="406"/>
      <c r="B6" s="407"/>
      <c r="C6" s="3242" t="s">
        <v>2546</v>
      </c>
      <c r="D6" s="3243"/>
      <c r="E6" s="3249" t="s">
        <v>2546</v>
      </c>
      <c r="F6" s="3250"/>
      <c r="G6" s="3242" t="s">
        <v>2546</v>
      </c>
      <c r="H6" s="3243"/>
      <c r="I6" s="3242" t="s">
        <v>2546</v>
      </c>
      <c r="J6" s="3243"/>
      <c r="K6" s="610" t="s">
        <v>2547</v>
      </c>
      <c r="L6" s="1133"/>
      <c r="M6" s="1134"/>
      <c r="N6" s="1134"/>
      <c r="O6" s="1134"/>
      <c r="P6" s="3234"/>
      <c r="Q6" s="3235"/>
      <c r="R6" s="3238"/>
      <c r="S6" s="3239"/>
      <c r="T6" s="3240"/>
      <c r="U6" s="3241"/>
      <c r="V6" s="3223"/>
      <c r="W6" s="3223"/>
      <c r="X6" s="1815"/>
      <c r="Y6" s="3240"/>
      <c r="Z6" s="3241"/>
      <c r="AA6" s="3226"/>
      <c r="AB6" s="3226"/>
      <c r="AC6" s="3226"/>
    </row>
    <row r="7" spans="1:29" s="117" customFormat="1" ht="15.75" thickBot="1">
      <c r="A7" s="408" t="s">
        <v>2548</v>
      </c>
      <c r="B7" s="409"/>
      <c r="C7" s="410">
        <f>'数据-取费表'!B2</f>
        <v>43689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46" t="s">
        <v>2549</v>
      </c>
      <c r="Q7" s="3248"/>
      <c r="R7" s="770" t="s">
        <v>17</v>
      </c>
      <c r="S7" s="771">
        <f t="shared" ref="S7:S15" si="0">F7</f>
        <v>0</v>
      </c>
      <c r="T7" s="770" t="s">
        <v>17</v>
      </c>
      <c r="U7" s="771">
        <f t="shared" ref="U7:U15" si="1">H7</f>
        <v>0</v>
      </c>
      <c r="V7" s="770" t="s">
        <v>17</v>
      </c>
      <c r="W7" s="771">
        <f t="shared" ref="W7:W15" si="2">J7</f>
        <v>0</v>
      </c>
      <c r="X7" s="772"/>
      <c r="Y7" s="3246" t="s">
        <v>2549</v>
      </c>
      <c r="Z7" s="3247"/>
      <c r="AA7" s="773" t="e">
        <f>D7/F7</f>
        <v>#DIV/0!</v>
      </c>
      <c r="AB7" s="773" t="e">
        <f>D7/H7</f>
        <v>#DIV/0!</v>
      </c>
      <c r="AC7" s="773" t="e">
        <f>D7/J7</f>
        <v>#DIV/0!</v>
      </c>
    </row>
    <row r="8" spans="1:29" s="117" customFormat="1" ht="15.75" thickBot="1">
      <c r="A8" s="408" t="s">
        <v>2550</v>
      </c>
      <c r="B8" s="409"/>
      <c r="C8" s="414" t="s">
        <v>2551</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46" t="s">
        <v>2552</v>
      </c>
      <c r="Q8" s="3247"/>
      <c r="R8" s="770" t="s">
        <v>17</v>
      </c>
      <c r="S8" s="771">
        <f t="shared" si="0"/>
        <v>0</v>
      </c>
      <c r="T8" s="770" t="s">
        <v>17</v>
      </c>
      <c r="U8" s="771">
        <f t="shared" si="1"/>
        <v>0</v>
      </c>
      <c r="V8" s="770" t="s">
        <v>17</v>
      </c>
      <c r="W8" s="771">
        <f t="shared" si="2"/>
        <v>0</v>
      </c>
      <c r="X8" s="772"/>
      <c r="Y8" s="3246" t="s">
        <v>2552</v>
      </c>
      <c r="Z8" s="3247"/>
      <c r="AA8" s="773" t="e">
        <f t="shared" ref="AA8:AA40" si="3">D8/F8</f>
        <v>#DIV/0!</v>
      </c>
      <c r="AB8" s="773" t="e">
        <f t="shared" ref="AB8:AB40" si="4">D8/H8</f>
        <v>#DIV/0!</v>
      </c>
      <c r="AC8" s="773" t="e">
        <f t="shared" ref="AC8:AC40" si="5">D8/J8</f>
        <v>#DIV/0!</v>
      </c>
    </row>
    <row r="9" spans="1:29" s="117" customFormat="1">
      <c r="A9" s="415" t="s">
        <v>2553</v>
      </c>
      <c r="B9" s="71" t="s">
        <v>2554</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7" t="s">
        <v>2555</v>
      </c>
      <c r="Q9" s="1797" t="str">
        <f t="shared" ref="Q9:Q15" si="6">B9</f>
        <v>用途</v>
      </c>
      <c r="R9" s="770" t="s">
        <v>17</v>
      </c>
      <c r="S9" s="771">
        <f t="shared" si="0"/>
        <v>100</v>
      </c>
      <c r="T9" s="770" t="s">
        <v>17</v>
      </c>
      <c r="U9" s="771">
        <f t="shared" si="1"/>
        <v>100</v>
      </c>
      <c r="V9" s="770" t="s">
        <v>17</v>
      </c>
      <c r="W9" s="771">
        <f t="shared" si="2"/>
        <v>100</v>
      </c>
      <c r="X9" s="772"/>
      <c r="Y9" s="3064" t="s">
        <v>2556</v>
      </c>
      <c r="Z9" s="55" t="str">
        <f t="shared" ref="Z9:Z15" si="7">Q9</f>
        <v>用途</v>
      </c>
      <c r="AA9" s="773">
        <f t="shared" si="3"/>
        <v>1</v>
      </c>
      <c r="AB9" s="773">
        <f t="shared" si="4"/>
        <v>1</v>
      </c>
      <c r="AC9" s="773">
        <f t="shared" si="5"/>
        <v>1</v>
      </c>
    </row>
    <row r="10" spans="1:29" s="427" customFormat="1" ht="27">
      <c r="A10" s="421"/>
      <c r="B10" s="422" t="s">
        <v>2557</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7"/>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422" t="s">
        <v>2558</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7"/>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434"/>
      <c r="F12" s="136">
        <f>SUMIF(64:64,E12,65:65)-SUMIF(64:64,C12,65:65)+100</f>
        <v>100</v>
      </c>
      <c r="G12" s="2698"/>
      <c r="H12" s="136">
        <f>SUMIF(64:64,G12,65:65)-SUMIF(64:64,C12,65:65)+100</f>
        <v>100</v>
      </c>
      <c r="I12" s="469"/>
      <c r="J12" s="136">
        <f>SUMIF(64:64,I12,65:65)-SUMIF(64:64,C12,65:65)+100</f>
        <v>100</v>
      </c>
      <c r="K12" s="613"/>
      <c r="L12" s="1135"/>
      <c r="M12" s="1136"/>
      <c r="N12" s="1136"/>
      <c r="O12" s="1137"/>
      <c r="P12" s="3217"/>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434"/>
      <c r="F13" s="136">
        <f>SUMIF(66:66,E13,67:67)-SUMIF(66:66,C13,67:67)+100</f>
        <v>100</v>
      </c>
      <c r="G13" s="2698"/>
      <c r="H13" s="435">
        <f>SUMIF(66:66,G13,67:67)-SUMIF(66:66,C13,67:67)+100</f>
        <v>100</v>
      </c>
      <c r="I13" s="469"/>
      <c r="J13" s="435">
        <f>SUMIF(66:66,I13,67:67)-SUMIF(66:66,C13,67:67)+100</f>
        <v>100</v>
      </c>
      <c r="K13" s="613"/>
      <c r="L13" s="1143"/>
      <c r="M13" s="1134"/>
      <c r="N13" s="1134"/>
      <c r="O13" s="1142"/>
      <c r="P13" s="3217"/>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437"/>
      <c r="F14" s="438">
        <f>SUMIF(68:68,E14,69:69)-SUMIF(68:68,C14,69:69)+100</f>
        <v>100</v>
      </c>
      <c r="G14" s="2698"/>
      <c r="H14" s="438">
        <f>SUMIF(68:68,G14,69:69)-SUMIF(68:68,C14,69:69)+100</f>
        <v>100</v>
      </c>
      <c r="I14" s="469"/>
      <c r="J14" s="438">
        <f>SUMIF(68:68,I14,69:69)-SUMIF(68:68,C14,69:69)+100</f>
        <v>100</v>
      </c>
      <c r="K14" s="613"/>
      <c r="L14" s="1143"/>
      <c r="M14" s="1134"/>
      <c r="N14" s="1134"/>
      <c r="O14" s="1142"/>
      <c r="P14" s="3217"/>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2559</v>
      </c>
      <c r="B15" s="69" t="s">
        <v>2703</v>
      </c>
      <c r="C15" s="2699"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9" t="s">
        <v>2560</v>
      </c>
      <c r="Q15" s="1812" t="str">
        <f t="shared" si="6"/>
        <v>产业集聚程度</v>
      </c>
      <c r="R15" s="774" t="s">
        <v>17</v>
      </c>
      <c r="S15" s="775">
        <f t="shared" si="0"/>
        <v>100</v>
      </c>
      <c r="T15" s="774" t="s">
        <v>17</v>
      </c>
      <c r="U15" s="775">
        <f t="shared" si="1"/>
        <v>100</v>
      </c>
      <c r="V15" s="774" t="s">
        <v>17</v>
      </c>
      <c r="W15" s="775">
        <f t="shared" si="2"/>
        <v>100</v>
      </c>
      <c r="X15" s="1815"/>
      <c r="Y15" s="3219" t="s">
        <v>2560</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220"/>
      <c r="Q16" s="1812"/>
      <c r="R16" s="774"/>
      <c r="S16" s="775"/>
      <c r="T16" s="774"/>
      <c r="U16" s="775"/>
      <c r="V16" s="774"/>
      <c r="W16" s="775"/>
      <c r="X16" s="1815"/>
      <c r="Y16" s="3220"/>
      <c r="Z16" s="1816"/>
      <c r="AA16" s="1813">
        <v>1</v>
      </c>
      <c r="AB16" s="1813">
        <v>1</v>
      </c>
      <c r="AC16" s="1813">
        <v>1</v>
      </c>
    </row>
    <row r="17" spans="1:29" ht="85.5">
      <c r="A17" s="428"/>
      <c r="B17" s="451" t="s">
        <v>2098</v>
      </c>
      <c r="C17" s="2613"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0"/>
      <c r="Q17" s="1812" t="str">
        <f>B17</f>
        <v>交通便捷度</v>
      </c>
      <c r="R17" s="774" t="s">
        <v>17</v>
      </c>
      <c r="S17" s="775">
        <f>F17</f>
        <v>100</v>
      </c>
      <c r="T17" s="774" t="s">
        <v>17</v>
      </c>
      <c r="U17" s="775">
        <f>H17</f>
        <v>100</v>
      </c>
      <c r="V17" s="774" t="s">
        <v>17</v>
      </c>
      <c r="W17" s="775">
        <f>J17</f>
        <v>100</v>
      </c>
      <c r="X17" s="1815"/>
      <c r="Y17" s="3220"/>
      <c r="Z17" s="1816" t="str">
        <f>Q17</f>
        <v>交通便捷度</v>
      </c>
      <c r="AA17" s="1813">
        <f t="shared" si="3"/>
        <v>1</v>
      </c>
      <c r="AB17" s="1813">
        <f t="shared" si="4"/>
        <v>1</v>
      </c>
      <c r="AC17" s="1813">
        <f t="shared" si="5"/>
        <v>1</v>
      </c>
    </row>
    <row r="18" spans="1:29" ht="15">
      <c r="A18" s="428"/>
      <c r="B18" s="456"/>
      <c r="C18" s="2614"/>
      <c r="D18" s="450"/>
      <c r="E18" s="2616"/>
      <c r="F18" s="453"/>
      <c r="G18" s="2615"/>
      <c r="H18" s="448"/>
      <c r="I18" s="2616"/>
      <c r="J18" s="448"/>
      <c r="K18" s="615"/>
      <c r="L18" s="1143"/>
      <c r="M18" s="1134"/>
      <c r="N18" s="1134"/>
      <c r="O18" s="1142"/>
      <c r="P18" s="3220"/>
      <c r="Q18" s="1812"/>
      <c r="R18" s="774"/>
      <c r="S18" s="775"/>
      <c r="T18" s="774"/>
      <c r="U18" s="775"/>
      <c r="V18" s="774"/>
      <c r="W18" s="775"/>
      <c r="X18" s="1815"/>
      <c r="Y18" s="3220"/>
      <c r="Z18" s="1816"/>
      <c r="AA18" s="1813">
        <v>1</v>
      </c>
      <c r="AB18" s="1813">
        <v>1</v>
      </c>
      <c r="AC18" s="1813">
        <v>1</v>
      </c>
    </row>
    <row r="19" spans="1:29" ht="42.75">
      <c r="A19" s="428"/>
      <c r="B19" s="451" t="s">
        <v>2688</v>
      </c>
      <c r="C19" s="2613"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0"/>
      <c r="Q19" s="1812" t="str">
        <f>B19</f>
        <v>公共配套设施</v>
      </c>
      <c r="R19" s="774" t="s">
        <v>17</v>
      </c>
      <c r="S19" s="775">
        <f>F19</f>
        <v>100</v>
      </c>
      <c r="T19" s="774" t="s">
        <v>17</v>
      </c>
      <c r="U19" s="775">
        <f>H19</f>
        <v>100</v>
      </c>
      <c r="V19" s="774" t="s">
        <v>17</v>
      </c>
      <c r="W19" s="775">
        <f>J19</f>
        <v>100</v>
      </c>
      <c r="X19" s="1815"/>
      <c r="Y19" s="3220"/>
      <c r="Z19" s="1816" t="str">
        <f>Q19</f>
        <v>公共配套设施</v>
      </c>
      <c r="AA19" s="1813">
        <f t="shared" si="3"/>
        <v>1</v>
      </c>
      <c r="AB19" s="1813">
        <f t="shared" si="4"/>
        <v>1</v>
      </c>
      <c r="AC19" s="1813">
        <f t="shared" si="5"/>
        <v>1</v>
      </c>
    </row>
    <row r="20" spans="1:29" ht="15">
      <c r="A20" s="428"/>
      <c r="B20" s="456"/>
      <c r="C20" s="447"/>
      <c r="D20" s="448"/>
      <c r="E20" s="2611"/>
      <c r="F20" s="449"/>
      <c r="G20" s="2610"/>
      <c r="H20" s="448"/>
      <c r="I20" s="2611"/>
      <c r="J20" s="448"/>
      <c r="K20" s="615"/>
      <c r="L20" s="1143"/>
      <c r="M20" s="1134"/>
      <c r="N20" s="1134"/>
      <c r="O20" s="1142"/>
      <c r="P20" s="3220"/>
      <c r="Q20" s="1812"/>
      <c r="R20" s="774"/>
      <c r="S20" s="775"/>
      <c r="T20" s="774"/>
      <c r="U20" s="775"/>
      <c r="V20" s="774"/>
      <c r="W20" s="775"/>
      <c r="X20" s="1815"/>
      <c r="Y20" s="3220"/>
      <c r="Z20" s="1816"/>
      <c r="AA20" s="1813">
        <v>1</v>
      </c>
      <c r="AB20" s="1813">
        <v>1</v>
      </c>
      <c r="AC20" s="1813">
        <v>1</v>
      </c>
    </row>
    <row r="21" spans="1:29" ht="28.5">
      <c r="A21" s="428"/>
      <c r="B21" s="1387" t="s">
        <v>2689</v>
      </c>
      <c r="C21" s="2613"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0"/>
      <c r="Q21" s="1812" t="str">
        <f>B21</f>
        <v>基础设施水平</v>
      </c>
      <c r="R21" s="774" t="s">
        <v>17</v>
      </c>
      <c r="S21" s="775">
        <f>F21</f>
        <v>100</v>
      </c>
      <c r="T21" s="774" t="s">
        <v>17</v>
      </c>
      <c r="U21" s="775">
        <f>H21</f>
        <v>100</v>
      </c>
      <c r="V21" s="774" t="s">
        <v>17</v>
      </c>
      <c r="W21" s="775">
        <f>J21</f>
        <v>100</v>
      </c>
      <c r="X21" s="1815"/>
      <c r="Y21" s="3220"/>
      <c r="Z21" s="1816" t="str">
        <f>Q21</f>
        <v>基础设施水平</v>
      </c>
      <c r="AA21" s="1813">
        <f t="shared" ref="AA21" si="8">D21/F21</f>
        <v>1</v>
      </c>
      <c r="AB21" s="1813">
        <f t="shared" ref="AB21" si="9">D21/H21</f>
        <v>1</v>
      </c>
      <c r="AC21" s="1813">
        <f t="shared" ref="AC21" si="10">D21/J21</f>
        <v>1</v>
      </c>
    </row>
    <row r="22" spans="1:29" ht="15">
      <c r="A22" s="428"/>
      <c r="B22" s="1387"/>
      <c r="C22" s="2614"/>
      <c r="D22" s="448"/>
      <c r="E22" s="447"/>
      <c r="F22" s="449"/>
      <c r="G22" s="447"/>
      <c r="H22" s="448"/>
      <c r="I22" s="447"/>
      <c r="J22" s="448"/>
      <c r="K22" s="1386"/>
      <c r="L22" s="1143"/>
      <c r="M22" s="1134"/>
      <c r="N22" s="1134"/>
      <c r="O22" s="1142"/>
      <c r="P22" s="3220"/>
      <c r="Q22" s="1812"/>
      <c r="R22" s="774"/>
      <c r="S22" s="775"/>
      <c r="T22" s="774"/>
      <c r="U22" s="775"/>
      <c r="V22" s="774"/>
      <c r="W22" s="775"/>
      <c r="X22" s="1815"/>
      <c r="Y22" s="3220"/>
      <c r="Z22" s="1816"/>
      <c r="AA22" s="1813">
        <v>1</v>
      </c>
      <c r="AB22" s="1813">
        <v>1</v>
      </c>
      <c r="AC22" s="1813">
        <v>1</v>
      </c>
    </row>
    <row r="23" spans="1:29" ht="71.25">
      <c r="A23" s="428"/>
      <c r="B23" s="451" t="s">
        <v>2690</v>
      </c>
      <c r="C23" s="2613"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0"/>
      <c r="Q23" s="1812" t="str">
        <f>B23</f>
        <v>环境质量</v>
      </c>
      <c r="R23" s="774" t="s">
        <v>17</v>
      </c>
      <c r="S23" s="775">
        <f>F23</f>
        <v>100</v>
      </c>
      <c r="T23" s="774" t="s">
        <v>17</v>
      </c>
      <c r="U23" s="775">
        <f>H23</f>
        <v>100</v>
      </c>
      <c r="V23" s="774" t="s">
        <v>17</v>
      </c>
      <c r="W23" s="775">
        <f>J23</f>
        <v>100</v>
      </c>
      <c r="X23" s="1815"/>
      <c r="Y23" s="3220"/>
      <c r="Z23" s="1816" t="str">
        <f>Q23</f>
        <v>环境质量</v>
      </c>
      <c r="AA23" s="1813">
        <f t="shared" si="3"/>
        <v>1</v>
      </c>
      <c r="AB23" s="1813">
        <f t="shared" si="4"/>
        <v>1</v>
      </c>
      <c r="AC23" s="1813">
        <f t="shared" si="5"/>
        <v>1</v>
      </c>
    </row>
    <row r="24" spans="1:29" ht="15">
      <c r="A24" s="428"/>
      <c r="B24" s="1387"/>
      <c r="C24" s="447"/>
      <c r="D24" s="448"/>
      <c r="E24" s="2611"/>
      <c r="F24" s="449"/>
      <c r="G24" s="2610"/>
      <c r="H24" s="448"/>
      <c r="I24" s="2611"/>
      <c r="J24" s="448"/>
      <c r="K24" s="615"/>
      <c r="L24" s="1143"/>
      <c r="M24" s="1134"/>
      <c r="N24" s="1134"/>
      <c r="O24" s="1142"/>
      <c r="P24" s="3220"/>
      <c r="Q24" s="1812"/>
      <c r="R24" s="774"/>
      <c r="S24" s="775"/>
      <c r="T24" s="774"/>
      <c r="U24" s="775"/>
      <c r="V24" s="774"/>
      <c r="W24" s="775"/>
      <c r="X24" s="1815"/>
      <c r="Y24" s="3220"/>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0"/>
      <c r="Q25" s="1812">
        <f>B25</f>
        <v>111</v>
      </c>
      <c r="R25" s="774" t="s">
        <v>17</v>
      </c>
      <c r="S25" s="775">
        <f>F25</f>
        <v>100</v>
      </c>
      <c r="T25" s="774" t="s">
        <v>17</v>
      </c>
      <c r="U25" s="775">
        <f>H25</f>
        <v>100</v>
      </c>
      <c r="V25" s="774" t="s">
        <v>17</v>
      </c>
      <c r="W25" s="775">
        <f>J25</f>
        <v>100</v>
      </c>
      <c r="X25" s="1815"/>
      <c r="Y25" s="3220"/>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0"/>
      <c r="Q26" s="1812">
        <f t="shared" ref="Q26:Q40" si="11">B26</f>
        <v>111</v>
      </c>
      <c r="R26" s="774" t="s">
        <v>17</v>
      </c>
      <c r="S26" s="775">
        <f>F26</f>
        <v>100</v>
      </c>
      <c r="T26" s="774" t="s">
        <v>17</v>
      </c>
      <c r="U26" s="775">
        <f>H26</f>
        <v>100</v>
      </c>
      <c r="V26" s="774" t="s">
        <v>17</v>
      </c>
      <c r="W26" s="775">
        <f>J26</f>
        <v>100</v>
      </c>
      <c r="X26" s="1815"/>
      <c r="Y26" s="3220"/>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0"/>
      <c r="Q27" s="1797">
        <f t="shared" si="11"/>
        <v>111</v>
      </c>
      <c r="R27" s="770" t="s">
        <v>17</v>
      </c>
      <c r="S27" s="771">
        <f>F27</f>
        <v>100</v>
      </c>
      <c r="T27" s="770" t="s">
        <v>17</v>
      </c>
      <c r="U27" s="771">
        <f>H27</f>
        <v>100</v>
      </c>
      <c r="V27" s="770" t="s">
        <v>17</v>
      </c>
      <c r="W27" s="771">
        <f>J27</f>
        <v>100</v>
      </c>
      <c r="X27" s="772"/>
      <c r="Y27" s="3220"/>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0"/>
      <c r="Q28" s="1812">
        <f t="shared" si="11"/>
        <v>111</v>
      </c>
      <c r="R28" s="774" t="s">
        <v>17</v>
      </c>
      <c r="S28" s="775">
        <f t="shared" ref="S28:S40" si="12">F28</f>
        <v>100</v>
      </c>
      <c r="T28" s="774" t="s">
        <v>17</v>
      </c>
      <c r="U28" s="775">
        <f t="shared" ref="U28:U40" si="13">H28</f>
        <v>100</v>
      </c>
      <c r="V28" s="774" t="s">
        <v>17</v>
      </c>
      <c r="W28" s="775">
        <f t="shared" ref="W28:W40" si="14">J28</f>
        <v>100</v>
      </c>
      <c r="X28" s="1815"/>
      <c r="Y28" s="3220"/>
      <c r="Z28" s="1816">
        <f t="shared" ref="Z28:Z40" si="15">Q28</f>
        <v>111</v>
      </c>
      <c r="AA28" s="1813">
        <f t="shared" si="3"/>
        <v>1</v>
      </c>
      <c r="AB28" s="1813">
        <f t="shared" si="4"/>
        <v>1</v>
      </c>
      <c r="AC28" s="1813">
        <f t="shared" si="5"/>
        <v>1</v>
      </c>
    </row>
    <row r="29" spans="1:29" ht="28.5">
      <c r="A29" s="466" t="s">
        <v>2563</v>
      </c>
      <c r="B29" s="71" t="s">
        <v>2693</v>
      </c>
      <c r="C29" s="2685"/>
      <c r="D29" s="467">
        <v>100</v>
      </c>
      <c r="E29" s="2685"/>
      <c r="F29" s="461">
        <f>SUMIF(88:88,E29,89:89)-SUMIF(88:88,C29,89:89)+100</f>
        <v>100</v>
      </c>
      <c r="G29" s="2685"/>
      <c r="H29" s="435">
        <f>SUMIF(88:88,G29,89:89)-SUMIF(88:88,C29,89:89)+100</f>
        <v>100</v>
      </c>
      <c r="I29" s="2685"/>
      <c r="J29" s="467">
        <f>SUMIF(88:88,I29,89:89)-SUMIF(88:88,C29,89:89)+100</f>
        <v>100</v>
      </c>
      <c r="K29" s="612"/>
      <c r="L29" s="1143"/>
      <c r="M29" s="1134"/>
      <c r="N29" s="1134"/>
      <c r="O29" s="1142"/>
      <c r="P29" s="3221" t="s">
        <v>2565</v>
      </c>
      <c r="Q29" s="1812" t="str">
        <f t="shared" si="11"/>
        <v>建筑类型</v>
      </c>
      <c r="R29" s="774" t="s">
        <v>17</v>
      </c>
      <c r="S29" s="775">
        <f t="shared" si="12"/>
        <v>100</v>
      </c>
      <c r="T29" s="774" t="s">
        <v>17</v>
      </c>
      <c r="U29" s="775">
        <f t="shared" si="13"/>
        <v>100</v>
      </c>
      <c r="V29" s="774" t="s">
        <v>17</v>
      </c>
      <c r="W29" s="775">
        <f t="shared" si="14"/>
        <v>100</v>
      </c>
      <c r="X29" s="1815"/>
      <c r="Y29" s="3222" t="s">
        <v>2565</v>
      </c>
      <c r="Z29" s="1816" t="str">
        <f t="shared" si="15"/>
        <v>建筑类型</v>
      </c>
      <c r="AA29" s="1813">
        <f t="shared" si="3"/>
        <v>1</v>
      </c>
      <c r="AB29" s="1813">
        <f t="shared" si="4"/>
        <v>1</v>
      </c>
      <c r="AC29" s="1813">
        <f t="shared" si="5"/>
        <v>1</v>
      </c>
    </row>
    <row r="30" spans="1:29" s="471" customFormat="1" ht="15">
      <c r="A30" s="468"/>
      <c r="B30" s="422" t="s">
        <v>2566</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3" t="e">
        <f t="shared" si="3"/>
        <v>#N/A</v>
      </c>
      <c r="AB30" s="1813" t="e">
        <f t="shared" si="4"/>
        <v>#N/A</v>
      </c>
      <c r="AC30" s="1813" t="e">
        <f t="shared" si="5"/>
        <v>#N/A</v>
      </c>
    </row>
    <row r="31" spans="1:29" ht="15">
      <c r="A31" s="472"/>
      <c r="B31" s="422" t="s">
        <v>2567</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2" t="str">
        <f t="shared" si="11"/>
        <v>建筑结构</v>
      </c>
      <c r="R31" s="774" t="s">
        <v>17</v>
      </c>
      <c r="S31" s="775">
        <f t="shared" si="12"/>
        <v>100</v>
      </c>
      <c r="T31" s="774" t="s">
        <v>17</v>
      </c>
      <c r="U31" s="775">
        <f t="shared" si="13"/>
        <v>100</v>
      </c>
      <c r="V31" s="774" t="s">
        <v>17</v>
      </c>
      <c r="W31" s="775">
        <f t="shared" si="14"/>
        <v>100</v>
      </c>
      <c r="X31" s="1815"/>
      <c r="Y31" s="3222"/>
      <c r="Z31" s="1816" t="str">
        <f t="shared" si="15"/>
        <v>建筑结构</v>
      </c>
      <c r="AA31" s="1813">
        <f t="shared" si="3"/>
        <v>1</v>
      </c>
      <c r="AB31" s="1813">
        <f t="shared" si="4"/>
        <v>1</v>
      </c>
      <c r="AC31" s="1813">
        <f t="shared" si="5"/>
        <v>1</v>
      </c>
    </row>
    <row r="32" spans="1:29" ht="15">
      <c r="A32" s="472"/>
      <c r="B32" s="422" t="s">
        <v>2661</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2" t="str">
        <f t="shared" si="11"/>
        <v>公共部分装修</v>
      </c>
      <c r="R32" s="774" t="s">
        <v>17</v>
      </c>
      <c r="S32" s="775">
        <f t="shared" si="12"/>
        <v>100</v>
      </c>
      <c r="T32" s="774" t="s">
        <v>17</v>
      </c>
      <c r="U32" s="775">
        <f t="shared" si="13"/>
        <v>100</v>
      </c>
      <c r="V32" s="774" t="s">
        <v>17</v>
      </c>
      <c r="W32" s="775">
        <f t="shared" si="14"/>
        <v>100</v>
      </c>
      <c r="X32" s="1815"/>
      <c r="Y32" s="3222"/>
      <c r="Z32" s="1816" t="str">
        <f t="shared" si="15"/>
        <v>公共部分装修</v>
      </c>
      <c r="AA32" s="1813">
        <f t="shared" si="3"/>
        <v>1</v>
      </c>
      <c r="AB32" s="1813">
        <f t="shared" si="4"/>
        <v>1</v>
      </c>
      <c r="AC32" s="1813">
        <f t="shared" si="5"/>
        <v>1</v>
      </c>
    </row>
    <row r="33" spans="1:29" ht="15">
      <c r="A33" s="472"/>
      <c r="B33" s="422" t="s">
        <v>2662</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2" t="str">
        <f t="shared" si="11"/>
        <v>成新度</v>
      </c>
      <c r="R33" s="774" t="s">
        <v>17</v>
      </c>
      <c r="S33" s="775" t="e">
        <f t="shared" si="12"/>
        <v>#N/A</v>
      </c>
      <c r="T33" s="774" t="s">
        <v>17</v>
      </c>
      <c r="U33" s="775" t="e">
        <f t="shared" si="13"/>
        <v>#N/A</v>
      </c>
      <c r="V33" s="774" t="s">
        <v>17</v>
      </c>
      <c r="W33" s="775" t="e">
        <f t="shared" si="14"/>
        <v>#N/A</v>
      </c>
      <c r="X33" s="1815"/>
      <c r="Y33" s="3222"/>
      <c r="Z33" s="1816" t="str">
        <f t="shared" si="15"/>
        <v>成新度</v>
      </c>
      <c r="AA33" s="1813" t="e">
        <f t="shared" si="3"/>
        <v>#N/A</v>
      </c>
      <c r="AB33" s="1813" t="e">
        <f t="shared" si="4"/>
        <v>#N/A</v>
      </c>
      <c r="AC33" s="1813" t="e">
        <f t="shared" si="5"/>
        <v>#N/A</v>
      </c>
    </row>
    <row r="34" spans="1:29" s="117" customFormat="1" ht="15">
      <c r="A34" s="473"/>
      <c r="B34" s="422" t="s">
        <v>2695</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7"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2663</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2565</v>
      </c>
      <c r="Q35" s="1812" t="str">
        <f t="shared" si="11"/>
        <v>市政基础设施</v>
      </c>
      <c r="R35" s="774" t="s">
        <v>17</v>
      </c>
      <c r="S35" s="775">
        <f t="shared" si="12"/>
        <v>100</v>
      </c>
      <c r="T35" s="774" t="s">
        <v>17</v>
      </c>
      <c r="U35" s="775">
        <f t="shared" si="13"/>
        <v>100</v>
      </c>
      <c r="V35" s="774" t="s">
        <v>17</v>
      </c>
      <c r="W35" s="775">
        <f t="shared" si="14"/>
        <v>100</v>
      </c>
      <c r="X35" s="1815"/>
      <c r="Y35" s="3222" t="s">
        <v>2565</v>
      </c>
      <c r="Z35" s="1816" t="str">
        <f t="shared" si="15"/>
        <v>市政基础设施</v>
      </c>
      <c r="AA35" s="1813">
        <f t="shared" si="3"/>
        <v>1</v>
      </c>
      <c r="AB35" s="1813">
        <f t="shared" si="4"/>
        <v>1</v>
      </c>
      <c r="AC35" s="1813">
        <f t="shared" si="5"/>
        <v>1</v>
      </c>
    </row>
    <row r="36" spans="1:29" ht="15">
      <c r="A36" s="472"/>
      <c r="B36" s="422" t="s">
        <v>2668</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2" t="str">
        <f t="shared" si="11"/>
        <v>内部装修</v>
      </c>
      <c r="R36" s="774" t="s">
        <v>17</v>
      </c>
      <c r="S36" s="775">
        <f t="shared" si="12"/>
        <v>100</v>
      </c>
      <c r="T36" s="774" t="s">
        <v>17</v>
      </c>
      <c r="U36" s="775">
        <f t="shared" si="13"/>
        <v>100</v>
      </c>
      <c r="V36" s="774" t="s">
        <v>17</v>
      </c>
      <c r="W36" s="775">
        <f t="shared" si="14"/>
        <v>100</v>
      </c>
      <c r="X36" s="1815"/>
      <c r="Y36" s="3222"/>
      <c r="Z36" s="1816" t="str">
        <f t="shared" si="15"/>
        <v>内部装修</v>
      </c>
      <c r="AA36" s="1813">
        <f t="shared" si="3"/>
        <v>1</v>
      </c>
      <c r="AB36" s="1813">
        <f t="shared" si="4"/>
        <v>1</v>
      </c>
      <c r="AC36" s="1813">
        <f t="shared" si="5"/>
        <v>1</v>
      </c>
    </row>
    <row r="37" spans="1:29" ht="15">
      <c r="A37" s="472"/>
      <c r="B37" s="422" t="s">
        <v>2704</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2" t="str">
        <f t="shared" si="11"/>
        <v>内部装修状况</v>
      </c>
      <c r="R37" s="774" t="s">
        <v>17</v>
      </c>
      <c r="S37" s="775">
        <f t="shared" si="12"/>
        <v>100</v>
      </c>
      <c r="T37" s="774" t="s">
        <v>17</v>
      </c>
      <c r="U37" s="775">
        <f t="shared" si="13"/>
        <v>100</v>
      </c>
      <c r="V37" s="774" t="s">
        <v>17</v>
      </c>
      <c r="W37" s="775">
        <f t="shared" si="14"/>
        <v>100</v>
      </c>
      <c r="X37" s="1815"/>
      <c r="Y37" s="3222"/>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2">
        <f t="shared" si="11"/>
        <v>111</v>
      </c>
      <c r="R39" s="774" t="s">
        <v>17</v>
      </c>
      <c r="S39" s="775">
        <f t="shared" si="12"/>
        <v>100</v>
      </c>
      <c r="T39" s="774" t="s">
        <v>17</v>
      </c>
      <c r="U39" s="775">
        <f t="shared" si="13"/>
        <v>100</v>
      </c>
      <c r="V39" s="774" t="s">
        <v>17</v>
      </c>
      <c r="W39" s="775">
        <f t="shared" si="14"/>
        <v>100</v>
      </c>
      <c r="X39" s="1815"/>
      <c r="Y39" s="3222"/>
      <c r="Z39" s="1816">
        <f t="shared" si="15"/>
        <v>111</v>
      </c>
      <c r="AA39" s="1813">
        <f t="shared" si="3"/>
        <v>1</v>
      </c>
      <c r="AB39" s="1813">
        <f t="shared" si="4"/>
        <v>1</v>
      </c>
      <c r="AC39" s="1813">
        <f t="shared" si="5"/>
        <v>1</v>
      </c>
    </row>
    <row r="40" spans="1:29" ht="15.75" thickBot="1">
      <c r="A40" s="478"/>
      <c r="B40" s="2608">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87"/>
      <c r="Q40" s="1812">
        <f t="shared" si="11"/>
        <v>111</v>
      </c>
      <c r="R40" s="774" t="s">
        <v>17</v>
      </c>
      <c r="S40" s="775">
        <f t="shared" si="12"/>
        <v>100</v>
      </c>
      <c r="T40" s="774" t="s">
        <v>17</v>
      </c>
      <c r="U40" s="775">
        <f t="shared" si="13"/>
        <v>100</v>
      </c>
      <c r="V40" s="774" t="s">
        <v>17</v>
      </c>
      <c r="W40" s="775">
        <f t="shared" si="14"/>
        <v>100</v>
      </c>
      <c r="X40" s="1815"/>
      <c r="Y40" s="3287"/>
      <c r="Z40" s="1816">
        <f t="shared" si="15"/>
        <v>111</v>
      </c>
      <c r="AA40" s="1813">
        <f t="shared" si="3"/>
        <v>1</v>
      </c>
      <c r="AB40" s="1813">
        <f t="shared" si="4"/>
        <v>1</v>
      </c>
      <c r="AC40" s="1813">
        <f t="shared" si="5"/>
        <v>1</v>
      </c>
    </row>
    <row r="41" spans="1:29" ht="15">
      <c r="A41" s="479" t="s">
        <v>2577</v>
      </c>
      <c r="B41" s="480"/>
      <c r="C41" s="1410" t="s">
        <v>1</v>
      </c>
      <c r="D41" s="1411"/>
      <c r="E41" s="1412"/>
      <c r="F41" s="1413"/>
      <c r="G41" s="1414"/>
      <c r="H41" s="1415"/>
      <c r="I41" s="1412"/>
      <c r="J41" s="1415"/>
      <c r="K41" s="783"/>
      <c r="L41" s="1146"/>
      <c r="M41" s="1147"/>
      <c r="N41" s="1134"/>
      <c r="O41" s="1147"/>
      <c r="P41" s="3217" t="str">
        <f>A41</f>
        <v>成交单价（元/平方米）</v>
      </c>
      <c r="Q41" s="3217"/>
      <c r="R41" s="3283">
        <f>E41</f>
        <v>0</v>
      </c>
      <c r="S41" s="3283"/>
      <c r="T41" s="3283">
        <f>G41</f>
        <v>0</v>
      </c>
      <c r="U41" s="3283"/>
      <c r="V41" s="3283">
        <f>I41</f>
        <v>0</v>
      </c>
      <c r="W41" s="3283"/>
      <c r="X41" s="759"/>
      <c r="Y41" s="781"/>
      <c r="Z41" s="759"/>
      <c r="AA41" s="759"/>
      <c r="AB41" s="759"/>
      <c r="AC41" s="759"/>
    </row>
    <row r="42" spans="1:29" ht="15.75" thickBot="1">
      <c r="A42" s="486" t="s">
        <v>2669</v>
      </c>
      <c r="B42" s="487"/>
      <c r="C42" s="1416" t="e">
        <f>R43</f>
        <v>#DIV/0!</v>
      </c>
      <c r="D42" s="1417"/>
      <c r="E42" s="1418" t="e">
        <f>R42</f>
        <v>#DIV/0!</v>
      </c>
      <c r="F42" s="1418"/>
      <c r="G42" s="1416" t="e">
        <f>T42</f>
        <v>#DIV/0!</v>
      </c>
      <c r="H42" s="1417"/>
      <c r="I42" s="1418" t="e">
        <f>V42</f>
        <v>#DIV/0!</v>
      </c>
      <c r="J42" s="1417"/>
      <c r="K42" s="784"/>
      <c r="L42" s="1146"/>
      <c r="M42" s="1147"/>
      <c r="N42" s="1134"/>
      <c r="O42" s="1147"/>
      <c r="P42" s="3217" t="str">
        <f>A42</f>
        <v>比较价值（元/平方米）</v>
      </c>
      <c r="Q42" s="3217"/>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759"/>
      <c r="Y42" s="759"/>
      <c r="Z42" s="759"/>
      <c r="AA42" s="759"/>
      <c r="AB42" s="759"/>
      <c r="AC42" s="759"/>
    </row>
    <row r="43" spans="1:29" ht="15.75" thickBot="1">
      <c r="A43" s="492" t="s">
        <v>2670</v>
      </c>
      <c r="B43" s="493"/>
      <c r="C43" s="1420" t="e">
        <f>R43</f>
        <v>#DIV/0!</v>
      </c>
      <c r="D43" s="1420"/>
      <c r="E43" s="1420"/>
      <c r="F43" s="1420"/>
      <c r="G43" s="1420"/>
      <c r="H43" s="1420"/>
      <c r="I43" s="1420"/>
      <c r="J43" s="1420"/>
      <c r="K43" s="785"/>
      <c r="L43" s="1146"/>
      <c r="M43" s="1147"/>
      <c r="N43" s="1147"/>
      <c r="O43" s="1147"/>
      <c r="P43" s="3211" t="str">
        <f>A43</f>
        <v>估价对象XX用房的比较价值（楼面单价，元/平方米）</v>
      </c>
      <c r="Q43" s="3212"/>
      <c r="R43" s="3282" t="e">
        <f>IF(F1="售价",ROUND(AVERAGE(R42:V42),0),ROUND(AVERAGE(R42:V42),1))</f>
        <v>#DIV/0!</v>
      </c>
      <c r="S43" s="3282"/>
      <c r="T43" s="3282"/>
      <c r="U43" s="3282"/>
      <c r="V43" s="3282"/>
      <c r="W43" s="3282"/>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2674</v>
      </c>
      <c r="B51" s="759"/>
      <c r="C51" s="764"/>
      <c r="D51" s="764"/>
      <c r="E51" s="764"/>
      <c r="F51" s="765"/>
      <c r="G51" s="765"/>
      <c r="H51" s="764"/>
      <c r="I51" s="764"/>
      <c r="J51" s="764"/>
      <c r="K51" s="1163"/>
      <c r="L51" s="1164"/>
      <c r="M51" s="1162"/>
      <c r="N51" s="1162"/>
      <c r="O51" s="1162"/>
      <c r="P51" s="503"/>
      <c r="Q51" s="504"/>
    </row>
    <row r="52" spans="1:17" s="508" customFormat="1" ht="15">
      <c r="A52" s="505" t="s">
        <v>2548</v>
      </c>
      <c r="B52" s="506"/>
      <c r="C52" s="1576" t="str">
        <f>YEAR(C7)&amp;"-"&amp;MONTH(C7)</f>
        <v>2019-8</v>
      </c>
      <c r="D52" s="1577">
        <f>EDATE(C52,-1)</f>
        <v>43647</v>
      </c>
      <c r="E52" s="1577">
        <f t="shared" ref="E52:O52" si="16">EDATE(D52,-1)</f>
        <v>43617</v>
      </c>
      <c r="F52" s="1577">
        <f t="shared" si="16"/>
        <v>43586</v>
      </c>
      <c r="G52" s="1577">
        <f t="shared" si="16"/>
        <v>43556</v>
      </c>
      <c r="H52" s="1577">
        <f t="shared" si="16"/>
        <v>43525</v>
      </c>
      <c r="I52" s="1577">
        <f t="shared" si="16"/>
        <v>43497</v>
      </c>
      <c r="J52" s="1577">
        <f t="shared" si="16"/>
        <v>43466</v>
      </c>
      <c r="K52" s="1577">
        <f t="shared" si="16"/>
        <v>43435</v>
      </c>
      <c r="L52" s="1577">
        <f t="shared" si="16"/>
        <v>43405</v>
      </c>
      <c r="M52" s="1577">
        <f t="shared" si="16"/>
        <v>43374</v>
      </c>
      <c r="N52" s="1577">
        <f t="shared" si="16"/>
        <v>43344</v>
      </c>
      <c r="O52" s="1577">
        <f t="shared" si="16"/>
        <v>43313</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2585</v>
      </c>
      <c r="B54" s="516"/>
      <c r="C54" s="517"/>
      <c r="D54" s="518"/>
      <c r="E54" s="518"/>
      <c r="F54" s="518"/>
      <c r="G54" s="518"/>
      <c r="H54" s="518"/>
      <c r="I54" s="518"/>
      <c r="J54" s="518"/>
      <c r="K54" s="518"/>
      <c r="L54" s="518"/>
      <c r="M54" s="519"/>
      <c r="N54" s="518"/>
      <c r="O54" s="520"/>
      <c r="P54" s="504"/>
      <c r="Q54" s="504"/>
    </row>
    <row r="55" spans="1:17" s="117" customFormat="1" ht="15">
      <c r="A55" s="521" t="s">
        <v>2550</v>
      </c>
      <c r="B55" s="510"/>
      <c r="C55" s="522" t="s">
        <v>2652</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2588</v>
      </c>
      <c r="B57" s="528" t="s">
        <v>2554</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2557</v>
      </c>
      <c r="C59" s="539" t="s">
        <v>2589</v>
      </c>
      <c r="D59" s="539" t="s">
        <v>2590</v>
      </c>
      <c r="E59" s="539" t="s">
        <v>2591</v>
      </c>
      <c r="F59" s="539" t="s">
        <v>2592</v>
      </c>
      <c r="G59" s="539" t="s">
        <v>2593</v>
      </c>
      <c r="H59" s="539" t="s">
        <v>2594</v>
      </c>
      <c r="I59" s="539" t="s">
        <v>2595</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2558</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2559</v>
      </c>
      <c r="B70" s="528" t="s">
        <v>2705</v>
      </c>
      <c r="C70" s="573" t="s">
        <v>2597</v>
      </c>
      <c r="D70" s="573" t="s">
        <v>2598</v>
      </c>
      <c r="E70" s="573" t="s">
        <v>2599</v>
      </c>
      <c r="F70" s="573" t="s">
        <v>2600</v>
      </c>
      <c r="G70" s="573" t="s">
        <v>2601</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2602</v>
      </c>
      <c r="C72" s="578" t="s">
        <v>2597</v>
      </c>
      <c r="D72" s="578" t="s">
        <v>2598</v>
      </c>
      <c r="E72" s="578" t="s">
        <v>2599</v>
      </c>
      <c r="F72" s="578" t="s">
        <v>2600</v>
      </c>
      <c r="G72" s="578" t="s">
        <v>2601</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2603</v>
      </c>
      <c r="C74" s="578" t="s">
        <v>2597</v>
      </c>
      <c r="D74" s="578" t="s">
        <v>2598</v>
      </c>
      <c r="E74" s="578" t="s">
        <v>2599</v>
      </c>
      <c r="F74" s="578" t="s">
        <v>2600</v>
      </c>
      <c r="G74" s="578" t="s">
        <v>2601</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2689</v>
      </c>
      <c r="C76" s="660" t="s">
        <v>2675</v>
      </c>
      <c r="D76" s="660" t="s">
        <v>2676</v>
      </c>
      <c r="E76" s="660" t="s">
        <v>2677</v>
      </c>
      <c r="F76" s="660" t="s">
        <v>2678</v>
      </c>
      <c r="G76" s="660" t="s">
        <v>2679</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2698</v>
      </c>
      <c r="C78" s="578" t="s">
        <v>2597</v>
      </c>
      <c r="D78" s="578" t="s">
        <v>2598</v>
      </c>
      <c r="E78" s="578" t="s">
        <v>2599</v>
      </c>
      <c r="F78" s="578" t="s">
        <v>2600</v>
      </c>
      <c r="G78" s="578" t="s">
        <v>2601</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2"/>
      <c r="B87" s="569"/>
      <c r="C87" s="570"/>
      <c r="D87" s="570"/>
      <c r="E87" s="570"/>
      <c r="F87" s="570"/>
      <c r="G87" s="591"/>
      <c r="H87" s="591"/>
      <c r="I87" s="591"/>
      <c r="J87" s="591"/>
      <c r="K87" s="591"/>
      <c r="L87" s="591"/>
      <c r="M87" s="592"/>
      <c r="N87" s="1156"/>
      <c r="O87" s="1156"/>
      <c r="P87" s="45"/>
      <c r="Q87" s="504"/>
    </row>
    <row r="88" spans="1:17">
      <c r="A88" s="527" t="s">
        <v>2563</v>
      </c>
      <c r="B88" s="528" t="s">
        <v>2612</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2613</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2614</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2616</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1996</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2617</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2618</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2620</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2706</v>
      </c>
      <c r="C106" s="578" t="s">
        <v>2597</v>
      </c>
      <c r="D106" s="578" t="s">
        <v>2598</v>
      </c>
      <c r="E106" s="578" t="s">
        <v>2599</v>
      </c>
      <c r="F106" s="578" t="s">
        <v>2600</v>
      </c>
      <c r="G106" s="578" t="s">
        <v>2601</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2"/>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24"/>
      <c r="F1" s="2590"/>
      <c r="G1" s="1625" t="s">
        <v>2643</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2330</v>
      </c>
      <c r="B2" s="1421" t="e">
        <f ca="1">IF(C2="——",IF(B37="元/平方米",ROUND(C39*D3/10000,0),ROUND(F3*C39/10000,0)),IF(B37="元/平方米",ROUND(C39*D3/10000,0),ROUND(F3*C39/10000,0))-D2)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2332</v>
      </c>
      <c r="B3" s="609" t="e">
        <f ca="1">IF(AND(C2="——",B37="元/平方米"),C39,ROUND(B2*10000/D3,0))</f>
        <v>#DIV/0!</v>
      </c>
      <c r="C3" s="400" t="s">
        <v>2644</v>
      </c>
      <c r="D3" s="399">
        <f>SUMIF('数据-汇总表'!$C19:$C33,D1,'数据-汇总表'!$E19:$E33)</f>
        <v>0</v>
      </c>
      <c r="E3" s="400" t="s">
        <v>2708</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5" t="s">
        <v>2648</v>
      </c>
      <c r="AC4" s="3224" t="s">
        <v>2649</v>
      </c>
    </row>
    <row r="5" spans="1:29" ht="15">
      <c r="A5" s="404"/>
      <c r="B5" s="405"/>
      <c r="C5" s="3244" t="s">
        <v>2542</v>
      </c>
      <c r="D5" s="3245"/>
      <c r="E5" s="3251" t="s">
        <v>2543</v>
      </c>
      <c r="F5" s="3252"/>
      <c r="G5" s="3244" t="s">
        <v>2544</v>
      </c>
      <c r="H5" s="3245"/>
      <c r="I5" s="3244" t="s">
        <v>2545</v>
      </c>
      <c r="J5" s="3245"/>
      <c r="K5" s="610"/>
      <c r="L5" s="1133"/>
      <c r="M5" s="1134"/>
      <c r="N5" s="1134"/>
      <c r="O5" s="1134"/>
      <c r="P5" s="3232"/>
      <c r="Q5" s="3233"/>
      <c r="R5" s="3238"/>
      <c r="S5" s="3239"/>
      <c r="T5" s="3238"/>
      <c r="U5" s="3239"/>
      <c r="V5" s="3223"/>
      <c r="W5" s="3223"/>
      <c r="X5" s="1815"/>
      <c r="Y5" s="3238"/>
      <c r="Z5" s="3239"/>
      <c r="AA5" s="3225"/>
      <c r="AB5" s="3225"/>
      <c r="AC5" s="3225"/>
    </row>
    <row r="6" spans="1:29" ht="15.75" thickBot="1">
      <c r="A6" s="406"/>
      <c r="B6" s="407"/>
      <c r="C6" s="3242" t="s">
        <v>2546</v>
      </c>
      <c r="D6" s="3243"/>
      <c r="E6" s="3249" t="s">
        <v>2546</v>
      </c>
      <c r="F6" s="3250"/>
      <c r="G6" s="3242" t="s">
        <v>2546</v>
      </c>
      <c r="H6" s="3243"/>
      <c r="I6" s="3242" t="s">
        <v>2546</v>
      </c>
      <c r="J6" s="3243"/>
      <c r="K6" s="610" t="s">
        <v>2547</v>
      </c>
      <c r="L6" s="1133"/>
      <c r="M6" s="1134"/>
      <c r="N6" s="1134"/>
      <c r="O6" s="1134"/>
      <c r="P6" s="3234"/>
      <c r="Q6" s="3235"/>
      <c r="R6" s="3238"/>
      <c r="S6" s="3239"/>
      <c r="T6" s="3240"/>
      <c r="U6" s="3241"/>
      <c r="V6" s="3223"/>
      <c r="W6" s="3223"/>
      <c r="X6" s="1815"/>
      <c r="Y6" s="3240"/>
      <c r="Z6" s="3241"/>
      <c r="AA6" s="3226"/>
      <c r="AB6" s="3226"/>
      <c r="AC6" s="3226"/>
    </row>
    <row r="7" spans="1:29" s="117" customFormat="1" ht="15.75" thickBot="1">
      <c r="A7" s="408" t="s">
        <v>2548</v>
      </c>
      <c r="B7" s="409"/>
      <c r="C7" s="410">
        <f>'数据-取费表'!B2</f>
        <v>43689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46" t="s">
        <v>2549</v>
      </c>
      <c r="Q7" s="3248"/>
      <c r="R7" s="770" t="s">
        <v>17</v>
      </c>
      <c r="S7" s="771">
        <f t="shared" ref="S7:S14" si="0">F7</f>
        <v>0</v>
      </c>
      <c r="T7" s="770" t="s">
        <v>17</v>
      </c>
      <c r="U7" s="771">
        <f t="shared" ref="U7:U14" si="1">H7</f>
        <v>0</v>
      </c>
      <c r="V7" s="770" t="s">
        <v>17</v>
      </c>
      <c r="W7" s="771">
        <f t="shared" ref="W7:W14" si="2">J7</f>
        <v>0</v>
      </c>
      <c r="X7" s="772"/>
      <c r="Y7" s="3246" t="s">
        <v>2549</v>
      </c>
      <c r="Z7" s="3247"/>
      <c r="AA7" s="773" t="e">
        <f>D7/F7</f>
        <v>#DIV/0!</v>
      </c>
      <c r="AB7" s="773" t="e">
        <f>D7/H7</f>
        <v>#DIV/0!</v>
      </c>
      <c r="AC7" s="773" t="e">
        <f>D7/J7</f>
        <v>#DIV/0!</v>
      </c>
    </row>
    <row r="8" spans="1:29" s="117" customFormat="1" ht="15.75" thickBot="1">
      <c r="A8" s="408" t="s">
        <v>2550</v>
      </c>
      <c r="B8" s="409"/>
      <c r="C8" s="414" t="s">
        <v>2652</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46" t="s">
        <v>2552</v>
      </c>
      <c r="Q8" s="3247"/>
      <c r="R8" s="770" t="s">
        <v>17</v>
      </c>
      <c r="S8" s="771">
        <f t="shared" si="0"/>
        <v>0</v>
      </c>
      <c r="T8" s="770" t="s">
        <v>17</v>
      </c>
      <c r="U8" s="771">
        <f t="shared" si="1"/>
        <v>0</v>
      </c>
      <c r="V8" s="770" t="s">
        <v>17</v>
      </c>
      <c r="W8" s="771">
        <f t="shared" si="2"/>
        <v>0</v>
      </c>
      <c r="X8" s="772"/>
      <c r="Y8" s="3246" t="s">
        <v>2552</v>
      </c>
      <c r="Z8" s="3247"/>
      <c r="AA8" s="773" t="e">
        <f t="shared" ref="AA8:AA36" si="3">D8/F8</f>
        <v>#DIV/0!</v>
      </c>
      <c r="AB8" s="773" t="e">
        <f t="shared" ref="AB8:AB36" si="4">D8/H8</f>
        <v>#DIV/0!</v>
      </c>
      <c r="AC8" s="773" t="e">
        <f t="shared" ref="AC8:AC36" si="5">D8/J8</f>
        <v>#DIV/0!</v>
      </c>
    </row>
    <row r="9" spans="1:29" s="117" customFormat="1">
      <c r="A9" s="68" t="s">
        <v>2553</v>
      </c>
      <c r="B9" s="640" t="s">
        <v>2554</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7" t="s">
        <v>2555</v>
      </c>
      <c r="Q9" s="1797" t="str">
        <f t="shared" ref="Q9:Q14" si="6">B9</f>
        <v>用途</v>
      </c>
      <c r="R9" s="770" t="s">
        <v>17</v>
      </c>
      <c r="S9" s="771">
        <f t="shared" si="0"/>
        <v>100</v>
      </c>
      <c r="T9" s="770" t="s">
        <v>17</v>
      </c>
      <c r="U9" s="771">
        <f t="shared" si="1"/>
        <v>100</v>
      </c>
      <c r="V9" s="770" t="s">
        <v>17</v>
      </c>
      <c r="W9" s="771">
        <f t="shared" si="2"/>
        <v>100</v>
      </c>
      <c r="X9" s="772"/>
      <c r="Y9" s="3064" t="s">
        <v>2556</v>
      </c>
      <c r="Z9" s="55" t="str">
        <f t="shared" ref="Z9:Z14" si="7">Q9</f>
        <v>用途</v>
      </c>
      <c r="AA9" s="773">
        <f t="shared" si="3"/>
        <v>1</v>
      </c>
      <c r="AB9" s="773">
        <f t="shared" si="4"/>
        <v>1</v>
      </c>
      <c r="AC9" s="773">
        <f t="shared" si="5"/>
        <v>1</v>
      </c>
    </row>
    <row r="10" spans="1:29" s="427" customFormat="1" ht="27">
      <c r="A10" s="641"/>
      <c r="B10" s="642" t="s">
        <v>2557</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7"/>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7"/>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7"/>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7"/>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85.5">
      <c r="A14" s="401" t="s">
        <v>2559</v>
      </c>
      <c r="B14" s="629" t="s">
        <v>2709</v>
      </c>
      <c r="C14" s="2699"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9" t="s">
        <v>2560</v>
      </c>
      <c r="Q14" s="1812" t="str">
        <f t="shared" si="6"/>
        <v>交通便捷度</v>
      </c>
      <c r="R14" s="774" t="s">
        <v>17</v>
      </c>
      <c r="S14" s="775">
        <f t="shared" si="0"/>
        <v>100</v>
      </c>
      <c r="T14" s="774" t="s">
        <v>17</v>
      </c>
      <c r="U14" s="775">
        <f t="shared" si="1"/>
        <v>100</v>
      </c>
      <c r="V14" s="774" t="s">
        <v>17</v>
      </c>
      <c r="W14" s="775">
        <f t="shared" si="2"/>
        <v>100</v>
      </c>
      <c r="X14" s="1815"/>
      <c r="Y14" s="3219" t="s">
        <v>2560</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220"/>
      <c r="Q15" s="1812"/>
      <c r="R15" s="774"/>
      <c r="S15" s="775"/>
      <c r="T15" s="774"/>
      <c r="U15" s="775"/>
      <c r="V15" s="774"/>
      <c r="W15" s="775"/>
      <c r="X15" s="1815"/>
      <c r="Y15" s="3220"/>
      <c r="Z15" s="1816"/>
      <c r="AA15" s="1813">
        <v>1</v>
      </c>
      <c r="AB15" s="1813">
        <v>1</v>
      </c>
      <c r="AC15" s="1813">
        <v>1</v>
      </c>
    </row>
    <row r="16" spans="1:29" ht="42.75">
      <c r="A16" s="404"/>
      <c r="B16" s="631" t="s">
        <v>2688</v>
      </c>
      <c r="C16" s="2613"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0"/>
      <c r="Q16" s="1812" t="str">
        <f>B16</f>
        <v>公共配套设施</v>
      </c>
      <c r="R16" s="774" t="s">
        <v>17</v>
      </c>
      <c r="S16" s="775">
        <f>F16</f>
        <v>100</v>
      </c>
      <c r="T16" s="774" t="s">
        <v>17</v>
      </c>
      <c r="U16" s="775">
        <f>H16</f>
        <v>100</v>
      </c>
      <c r="V16" s="774" t="s">
        <v>17</v>
      </c>
      <c r="W16" s="775">
        <f>J16</f>
        <v>100</v>
      </c>
      <c r="X16" s="1815"/>
      <c r="Y16" s="3220"/>
      <c r="Z16" s="1816" t="str">
        <f>Q16</f>
        <v>公共配套设施</v>
      </c>
      <c r="AA16" s="1813">
        <f t="shared" si="3"/>
        <v>1</v>
      </c>
      <c r="AB16" s="1813">
        <f t="shared" si="4"/>
        <v>1</v>
      </c>
      <c r="AC16" s="1813">
        <f t="shared" si="5"/>
        <v>1</v>
      </c>
    </row>
    <row r="17" spans="1:29" ht="15">
      <c r="A17" s="404"/>
      <c r="B17" s="632"/>
      <c r="C17" s="2614"/>
      <c r="D17" s="448"/>
      <c r="E17" s="447"/>
      <c r="F17" s="449"/>
      <c r="G17" s="447"/>
      <c r="H17" s="448"/>
      <c r="I17" s="447"/>
      <c r="J17" s="448"/>
      <c r="K17" s="615"/>
      <c r="L17" s="1143"/>
      <c r="M17" s="1134"/>
      <c r="N17" s="1134"/>
      <c r="O17" s="1134"/>
      <c r="P17" s="3220"/>
      <c r="Q17" s="1812"/>
      <c r="R17" s="774"/>
      <c r="S17" s="775"/>
      <c r="T17" s="774"/>
      <c r="U17" s="775"/>
      <c r="V17" s="774"/>
      <c r="W17" s="775"/>
      <c r="X17" s="1815"/>
      <c r="Y17" s="3220"/>
      <c r="Z17" s="1816"/>
      <c r="AA17" s="1813">
        <v>1</v>
      </c>
      <c r="AB17" s="1813">
        <v>1</v>
      </c>
      <c r="AC17" s="1813">
        <v>1</v>
      </c>
    </row>
    <row r="18" spans="1:29" ht="28.5">
      <c r="A18" s="404"/>
      <c r="B18" s="633" t="s">
        <v>2689</v>
      </c>
      <c r="C18" s="2613"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0"/>
      <c r="Q18" s="1812" t="str">
        <f>B18</f>
        <v>基础设施水平</v>
      </c>
      <c r="R18" s="774" t="s">
        <v>17</v>
      </c>
      <c r="S18" s="775">
        <f>F18</f>
        <v>100</v>
      </c>
      <c r="T18" s="774" t="s">
        <v>17</v>
      </c>
      <c r="U18" s="775">
        <f>H18</f>
        <v>100</v>
      </c>
      <c r="V18" s="774" t="s">
        <v>17</v>
      </c>
      <c r="W18" s="775">
        <f>J18</f>
        <v>100</v>
      </c>
      <c r="X18" s="1815"/>
      <c r="Y18" s="3220"/>
      <c r="Z18" s="1816" t="str">
        <f>Q18</f>
        <v>基础设施水平</v>
      </c>
      <c r="AA18" s="1813">
        <f t="shared" ref="AA18" si="8">D18/F18</f>
        <v>1</v>
      </c>
      <c r="AB18" s="1813">
        <f t="shared" ref="AB18" si="9">D18/H18</f>
        <v>1</v>
      </c>
      <c r="AC18" s="1813">
        <f t="shared" ref="AC18" si="10">D18/J18</f>
        <v>1</v>
      </c>
    </row>
    <row r="19" spans="1:29" ht="15">
      <c r="A19" s="404"/>
      <c r="B19" s="633"/>
      <c r="C19" s="2614"/>
      <c r="D19" s="450"/>
      <c r="E19" s="2614"/>
      <c r="F19" s="453"/>
      <c r="G19" s="2614"/>
      <c r="H19" s="448"/>
      <c r="I19" s="447"/>
      <c r="J19" s="448"/>
      <c r="K19" s="1386"/>
      <c r="L19" s="1143"/>
      <c r="M19" s="1134"/>
      <c r="N19" s="1134"/>
      <c r="O19" s="1134"/>
      <c r="P19" s="3220"/>
      <c r="Q19" s="1812"/>
      <c r="R19" s="774"/>
      <c r="S19" s="775"/>
      <c r="T19" s="774"/>
      <c r="U19" s="775"/>
      <c r="V19" s="774"/>
      <c r="W19" s="775"/>
      <c r="X19" s="1815"/>
      <c r="Y19" s="3220"/>
      <c r="Z19" s="1816"/>
      <c r="AA19" s="1813">
        <v>1</v>
      </c>
      <c r="AB19" s="1813">
        <v>1</v>
      </c>
      <c r="AC19" s="1813">
        <v>1</v>
      </c>
    </row>
    <row r="20" spans="1:29" ht="57">
      <c r="A20" s="404"/>
      <c r="B20" s="631" t="s">
        <v>2710</v>
      </c>
      <c r="C20" s="2613"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0"/>
      <c r="Q20" s="1812" t="str">
        <f>B20</f>
        <v>自然及人文环境</v>
      </c>
      <c r="R20" s="774" t="s">
        <v>17</v>
      </c>
      <c r="S20" s="775">
        <f>F20</f>
        <v>100</v>
      </c>
      <c r="T20" s="774" t="s">
        <v>17</v>
      </c>
      <c r="U20" s="775">
        <f>H20</f>
        <v>100</v>
      </c>
      <c r="V20" s="774" t="s">
        <v>17</v>
      </c>
      <c r="W20" s="775">
        <f>J20</f>
        <v>100</v>
      </c>
      <c r="X20" s="1815"/>
      <c r="Y20" s="3220"/>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220"/>
      <c r="Q21" s="1812"/>
      <c r="R21" s="774"/>
      <c r="S21" s="775"/>
      <c r="T21" s="774"/>
      <c r="U21" s="775"/>
      <c r="V21" s="774"/>
      <c r="W21" s="775"/>
      <c r="X21" s="1815"/>
      <c r="Y21" s="3220"/>
      <c r="Z21" s="1816"/>
      <c r="AA21" s="1813">
        <v>1</v>
      </c>
      <c r="AB21" s="1813">
        <v>1</v>
      </c>
      <c r="AC21" s="1813">
        <v>1</v>
      </c>
    </row>
    <row r="22" spans="1:29" ht="15">
      <c r="A22" s="404"/>
      <c r="B22" s="631" t="s">
        <v>2711</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0"/>
      <c r="Q22" s="1812" t="str">
        <f>B22</f>
        <v>楼层</v>
      </c>
      <c r="R22" s="774" t="s">
        <v>17</v>
      </c>
      <c r="S22" s="775">
        <f>F22</f>
        <v>100</v>
      </c>
      <c r="T22" s="774" t="s">
        <v>17</v>
      </c>
      <c r="U22" s="775">
        <f>H22</f>
        <v>100</v>
      </c>
      <c r="V22" s="774" t="s">
        <v>17</v>
      </c>
      <c r="W22" s="775">
        <f>J22</f>
        <v>100</v>
      </c>
      <c r="X22" s="1815"/>
      <c r="Y22" s="3220"/>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0"/>
      <c r="Q23" s="1812">
        <f>B23</f>
        <v>111</v>
      </c>
      <c r="R23" s="774" t="s">
        <v>17</v>
      </c>
      <c r="S23" s="775">
        <f>F23</f>
        <v>100</v>
      </c>
      <c r="T23" s="774" t="s">
        <v>17</v>
      </c>
      <c r="U23" s="775">
        <f>H23</f>
        <v>100</v>
      </c>
      <c r="V23" s="774" t="s">
        <v>17</v>
      </c>
      <c r="W23" s="775">
        <f>J23</f>
        <v>100</v>
      </c>
      <c r="X23" s="1815"/>
      <c r="Y23" s="3220"/>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0"/>
      <c r="Q24" s="1812">
        <f t="shared" ref="Q24:Q36" si="11">B24</f>
        <v>111</v>
      </c>
      <c r="R24" s="774" t="s">
        <v>17</v>
      </c>
      <c r="S24" s="775">
        <f>F24</f>
        <v>100</v>
      </c>
      <c r="T24" s="774" t="s">
        <v>17</v>
      </c>
      <c r="U24" s="775">
        <f>H24</f>
        <v>100</v>
      </c>
      <c r="V24" s="774" t="s">
        <v>17</v>
      </c>
      <c r="W24" s="775">
        <f>J24</f>
        <v>100</v>
      </c>
      <c r="X24" s="1815"/>
      <c r="Y24" s="3220"/>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0"/>
      <c r="Q25" s="1797">
        <f t="shared" si="11"/>
        <v>111</v>
      </c>
      <c r="R25" s="770" t="s">
        <v>17</v>
      </c>
      <c r="S25" s="771">
        <f>F25</f>
        <v>100</v>
      </c>
      <c r="T25" s="770" t="s">
        <v>17</v>
      </c>
      <c r="U25" s="771">
        <f>H25</f>
        <v>100</v>
      </c>
      <c r="V25" s="770" t="s">
        <v>17</v>
      </c>
      <c r="W25" s="771">
        <f>J25</f>
        <v>100</v>
      </c>
      <c r="X25" s="772"/>
      <c r="Y25" s="3220"/>
      <c r="Z25" s="55">
        <f>Q25</f>
        <v>111</v>
      </c>
      <c r="AA25" s="1813">
        <f>D25/F25</f>
        <v>1</v>
      </c>
      <c r="AB25" s="1813">
        <f>D25/H25</f>
        <v>1</v>
      </c>
      <c r="AC25" s="1813">
        <f>D25/J25</f>
        <v>1</v>
      </c>
    </row>
    <row r="26" spans="1:29" ht="28.5">
      <c r="A26" s="652" t="s">
        <v>2563</v>
      </c>
      <c r="B26" s="70" t="s">
        <v>2712</v>
      </c>
      <c r="C26" s="2700">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21" t="s">
        <v>2565</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222" t="s">
        <v>2565</v>
      </c>
      <c r="Z26" s="1816" t="str">
        <f t="shared" ref="Z26:Z36" si="15">Q26</f>
        <v>配套类型</v>
      </c>
      <c r="AA26" s="1813">
        <f t="shared" si="3"/>
        <v>1</v>
      </c>
      <c r="AB26" s="1813">
        <f t="shared" si="4"/>
        <v>1</v>
      </c>
      <c r="AC26" s="1813">
        <f t="shared" si="5"/>
        <v>1</v>
      </c>
    </row>
    <row r="27" spans="1:29" s="471" customFormat="1" ht="15">
      <c r="A27" s="653"/>
      <c r="B27" s="654" t="s">
        <v>2713</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3">
        <f t="shared" si="3"/>
        <v>1</v>
      </c>
      <c r="AB27" s="1813">
        <f t="shared" si="4"/>
        <v>1</v>
      </c>
      <c r="AC27" s="1813">
        <f t="shared" si="5"/>
        <v>1</v>
      </c>
    </row>
    <row r="28" spans="1:29" ht="15">
      <c r="A28" s="656"/>
      <c r="B28" s="654" t="s">
        <v>2714</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2"/>
      <c r="Q28" s="1812" t="str">
        <f t="shared" si="11"/>
        <v>公共部分装修</v>
      </c>
      <c r="R28" s="774" t="s">
        <v>17</v>
      </c>
      <c r="S28" s="775">
        <f t="shared" si="12"/>
        <v>100</v>
      </c>
      <c r="T28" s="774" t="s">
        <v>17</v>
      </c>
      <c r="U28" s="775">
        <f t="shared" si="13"/>
        <v>100</v>
      </c>
      <c r="V28" s="774" t="s">
        <v>17</v>
      </c>
      <c r="W28" s="775">
        <f t="shared" si="14"/>
        <v>100</v>
      </c>
      <c r="X28" s="1815"/>
      <c r="Y28" s="3222"/>
      <c r="Z28" s="1816" t="str">
        <f t="shared" si="15"/>
        <v>公共部分装修</v>
      </c>
      <c r="AA28" s="1813">
        <f t="shared" si="3"/>
        <v>1</v>
      </c>
      <c r="AB28" s="1813">
        <f t="shared" si="4"/>
        <v>1</v>
      </c>
      <c r="AC28" s="1813">
        <f t="shared" si="5"/>
        <v>1</v>
      </c>
    </row>
    <row r="29" spans="1:29" ht="15">
      <c r="A29" s="656"/>
      <c r="B29" s="654" t="s">
        <v>2715</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2"/>
      <c r="Q29" s="1812" t="str">
        <f t="shared" si="11"/>
        <v>成新率</v>
      </c>
      <c r="R29" s="774" t="s">
        <v>17</v>
      </c>
      <c r="S29" s="775" t="e">
        <f t="shared" si="12"/>
        <v>#N/A</v>
      </c>
      <c r="T29" s="774" t="s">
        <v>17</v>
      </c>
      <c r="U29" s="775" t="e">
        <f t="shared" si="13"/>
        <v>#N/A</v>
      </c>
      <c r="V29" s="774" t="s">
        <v>17</v>
      </c>
      <c r="W29" s="775" t="e">
        <f t="shared" si="14"/>
        <v>#N/A</v>
      </c>
      <c r="X29" s="1815"/>
      <c r="Y29" s="3222"/>
      <c r="Z29" s="1816" t="str">
        <f t="shared" si="15"/>
        <v>成新率</v>
      </c>
      <c r="AA29" s="1813" t="e">
        <f t="shared" si="3"/>
        <v>#N/A</v>
      </c>
      <c r="AB29" s="1813" t="e">
        <f t="shared" si="4"/>
        <v>#N/A</v>
      </c>
      <c r="AC29" s="1813" t="e">
        <f t="shared" si="5"/>
        <v>#N/A</v>
      </c>
    </row>
    <row r="30" spans="1:29" ht="15">
      <c r="A30" s="656"/>
      <c r="B30" s="654" t="s">
        <v>2716</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2"/>
      <c r="Q30" s="1812" t="str">
        <f t="shared" si="11"/>
        <v>物业等级</v>
      </c>
      <c r="R30" s="774" t="s">
        <v>17</v>
      </c>
      <c r="S30" s="775">
        <f t="shared" si="12"/>
        <v>100</v>
      </c>
      <c r="T30" s="774" t="s">
        <v>17</v>
      </c>
      <c r="U30" s="775">
        <f t="shared" si="13"/>
        <v>100</v>
      </c>
      <c r="V30" s="774" t="s">
        <v>17</v>
      </c>
      <c r="W30" s="775">
        <f t="shared" si="14"/>
        <v>100</v>
      </c>
      <c r="X30" s="1815"/>
      <c r="Y30" s="3222"/>
      <c r="Z30" s="1816" t="str">
        <f t="shared" si="15"/>
        <v>物业等级</v>
      </c>
      <c r="AA30" s="1813">
        <f t="shared" si="3"/>
        <v>1</v>
      </c>
      <c r="AB30" s="1813">
        <f t="shared" si="4"/>
        <v>1</v>
      </c>
      <c r="AC30" s="1813">
        <f t="shared" si="5"/>
        <v>1</v>
      </c>
    </row>
    <row r="31" spans="1:29" s="117" customFormat="1" ht="15">
      <c r="A31" s="658"/>
      <c r="B31" s="654" t="s">
        <v>2717</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2"/>
      <c r="Q31" s="1797"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2718</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2" t="s">
        <v>2565</v>
      </c>
      <c r="Q32" s="1812" t="str">
        <f t="shared" si="11"/>
        <v>车位类型</v>
      </c>
      <c r="R32" s="774" t="s">
        <v>17</v>
      </c>
      <c r="S32" s="775">
        <f t="shared" si="12"/>
        <v>100</v>
      </c>
      <c r="T32" s="774" t="s">
        <v>17</v>
      </c>
      <c r="U32" s="775">
        <f t="shared" si="13"/>
        <v>100</v>
      </c>
      <c r="V32" s="774" t="s">
        <v>17</v>
      </c>
      <c r="W32" s="775">
        <f t="shared" si="14"/>
        <v>100</v>
      </c>
      <c r="X32" s="1815"/>
      <c r="Y32" s="3222" t="s">
        <v>2565</v>
      </c>
      <c r="Z32" s="1816" t="str">
        <f t="shared" si="15"/>
        <v>车位类型</v>
      </c>
      <c r="AA32" s="1813">
        <f t="shared" si="3"/>
        <v>1</v>
      </c>
      <c r="AB32" s="1813">
        <f t="shared" si="4"/>
        <v>1</v>
      </c>
      <c r="AC32" s="1813">
        <f t="shared" si="5"/>
        <v>1</v>
      </c>
    </row>
    <row r="33" spans="1:29" ht="15">
      <c r="A33" s="656"/>
      <c r="B33" s="654" t="s">
        <v>2719</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2"/>
      <c r="Q33" s="1812" t="str">
        <f t="shared" si="11"/>
        <v>是否直接入户</v>
      </c>
      <c r="R33" s="774" t="s">
        <v>17</v>
      </c>
      <c r="S33" s="775">
        <f t="shared" si="12"/>
        <v>100</v>
      </c>
      <c r="T33" s="774" t="s">
        <v>17</v>
      </c>
      <c r="U33" s="775">
        <f t="shared" si="13"/>
        <v>100</v>
      </c>
      <c r="V33" s="774" t="s">
        <v>17</v>
      </c>
      <c r="W33" s="775">
        <f t="shared" si="14"/>
        <v>100</v>
      </c>
      <c r="X33" s="1815"/>
      <c r="Y33" s="3222"/>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2">
        <f t="shared" si="11"/>
        <v>111</v>
      </c>
      <c r="R34" s="774" t="s">
        <v>17</v>
      </c>
      <c r="S34" s="775">
        <f t="shared" si="12"/>
        <v>100</v>
      </c>
      <c r="T34" s="774" t="s">
        <v>17</v>
      </c>
      <c r="U34" s="775">
        <f t="shared" si="13"/>
        <v>100</v>
      </c>
      <c r="V34" s="774" t="s">
        <v>17</v>
      </c>
      <c r="W34" s="775">
        <f t="shared" si="14"/>
        <v>100</v>
      </c>
      <c r="X34" s="1815"/>
      <c r="Y34" s="3222"/>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2">
        <f t="shared" si="11"/>
        <v>111</v>
      </c>
      <c r="R36" s="774" t="s">
        <v>17</v>
      </c>
      <c r="S36" s="775">
        <f t="shared" si="12"/>
        <v>100</v>
      </c>
      <c r="T36" s="774" t="s">
        <v>17</v>
      </c>
      <c r="U36" s="775">
        <f t="shared" si="13"/>
        <v>100</v>
      </c>
      <c r="V36" s="774" t="s">
        <v>17</v>
      </c>
      <c r="W36" s="775">
        <f t="shared" si="14"/>
        <v>100</v>
      </c>
      <c r="X36" s="1815"/>
      <c r="Y36" s="3222"/>
      <c r="Z36" s="1816">
        <f t="shared" si="15"/>
        <v>111</v>
      </c>
      <c r="AA36" s="1813">
        <f t="shared" si="3"/>
        <v>1</v>
      </c>
      <c r="AB36" s="1813">
        <f t="shared" si="4"/>
        <v>1</v>
      </c>
      <c r="AC36" s="1813">
        <f t="shared" si="5"/>
        <v>1</v>
      </c>
    </row>
    <row r="37" spans="1:29" ht="15">
      <c r="A37" s="479" t="s">
        <v>2720</v>
      </c>
      <c r="B37" s="2701" t="s">
        <v>2721</v>
      </c>
      <c r="C37" s="1410" t="s">
        <v>1</v>
      </c>
      <c r="D37" s="1411"/>
      <c r="E37" s="1412"/>
      <c r="F37" s="1413"/>
      <c r="G37" s="1414"/>
      <c r="H37" s="1415"/>
      <c r="I37" s="1412"/>
      <c r="J37" s="1415"/>
      <c r="K37" s="619"/>
      <c r="L37" s="1146"/>
      <c r="M37" s="1147"/>
      <c r="N37" s="1134"/>
      <c r="O37" s="1147"/>
      <c r="P37" s="3217" t="str">
        <f>A37</f>
        <v>成交单价</v>
      </c>
      <c r="Q37" s="3217"/>
      <c r="R37" s="3283">
        <f>E37</f>
        <v>0</v>
      </c>
      <c r="S37" s="3283"/>
      <c r="T37" s="3283">
        <f>G37</f>
        <v>0</v>
      </c>
      <c r="U37" s="3283"/>
      <c r="V37" s="3283">
        <f>I37</f>
        <v>0</v>
      </c>
      <c r="W37" s="3283"/>
      <c r="X37" s="759"/>
      <c r="Y37" s="781"/>
      <c r="Z37" s="759"/>
      <c r="AA37" s="759"/>
      <c r="AB37" s="759"/>
      <c r="AC37" s="759"/>
    </row>
    <row r="38" spans="1:29" ht="15.75" thickBot="1">
      <c r="A38" s="486" t="s">
        <v>2722</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7" t="str">
        <f>A38</f>
        <v>比较价值（元/平方米）</v>
      </c>
      <c r="Q38" s="3217"/>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759"/>
      <c r="Y38" s="759"/>
      <c r="Z38" s="759"/>
      <c r="AA38" s="759"/>
      <c r="AB38" s="759"/>
      <c r="AC38" s="759"/>
    </row>
    <row r="39" spans="1:29" ht="15.75" thickBot="1">
      <c r="A39" s="492" t="s">
        <v>2723</v>
      </c>
      <c r="B39" s="493"/>
      <c r="C39" s="1420" t="e">
        <f>R39</f>
        <v>#DIV/0!</v>
      </c>
      <c r="D39" s="1420"/>
      <c r="E39" s="1420"/>
      <c r="F39" s="1420"/>
      <c r="G39" s="1420"/>
      <c r="H39" s="1420"/>
      <c r="I39" s="1420"/>
      <c r="J39" s="1420"/>
      <c r="K39" s="621"/>
      <c r="L39" s="1146"/>
      <c r="M39" s="1147"/>
      <c r="N39" s="1147"/>
      <c r="O39" s="1147"/>
      <c r="P39" s="3211" t="str">
        <f>A39</f>
        <v>估价对象XX用房的比较价值（楼面单价，元/平方米）</v>
      </c>
      <c r="Q39" s="3212"/>
      <c r="R39" s="3282" t="e">
        <f>IF(F1="售价",ROUND(AVERAGE(R38:V38),0),ROUND(AVERAGE(R38:V38),1))</f>
        <v>#DIV/0!</v>
      </c>
      <c r="S39" s="3282"/>
      <c r="T39" s="3282"/>
      <c r="U39" s="3282"/>
      <c r="V39" s="3282"/>
      <c r="W39" s="3282"/>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2724</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2725</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2726</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2727</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2728</v>
      </c>
      <c r="B48" s="506"/>
      <c r="C48" s="1576" t="str">
        <f>YEAR(C7)&amp;"-"&amp;MONTH(C7)</f>
        <v>2019-8</v>
      </c>
      <c r="D48" s="1577">
        <f>EDATE(C48,-1)</f>
        <v>43647</v>
      </c>
      <c r="E48" s="1577">
        <f t="shared" ref="E48:O48" si="16">EDATE(D48,-1)</f>
        <v>43617</v>
      </c>
      <c r="F48" s="1577">
        <f t="shared" si="16"/>
        <v>43586</v>
      </c>
      <c r="G48" s="1577">
        <f t="shared" si="16"/>
        <v>43556</v>
      </c>
      <c r="H48" s="1577">
        <f t="shared" si="16"/>
        <v>43525</v>
      </c>
      <c r="I48" s="1577">
        <f t="shared" si="16"/>
        <v>43497</v>
      </c>
      <c r="J48" s="1577">
        <f t="shared" si="16"/>
        <v>43466</v>
      </c>
      <c r="K48" s="1577">
        <f t="shared" si="16"/>
        <v>43435</v>
      </c>
      <c r="L48" s="1577">
        <f t="shared" si="16"/>
        <v>43405</v>
      </c>
      <c r="M48" s="1577">
        <f t="shared" si="16"/>
        <v>43374</v>
      </c>
      <c r="N48" s="1577">
        <f t="shared" si="16"/>
        <v>43344</v>
      </c>
      <c r="O48" s="1577">
        <f t="shared" si="16"/>
        <v>43313</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2585</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2550</v>
      </c>
      <c r="B51" s="510"/>
      <c r="C51" s="522" t="s">
        <v>2652</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2588</v>
      </c>
      <c r="B53" s="528" t="s">
        <v>2554</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2557</v>
      </c>
      <c r="C55" s="539" t="s">
        <v>2589</v>
      </c>
      <c r="D55" s="539" t="s">
        <v>2590</v>
      </c>
      <c r="E55" s="539" t="s">
        <v>2591</v>
      </c>
      <c r="F55" s="539" t="s">
        <v>2592</v>
      </c>
      <c r="G55" s="539" t="s">
        <v>2593</v>
      </c>
      <c r="H55" s="539" t="s">
        <v>2594</v>
      </c>
      <c r="I55" s="539" t="s">
        <v>2595</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2559</v>
      </c>
      <c r="B63" s="528" t="s">
        <v>2602</v>
      </c>
      <c r="C63" s="573" t="s">
        <v>2597</v>
      </c>
      <c r="D63" s="573" t="s">
        <v>2598</v>
      </c>
      <c r="E63" s="573" t="s">
        <v>2599</v>
      </c>
      <c r="F63" s="573" t="s">
        <v>2600</v>
      </c>
      <c r="G63" s="573" t="s">
        <v>2601</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2603</v>
      </c>
      <c r="C65" s="578" t="s">
        <v>2597</v>
      </c>
      <c r="D65" s="578" t="s">
        <v>2598</v>
      </c>
      <c r="E65" s="578" t="s">
        <v>2599</v>
      </c>
      <c r="F65" s="578" t="s">
        <v>2600</v>
      </c>
      <c r="G65" s="578" t="s">
        <v>2601</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2689</v>
      </c>
      <c r="C67" s="660" t="s">
        <v>2675</v>
      </c>
      <c r="D67" s="660" t="s">
        <v>2676</v>
      </c>
      <c r="E67" s="660" t="s">
        <v>2677</v>
      </c>
      <c r="F67" s="660" t="s">
        <v>2678</v>
      </c>
      <c r="G67" s="660" t="s">
        <v>2679</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2609</v>
      </c>
      <c r="C69" s="578" t="s">
        <v>2597</v>
      </c>
      <c r="D69" s="578" t="s">
        <v>2598</v>
      </c>
      <c r="E69" s="578" t="s">
        <v>2599</v>
      </c>
      <c r="F69" s="578" t="s">
        <v>2600</v>
      </c>
      <c r="G69" s="578" t="s">
        <v>2601</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2729</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2563</v>
      </c>
      <c r="B79" s="528" t="s">
        <v>2730</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2731</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2616</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2732</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2733</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2734</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2735</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2736</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J53" sqref="J5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2707</v>
      </c>
      <c r="B1" s="1621"/>
      <c r="C1" s="1622" t="s">
        <v>2530</v>
      </c>
      <c r="D1" s="1623"/>
      <c r="E1" s="1632"/>
      <c r="F1" s="2590"/>
      <c r="G1" s="1633" t="s">
        <v>2643</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2330</v>
      </c>
      <c r="B2" s="1421" t="e">
        <f ca="1">IF(C2="——",ROUND(C37*D3/10000,0),ROUND(C37*D3/10000,0)-D2)</f>
        <v>#DIV/0!</v>
      </c>
      <c r="C2" s="2592"/>
      <c r="D2" s="1127" t="e">
        <f ca="1">SUMIF(INDIRECT("'"&amp;F2&amp;"'"&amp;"!A:A"),"承租人权益价值",INDIRECT("'"&amp;F2&amp;"'"&amp;"!c:c"))</f>
        <v>#REF!</v>
      </c>
      <c r="E2" s="2593" t="s">
        <v>2331</v>
      </c>
      <c r="F2" s="2594"/>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 ca="1">IF(C2="——",C37,ROUND(B2*10000/D3,0))</f>
        <v>#DIV/0!</v>
      </c>
      <c r="C3" s="400" t="s">
        <v>2644</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5" t="s">
        <v>2648</v>
      </c>
      <c r="AC4" s="3224" t="s">
        <v>2649</v>
      </c>
    </row>
    <row r="5" spans="1:29" ht="15">
      <c r="A5" s="404"/>
      <c r="B5" s="405"/>
      <c r="C5" s="3244" t="s">
        <v>2542</v>
      </c>
      <c r="D5" s="3245"/>
      <c r="E5" s="3251" t="s">
        <v>2543</v>
      </c>
      <c r="F5" s="3252"/>
      <c r="G5" s="3244" t="s">
        <v>2544</v>
      </c>
      <c r="H5" s="3245"/>
      <c r="I5" s="3244" t="s">
        <v>2545</v>
      </c>
      <c r="J5" s="3245"/>
      <c r="K5" s="610"/>
      <c r="L5" s="1133"/>
      <c r="M5" s="1134"/>
      <c r="N5" s="1134"/>
      <c r="O5" s="1134"/>
      <c r="P5" s="3232"/>
      <c r="Q5" s="3233"/>
      <c r="R5" s="3238"/>
      <c r="S5" s="3239"/>
      <c r="T5" s="3238"/>
      <c r="U5" s="3239"/>
      <c r="V5" s="3223"/>
      <c r="W5" s="3223"/>
      <c r="X5" s="1815"/>
      <c r="Y5" s="3238"/>
      <c r="Z5" s="3239"/>
      <c r="AA5" s="3225"/>
      <c r="AB5" s="3225"/>
      <c r="AC5" s="3225"/>
    </row>
    <row r="6" spans="1:29" ht="15.75" thickBot="1">
      <c r="A6" s="406"/>
      <c r="B6" s="407"/>
      <c r="C6" s="3242" t="s">
        <v>2546</v>
      </c>
      <c r="D6" s="3243"/>
      <c r="E6" s="3249" t="s">
        <v>2546</v>
      </c>
      <c r="F6" s="3250"/>
      <c r="G6" s="3242" t="s">
        <v>2546</v>
      </c>
      <c r="H6" s="3243"/>
      <c r="I6" s="3242" t="s">
        <v>2546</v>
      </c>
      <c r="J6" s="3243"/>
      <c r="K6" s="610" t="s">
        <v>2547</v>
      </c>
      <c r="L6" s="1133"/>
      <c r="M6" s="1134"/>
      <c r="N6" s="1134"/>
      <c r="O6" s="1134"/>
      <c r="P6" s="3234"/>
      <c r="Q6" s="3235"/>
      <c r="R6" s="3238"/>
      <c r="S6" s="3239"/>
      <c r="T6" s="3240"/>
      <c r="U6" s="3241"/>
      <c r="V6" s="3223"/>
      <c r="W6" s="3223"/>
      <c r="X6" s="1815"/>
      <c r="Y6" s="3240"/>
      <c r="Z6" s="3241"/>
      <c r="AA6" s="3226"/>
      <c r="AB6" s="3226"/>
      <c r="AC6" s="3226"/>
    </row>
    <row r="7" spans="1:29" s="117" customFormat="1" ht="15.75" thickBot="1">
      <c r="A7" s="408" t="s">
        <v>2548</v>
      </c>
      <c r="B7" s="409"/>
      <c r="C7" s="410">
        <f>'数据-取费表'!B2</f>
        <v>43689</v>
      </c>
      <c r="D7" s="411">
        <v>100</v>
      </c>
      <c r="E7" s="412"/>
      <c r="F7" s="413">
        <f>SUMIF(46:46,YEAR(E7)&amp;"-"&amp;MONTH(E7),47:47)</f>
        <v>0</v>
      </c>
      <c r="G7" s="2702"/>
      <c r="H7" s="411">
        <f>SUMIF(46:46,YEAR(G7)&amp;"-"&amp;MONTH(G7),47:47)</f>
        <v>0</v>
      </c>
      <c r="I7" s="412"/>
      <c r="J7" s="411">
        <f>SUMIF(46:46,YEAR(I7)&amp;"-"&amp;MONTH(I7),47:47)</f>
        <v>0</v>
      </c>
      <c r="K7" s="611"/>
      <c r="L7" s="1135"/>
      <c r="M7" s="1136"/>
      <c r="N7" s="1136"/>
      <c r="O7" s="1136"/>
      <c r="P7" s="3246" t="s">
        <v>2549</v>
      </c>
      <c r="Q7" s="3248"/>
      <c r="R7" s="770" t="s">
        <v>17</v>
      </c>
      <c r="S7" s="771">
        <f t="shared" ref="S7:S14" si="0">F7</f>
        <v>0</v>
      </c>
      <c r="T7" s="770" t="s">
        <v>17</v>
      </c>
      <c r="U7" s="771">
        <f t="shared" ref="U7:U14" si="1">H7</f>
        <v>0</v>
      </c>
      <c r="V7" s="770" t="s">
        <v>17</v>
      </c>
      <c r="W7" s="771">
        <f t="shared" ref="W7:W14" si="2">J7</f>
        <v>0</v>
      </c>
      <c r="X7" s="772"/>
      <c r="Y7" s="3246" t="s">
        <v>2549</v>
      </c>
      <c r="Z7" s="3247"/>
      <c r="AA7" s="773" t="e">
        <f>D7/F7</f>
        <v>#DIV/0!</v>
      </c>
      <c r="AB7" s="773" t="e">
        <f>D7/H7</f>
        <v>#DIV/0!</v>
      </c>
      <c r="AC7" s="773" t="e">
        <f>D7/J7</f>
        <v>#DIV/0!</v>
      </c>
    </row>
    <row r="8" spans="1:29" s="117" customFormat="1" ht="15.75" thickBot="1">
      <c r="A8" s="408" t="s">
        <v>2550</v>
      </c>
      <c r="B8" s="409"/>
      <c r="C8" s="414" t="s">
        <v>2652</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46" t="s">
        <v>2552</v>
      </c>
      <c r="Q8" s="3247"/>
      <c r="R8" s="770" t="s">
        <v>17</v>
      </c>
      <c r="S8" s="771">
        <f t="shared" si="0"/>
        <v>0</v>
      </c>
      <c r="T8" s="770" t="s">
        <v>17</v>
      </c>
      <c r="U8" s="771">
        <f t="shared" si="1"/>
        <v>0</v>
      </c>
      <c r="V8" s="770" t="s">
        <v>17</v>
      </c>
      <c r="W8" s="771">
        <f t="shared" si="2"/>
        <v>0</v>
      </c>
      <c r="X8" s="772"/>
      <c r="Y8" s="3246" t="s">
        <v>2552</v>
      </c>
      <c r="Z8" s="3247"/>
      <c r="AA8" s="773" t="e">
        <f t="shared" ref="AA8:AA34" si="3">D8/F8</f>
        <v>#DIV/0!</v>
      </c>
      <c r="AB8" s="773" t="e">
        <f t="shared" ref="AB8:AB34" si="4">D8/H8</f>
        <v>#DIV/0!</v>
      </c>
      <c r="AC8" s="773" t="e">
        <f t="shared" ref="AC8:AC34" si="5">D8/J8</f>
        <v>#DIV/0!</v>
      </c>
    </row>
    <row r="9" spans="1:29" s="117" customFormat="1">
      <c r="A9" s="415" t="s">
        <v>2553</v>
      </c>
      <c r="B9" s="71" t="s">
        <v>2554</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7" t="s">
        <v>2555</v>
      </c>
      <c r="Q9" s="1797" t="str">
        <f t="shared" ref="Q9:Q14" si="6">B9</f>
        <v>用途</v>
      </c>
      <c r="R9" s="770" t="s">
        <v>17</v>
      </c>
      <c r="S9" s="771">
        <f t="shared" si="0"/>
        <v>100</v>
      </c>
      <c r="T9" s="770" t="s">
        <v>17</v>
      </c>
      <c r="U9" s="771">
        <f t="shared" si="1"/>
        <v>100</v>
      </c>
      <c r="V9" s="770" t="s">
        <v>17</v>
      </c>
      <c r="W9" s="771">
        <f t="shared" si="2"/>
        <v>100</v>
      </c>
      <c r="X9" s="772"/>
      <c r="Y9" s="3064" t="s">
        <v>2556</v>
      </c>
      <c r="Z9" s="55" t="str">
        <f t="shared" ref="Z9:Z14" si="7">Q9</f>
        <v>用途</v>
      </c>
      <c r="AA9" s="773">
        <f t="shared" si="3"/>
        <v>1</v>
      </c>
      <c r="AB9" s="773">
        <f t="shared" si="4"/>
        <v>1</v>
      </c>
      <c r="AC9" s="773">
        <f t="shared" si="5"/>
        <v>1</v>
      </c>
    </row>
    <row r="10" spans="1:29" s="427" customFormat="1" ht="27">
      <c r="A10" s="421"/>
      <c r="B10" s="422" t="s">
        <v>2557</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7"/>
      <c r="Q10" s="1797" t="str">
        <f t="shared" si="6"/>
        <v>土地使用年限（年）</v>
      </c>
      <c r="R10" s="770" t="s">
        <v>17</v>
      </c>
      <c r="S10" s="771">
        <f t="shared" si="0"/>
        <v>100</v>
      </c>
      <c r="T10" s="770" t="s">
        <v>17</v>
      </c>
      <c r="U10" s="771">
        <f t="shared" si="1"/>
        <v>100</v>
      </c>
      <c r="V10" s="770" t="s">
        <v>17</v>
      </c>
      <c r="W10" s="771">
        <f t="shared" si="2"/>
        <v>100</v>
      </c>
      <c r="X10" s="772"/>
      <c r="Y10" s="3064"/>
      <c r="Z10" s="55" t="str">
        <f t="shared" si="7"/>
        <v>土地使用年限（年）</v>
      </c>
      <c r="AA10" s="773">
        <f t="shared" si="3"/>
        <v>1</v>
      </c>
      <c r="AB10" s="773">
        <f t="shared" si="4"/>
        <v>1</v>
      </c>
      <c r="AC10" s="773">
        <f t="shared" si="5"/>
        <v>1</v>
      </c>
    </row>
    <row r="11" spans="1:29" ht="15">
      <c r="A11" s="428"/>
      <c r="B11" s="2606">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7"/>
      <c r="Q11" s="1797">
        <f t="shared" si="6"/>
        <v>111</v>
      </c>
      <c r="R11" s="770" t="s">
        <v>17</v>
      </c>
      <c r="S11" s="771">
        <f t="shared" si="0"/>
        <v>100</v>
      </c>
      <c r="T11" s="770" t="s">
        <v>17</v>
      </c>
      <c r="U11" s="771">
        <f t="shared" si="1"/>
        <v>100</v>
      </c>
      <c r="V11" s="770" t="s">
        <v>17</v>
      </c>
      <c r="W11" s="771">
        <f t="shared" si="2"/>
        <v>100</v>
      </c>
      <c r="X11" s="772"/>
      <c r="Y11" s="3064"/>
      <c r="Z11" s="55">
        <f t="shared" si="7"/>
        <v>111</v>
      </c>
      <c r="AA11" s="773">
        <f t="shared" si="3"/>
        <v>1</v>
      </c>
      <c r="AB11" s="773">
        <f t="shared" si="4"/>
        <v>1</v>
      </c>
      <c r="AC11" s="773">
        <f t="shared" si="5"/>
        <v>1</v>
      </c>
    </row>
    <row r="12" spans="1:29" s="117" customFormat="1" ht="15">
      <c r="A12" s="431"/>
      <c r="B12" s="2606">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7"/>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75" thickBot="1">
      <c r="A13" s="428"/>
      <c r="B13" s="2606">
        <v>111</v>
      </c>
      <c r="C13" s="434"/>
      <c r="D13" s="435">
        <v>100</v>
      </c>
      <c r="E13" s="469"/>
      <c r="F13" s="425">
        <f>SUMIF(59:59,E13,60:60)-SUMIF(59:59,C13,60:60)+100</f>
        <v>100</v>
      </c>
      <c r="G13" s="2703"/>
      <c r="H13" s="438">
        <f>SUMIF(59:59,G13,60:60)-SUMIF(59:59,C13,60:60)+100</f>
        <v>100</v>
      </c>
      <c r="I13" s="469"/>
      <c r="J13" s="435">
        <f>SUMIF(59:59,I13,60:60)-SUMIF(59:59,C13,60:60)+100</f>
        <v>100</v>
      </c>
      <c r="K13" s="613"/>
      <c r="L13" s="1143"/>
      <c r="M13" s="1134"/>
      <c r="N13" s="1134"/>
      <c r="O13" s="1142"/>
      <c r="P13" s="3217"/>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85.5">
      <c r="A14" s="440" t="s">
        <v>2559</v>
      </c>
      <c r="B14" s="69" t="s">
        <v>2709</v>
      </c>
      <c r="C14" s="2699"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9" t="s">
        <v>2560</v>
      </c>
      <c r="Q14" s="1812" t="str">
        <f t="shared" si="6"/>
        <v>交通便捷度</v>
      </c>
      <c r="R14" s="774" t="s">
        <v>17</v>
      </c>
      <c r="S14" s="775">
        <f t="shared" si="0"/>
        <v>100</v>
      </c>
      <c r="T14" s="774" t="s">
        <v>17</v>
      </c>
      <c r="U14" s="775">
        <f t="shared" si="1"/>
        <v>100</v>
      </c>
      <c r="V14" s="774" t="s">
        <v>17</v>
      </c>
      <c r="W14" s="775">
        <f t="shared" si="2"/>
        <v>100</v>
      </c>
      <c r="X14" s="1815"/>
      <c r="Y14" s="3219" t="s">
        <v>2560</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220"/>
      <c r="Q15" s="1812"/>
      <c r="R15" s="774"/>
      <c r="S15" s="775"/>
      <c r="T15" s="774"/>
      <c r="U15" s="775"/>
      <c r="V15" s="774"/>
      <c r="W15" s="775"/>
      <c r="X15" s="1815"/>
      <c r="Y15" s="3220"/>
      <c r="Z15" s="1816"/>
      <c r="AA15" s="1813">
        <v>1</v>
      </c>
      <c r="AB15" s="1813">
        <v>1</v>
      </c>
      <c r="AC15" s="1813">
        <v>1</v>
      </c>
    </row>
    <row r="16" spans="1:29" ht="42.75">
      <c r="A16" s="428"/>
      <c r="B16" s="451" t="s">
        <v>2688</v>
      </c>
      <c r="C16" s="2613"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0"/>
      <c r="Q16" s="1812" t="str">
        <f>B16</f>
        <v>公共配套设施</v>
      </c>
      <c r="R16" s="774" t="s">
        <v>17</v>
      </c>
      <c r="S16" s="775">
        <f>F16</f>
        <v>100</v>
      </c>
      <c r="T16" s="774" t="s">
        <v>17</v>
      </c>
      <c r="U16" s="775">
        <f>H16</f>
        <v>100</v>
      </c>
      <c r="V16" s="774" t="s">
        <v>17</v>
      </c>
      <c r="W16" s="775">
        <f>J16</f>
        <v>100</v>
      </c>
      <c r="X16" s="1815"/>
      <c r="Y16" s="3220"/>
      <c r="Z16" s="1816" t="str">
        <f>Q16</f>
        <v>公共配套设施</v>
      </c>
      <c r="AA16" s="1813">
        <f t="shared" si="3"/>
        <v>1</v>
      </c>
      <c r="AB16" s="1813">
        <f t="shared" si="4"/>
        <v>1</v>
      </c>
      <c r="AC16" s="1813">
        <f t="shared" si="5"/>
        <v>1</v>
      </c>
    </row>
    <row r="17" spans="1:29" ht="15">
      <c r="A17" s="428"/>
      <c r="B17" s="456"/>
      <c r="C17" s="2614"/>
      <c r="D17" s="448"/>
      <c r="E17" s="447"/>
      <c r="F17" s="449"/>
      <c r="G17" s="447"/>
      <c r="H17" s="448"/>
      <c r="I17" s="447"/>
      <c r="J17" s="448"/>
      <c r="K17" s="615"/>
      <c r="L17" s="1143"/>
      <c r="M17" s="1134"/>
      <c r="N17" s="1134"/>
      <c r="O17" s="1142"/>
      <c r="P17" s="3220"/>
      <c r="Q17" s="1812"/>
      <c r="R17" s="774"/>
      <c r="S17" s="775"/>
      <c r="T17" s="774"/>
      <c r="U17" s="775"/>
      <c r="V17" s="774"/>
      <c r="W17" s="775"/>
      <c r="X17" s="1815"/>
      <c r="Y17" s="3220"/>
      <c r="Z17" s="1816"/>
      <c r="AA17" s="1813">
        <v>1</v>
      </c>
      <c r="AB17" s="1813">
        <v>1</v>
      </c>
      <c r="AC17" s="1813">
        <v>1</v>
      </c>
    </row>
    <row r="18" spans="1:29" ht="28.5">
      <c r="A18" s="428"/>
      <c r="B18" s="1387" t="s">
        <v>2689</v>
      </c>
      <c r="C18" s="2613"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0"/>
      <c r="Q18" s="1812" t="str">
        <f>B18</f>
        <v>基础设施水平</v>
      </c>
      <c r="R18" s="774" t="s">
        <v>17</v>
      </c>
      <c r="S18" s="775">
        <f>F18</f>
        <v>100</v>
      </c>
      <c r="T18" s="774" t="s">
        <v>17</v>
      </c>
      <c r="U18" s="775">
        <f>H18</f>
        <v>100</v>
      </c>
      <c r="V18" s="774" t="s">
        <v>17</v>
      </c>
      <c r="W18" s="775">
        <f>J18</f>
        <v>100</v>
      </c>
      <c r="X18" s="1815"/>
      <c r="Y18" s="3220"/>
      <c r="Z18" s="1816" t="str">
        <f>Q18</f>
        <v>基础设施水平</v>
      </c>
      <c r="AA18" s="1813">
        <f t="shared" ref="AA18" si="8">D18/F18</f>
        <v>1</v>
      </c>
      <c r="AB18" s="1813">
        <f t="shared" ref="AB18" si="9">D18/H18</f>
        <v>1</v>
      </c>
      <c r="AC18" s="1813">
        <f t="shared" ref="AC18" si="10">D18/J18</f>
        <v>1</v>
      </c>
    </row>
    <row r="19" spans="1:29" ht="15">
      <c r="A19" s="428"/>
      <c r="B19" s="1387"/>
      <c r="C19" s="2614"/>
      <c r="D19" s="450"/>
      <c r="E19" s="2614"/>
      <c r="F19" s="453"/>
      <c r="G19" s="2614"/>
      <c r="H19" s="448"/>
      <c r="I19" s="447"/>
      <c r="J19" s="448"/>
      <c r="K19" s="1386"/>
      <c r="L19" s="1143"/>
      <c r="M19" s="1134"/>
      <c r="N19" s="1134"/>
      <c r="O19" s="1142"/>
      <c r="P19" s="3220"/>
      <c r="Q19" s="1812"/>
      <c r="R19" s="774"/>
      <c r="S19" s="775"/>
      <c r="T19" s="774"/>
      <c r="U19" s="775"/>
      <c r="V19" s="774"/>
      <c r="W19" s="775"/>
      <c r="X19" s="1815"/>
      <c r="Y19" s="3220"/>
      <c r="Z19" s="1816"/>
      <c r="AA19" s="1813">
        <v>1</v>
      </c>
      <c r="AB19" s="1813">
        <v>1</v>
      </c>
      <c r="AC19" s="1813">
        <v>1</v>
      </c>
    </row>
    <row r="20" spans="1:29" ht="57">
      <c r="A20" s="428"/>
      <c r="B20" s="451" t="s">
        <v>2710</v>
      </c>
      <c r="C20" s="2613"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0"/>
      <c r="Q20" s="1812" t="str">
        <f>B20</f>
        <v>自然及人文环境</v>
      </c>
      <c r="R20" s="774" t="s">
        <v>17</v>
      </c>
      <c r="S20" s="775">
        <f>F20</f>
        <v>100</v>
      </c>
      <c r="T20" s="774" t="s">
        <v>17</v>
      </c>
      <c r="U20" s="775">
        <f>H20</f>
        <v>100</v>
      </c>
      <c r="V20" s="774" t="s">
        <v>17</v>
      </c>
      <c r="W20" s="775">
        <f>J20</f>
        <v>100</v>
      </c>
      <c r="X20" s="1815"/>
      <c r="Y20" s="3220"/>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220"/>
      <c r="Q21" s="1812"/>
      <c r="R21" s="774"/>
      <c r="S21" s="775"/>
      <c r="T21" s="774"/>
      <c r="U21" s="775"/>
      <c r="V21" s="774"/>
      <c r="W21" s="775"/>
      <c r="X21" s="1815"/>
      <c r="Y21" s="3220"/>
      <c r="Z21" s="1816"/>
      <c r="AA21" s="1813">
        <v>1</v>
      </c>
      <c r="AB21" s="1813">
        <v>1</v>
      </c>
      <c r="AC21" s="1813">
        <v>1</v>
      </c>
    </row>
    <row r="22" spans="1:29" ht="15">
      <c r="A22" s="428"/>
      <c r="B22" s="451" t="s">
        <v>2711</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0"/>
      <c r="Q22" s="1812" t="str">
        <f>B22</f>
        <v>楼层</v>
      </c>
      <c r="R22" s="774" t="s">
        <v>17</v>
      </c>
      <c r="S22" s="775">
        <f>F22</f>
        <v>100</v>
      </c>
      <c r="T22" s="774" t="s">
        <v>17</v>
      </c>
      <c r="U22" s="775">
        <f>H22</f>
        <v>100</v>
      </c>
      <c r="V22" s="774" t="s">
        <v>17</v>
      </c>
      <c r="W22" s="775">
        <f>J22</f>
        <v>100</v>
      </c>
      <c r="X22" s="1815"/>
      <c r="Y22" s="3220"/>
      <c r="Z22" s="1816" t="str">
        <f>Q22</f>
        <v>楼层</v>
      </c>
      <c r="AA22" s="1813">
        <f t="shared" si="3"/>
        <v>1</v>
      </c>
      <c r="AB22" s="1813">
        <f t="shared" si="4"/>
        <v>1</v>
      </c>
      <c r="AC22" s="1813">
        <f t="shared" si="5"/>
        <v>1</v>
      </c>
    </row>
    <row r="23" spans="1:29" ht="15">
      <c r="A23" s="404"/>
      <c r="B23" s="2606">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0"/>
      <c r="Q23" s="1812">
        <f>B23</f>
        <v>111</v>
      </c>
      <c r="R23" s="774" t="s">
        <v>17</v>
      </c>
      <c r="S23" s="775">
        <f>F23</f>
        <v>100</v>
      </c>
      <c r="T23" s="774" t="s">
        <v>17</v>
      </c>
      <c r="U23" s="775">
        <f>H23</f>
        <v>100</v>
      </c>
      <c r="V23" s="774" t="s">
        <v>17</v>
      </c>
      <c r="W23" s="775">
        <f>J23</f>
        <v>100</v>
      </c>
      <c r="X23" s="1815"/>
      <c r="Y23" s="3220"/>
      <c r="Z23" s="1816">
        <f>Q23</f>
        <v>111</v>
      </c>
      <c r="AA23" s="1813">
        <f t="shared" si="3"/>
        <v>1</v>
      </c>
      <c r="AB23" s="1813">
        <f t="shared" si="4"/>
        <v>1</v>
      </c>
      <c r="AC23" s="1813">
        <f t="shared" si="5"/>
        <v>1</v>
      </c>
    </row>
    <row r="24" spans="1:29" ht="15">
      <c r="A24" s="428"/>
      <c r="B24" s="2606">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0"/>
      <c r="Q24" s="1812">
        <f t="shared" ref="Q24:Q34" si="11">B24</f>
        <v>111</v>
      </c>
      <c r="R24" s="774" t="s">
        <v>17</v>
      </c>
      <c r="S24" s="775">
        <f>F24</f>
        <v>100</v>
      </c>
      <c r="T24" s="774" t="s">
        <v>17</v>
      </c>
      <c r="U24" s="775">
        <f>H24</f>
        <v>100</v>
      </c>
      <c r="V24" s="774" t="s">
        <v>17</v>
      </c>
      <c r="W24" s="775">
        <f>J24</f>
        <v>100</v>
      </c>
      <c r="X24" s="1815"/>
      <c r="Y24" s="3220"/>
      <c r="Z24" s="1816">
        <f>Q24</f>
        <v>111</v>
      </c>
      <c r="AA24" s="1813">
        <f t="shared" si="3"/>
        <v>1</v>
      </c>
      <c r="AB24" s="1813">
        <f t="shared" si="4"/>
        <v>1</v>
      </c>
      <c r="AC24" s="1813">
        <f t="shared" si="5"/>
        <v>1</v>
      </c>
    </row>
    <row r="25" spans="1:29" s="117" customFormat="1" ht="15.75" thickBot="1">
      <c r="A25" s="431"/>
      <c r="B25" s="2606">
        <v>111</v>
      </c>
      <c r="C25" s="2704"/>
      <c r="D25" s="665">
        <v>100</v>
      </c>
      <c r="E25" s="2704"/>
      <c r="F25" s="666">
        <f>SUMIF(75:75,E25,76:76)-SUMIF(75:75,C25,76:76)+100</f>
        <v>100</v>
      </c>
      <c r="G25" s="2704"/>
      <c r="H25" s="665">
        <f>SUMIF(75:75,G25,76:76)-SUMIF(75:75,C25,76:76)+100</f>
        <v>100</v>
      </c>
      <c r="I25" s="2704"/>
      <c r="J25" s="665">
        <f>SUMIF(75:75,I25,76:76)-SUMIF(75:75,C25,76:76)+100</f>
        <v>100</v>
      </c>
      <c r="K25" s="613"/>
      <c r="L25" s="1135"/>
      <c r="M25" s="1136"/>
      <c r="N25" s="1136"/>
      <c r="O25" s="1137"/>
      <c r="P25" s="3220"/>
      <c r="Q25" s="1797">
        <f t="shared" si="11"/>
        <v>111</v>
      </c>
      <c r="R25" s="770" t="s">
        <v>17</v>
      </c>
      <c r="S25" s="771">
        <f>F25</f>
        <v>100</v>
      </c>
      <c r="T25" s="770" t="s">
        <v>17</v>
      </c>
      <c r="U25" s="771">
        <f>H25</f>
        <v>100</v>
      </c>
      <c r="V25" s="770" t="s">
        <v>17</v>
      </c>
      <c r="W25" s="771">
        <f>J25</f>
        <v>100</v>
      </c>
      <c r="X25" s="772"/>
      <c r="Y25" s="3220"/>
      <c r="Z25" s="55">
        <f>Q25</f>
        <v>111</v>
      </c>
      <c r="AA25" s="1813">
        <f>D25/F25</f>
        <v>1</v>
      </c>
      <c r="AB25" s="1813">
        <f>D25/H25</f>
        <v>1</v>
      </c>
      <c r="AC25" s="1813">
        <f>D25/J25</f>
        <v>1</v>
      </c>
    </row>
    <row r="26" spans="1:29" ht="28.5">
      <c r="A26" s="466" t="s">
        <v>2563</v>
      </c>
      <c r="B26" s="71" t="s">
        <v>2714</v>
      </c>
      <c r="C26" s="2685"/>
      <c r="D26" s="467">
        <v>100</v>
      </c>
      <c r="E26" s="2685"/>
      <c r="F26" s="667">
        <f>SUMIF(77:77,E26,78:78)-SUMIF(77:77,C26,78:78)+100</f>
        <v>100</v>
      </c>
      <c r="G26" s="2685"/>
      <c r="H26" s="467">
        <f>SUMIF(77:77,G26,78:78)-SUMIF(77:77,C26,78:78)+100</f>
        <v>100</v>
      </c>
      <c r="I26" s="2685"/>
      <c r="J26" s="467">
        <f>SUMIF(77:77,I26,78:78)-SUMIF(77:77,C26,78:78)+100</f>
        <v>100</v>
      </c>
      <c r="K26" s="612"/>
      <c r="L26" s="1143"/>
      <c r="M26" s="1134"/>
      <c r="N26" s="1134"/>
      <c r="O26" s="1142"/>
      <c r="P26" s="3221" t="s">
        <v>2565</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222" t="s">
        <v>2565</v>
      </c>
      <c r="Z26" s="1816" t="str">
        <f t="shared" ref="Z26:Z34" si="15">Q26</f>
        <v>公共部分装修</v>
      </c>
      <c r="AA26" s="1813">
        <f t="shared" si="3"/>
        <v>1</v>
      </c>
      <c r="AB26" s="1813">
        <f t="shared" si="4"/>
        <v>1</v>
      </c>
      <c r="AC26" s="1813">
        <f t="shared" si="5"/>
        <v>1</v>
      </c>
    </row>
    <row r="27" spans="1:29" s="471" customFormat="1" ht="15">
      <c r="A27" s="468"/>
      <c r="B27" s="422" t="s">
        <v>2715</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3" t="e">
        <f t="shared" si="3"/>
        <v>#N/A</v>
      </c>
      <c r="AB27" s="1813" t="e">
        <f t="shared" si="4"/>
        <v>#N/A</v>
      </c>
      <c r="AC27" s="1813" t="e">
        <f t="shared" si="5"/>
        <v>#N/A</v>
      </c>
    </row>
    <row r="28" spans="1:29" ht="15">
      <c r="A28" s="472"/>
      <c r="B28" s="422" t="s">
        <v>2716</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2" t="str">
        <f t="shared" si="11"/>
        <v>物业等级</v>
      </c>
      <c r="R28" s="774" t="s">
        <v>17</v>
      </c>
      <c r="S28" s="775">
        <f t="shared" si="12"/>
        <v>100</v>
      </c>
      <c r="T28" s="774" t="s">
        <v>17</v>
      </c>
      <c r="U28" s="775">
        <f t="shared" si="13"/>
        <v>100</v>
      </c>
      <c r="V28" s="774" t="s">
        <v>17</v>
      </c>
      <c r="W28" s="775">
        <f t="shared" si="14"/>
        <v>100</v>
      </c>
      <c r="X28" s="1815"/>
      <c r="Y28" s="3222"/>
      <c r="Z28" s="1816" t="str">
        <f t="shared" si="15"/>
        <v>物业等级</v>
      </c>
      <c r="AA28" s="1813">
        <f t="shared" si="3"/>
        <v>1</v>
      </c>
      <c r="AB28" s="1813">
        <f t="shared" si="4"/>
        <v>1</v>
      </c>
      <c r="AC28" s="1813">
        <f t="shared" si="5"/>
        <v>1</v>
      </c>
    </row>
    <row r="29" spans="1:29" ht="15">
      <c r="A29" s="472"/>
      <c r="B29" s="422" t="s">
        <v>2737</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2" t="str">
        <f t="shared" si="11"/>
        <v>有无电梯</v>
      </c>
      <c r="R29" s="774" t="s">
        <v>17</v>
      </c>
      <c r="S29" s="775">
        <f t="shared" si="12"/>
        <v>100</v>
      </c>
      <c r="T29" s="774" t="s">
        <v>17</v>
      </c>
      <c r="U29" s="775">
        <f t="shared" si="13"/>
        <v>100</v>
      </c>
      <c r="V29" s="774" t="s">
        <v>17</v>
      </c>
      <c r="W29" s="775">
        <f t="shared" si="14"/>
        <v>100</v>
      </c>
      <c r="X29" s="1815"/>
      <c r="Y29" s="3222"/>
      <c r="Z29" s="1816" t="str">
        <f t="shared" si="15"/>
        <v>有无电梯</v>
      </c>
      <c r="AA29" s="1813">
        <f t="shared" si="3"/>
        <v>1</v>
      </c>
      <c r="AB29" s="1813">
        <f t="shared" si="4"/>
        <v>1</v>
      </c>
      <c r="AC29" s="1813">
        <f t="shared" si="5"/>
        <v>1</v>
      </c>
    </row>
    <row r="30" spans="1:29" ht="15">
      <c r="A30" s="472"/>
      <c r="B30" s="422" t="s">
        <v>2738</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2" t="str">
        <f t="shared" si="11"/>
        <v>建筑面积</v>
      </c>
      <c r="R30" s="774" t="s">
        <v>17</v>
      </c>
      <c r="S30" s="775" t="e">
        <f t="shared" si="12"/>
        <v>#N/A</v>
      </c>
      <c r="T30" s="774" t="s">
        <v>17</v>
      </c>
      <c r="U30" s="775" t="e">
        <f t="shared" si="13"/>
        <v>#N/A</v>
      </c>
      <c r="V30" s="774" t="s">
        <v>17</v>
      </c>
      <c r="W30" s="775" t="e">
        <f t="shared" si="14"/>
        <v>#N/A</v>
      </c>
      <c r="X30" s="1815"/>
      <c r="Y30" s="3222"/>
      <c r="Z30" s="1816" t="str">
        <f t="shared" si="15"/>
        <v>建筑面积</v>
      </c>
      <c r="AA30" s="1813" t="e">
        <f t="shared" si="3"/>
        <v>#N/A</v>
      </c>
      <c r="AB30" s="1813" t="e">
        <f t="shared" si="4"/>
        <v>#N/A</v>
      </c>
      <c r="AC30" s="1813" t="e">
        <f t="shared" si="5"/>
        <v>#N/A</v>
      </c>
    </row>
    <row r="31" spans="1:29" s="117" customFormat="1" ht="15">
      <c r="A31" s="473"/>
      <c r="B31" s="422" t="s">
        <v>2739</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7"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6">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2565</v>
      </c>
      <c r="Q32" s="1812">
        <f t="shared" si="11"/>
        <v>111</v>
      </c>
      <c r="R32" s="774" t="s">
        <v>17</v>
      </c>
      <c r="S32" s="775">
        <f t="shared" si="12"/>
        <v>100</v>
      </c>
      <c r="T32" s="774" t="s">
        <v>17</v>
      </c>
      <c r="U32" s="775">
        <f t="shared" si="13"/>
        <v>100</v>
      </c>
      <c r="V32" s="774" t="s">
        <v>17</v>
      </c>
      <c r="W32" s="775">
        <f t="shared" si="14"/>
        <v>100</v>
      </c>
      <c r="X32" s="1815"/>
      <c r="Y32" s="3222" t="s">
        <v>2565</v>
      </c>
      <c r="Z32" s="1816">
        <f t="shared" si="15"/>
        <v>111</v>
      </c>
      <c r="AA32" s="1813">
        <f t="shared" si="3"/>
        <v>1</v>
      </c>
      <c r="AB32" s="1813">
        <f t="shared" si="4"/>
        <v>1</v>
      </c>
      <c r="AC32" s="1813">
        <f t="shared" si="5"/>
        <v>1</v>
      </c>
    </row>
    <row r="33" spans="1:29" ht="15">
      <c r="A33" s="472"/>
      <c r="B33" s="2606">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2">
        <f t="shared" si="11"/>
        <v>111</v>
      </c>
      <c r="R33" s="774" t="s">
        <v>17</v>
      </c>
      <c r="S33" s="775">
        <f t="shared" si="12"/>
        <v>100</v>
      </c>
      <c r="T33" s="774" t="s">
        <v>17</v>
      </c>
      <c r="U33" s="775">
        <f t="shared" si="13"/>
        <v>100</v>
      </c>
      <c r="V33" s="774" t="s">
        <v>17</v>
      </c>
      <c r="W33" s="775">
        <f t="shared" si="14"/>
        <v>100</v>
      </c>
      <c r="X33" s="1815"/>
      <c r="Y33" s="3222"/>
      <c r="Z33" s="1816">
        <f t="shared" si="15"/>
        <v>111</v>
      </c>
      <c r="AA33" s="1813">
        <f t="shared" si="3"/>
        <v>1</v>
      </c>
      <c r="AB33" s="1813">
        <f t="shared" si="4"/>
        <v>1</v>
      </c>
      <c r="AC33" s="1813">
        <f t="shared" si="5"/>
        <v>1</v>
      </c>
    </row>
    <row r="34" spans="1:29" ht="15.75" thickBot="1">
      <c r="A34" s="478"/>
      <c r="B34" s="2608">
        <v>111</v>
      </c>
      <c r="C34" s="437"/>
      <c r="D34" s="438">
        <v>100</v>
      </c>
      <c r="E34" s="2703"/>
      <c r="F34" s="439">
        <f>SUMIF(95:95,E34,96:96)-SUMIF(95:95,C34,96:96)+100</f>
        <v>100</v>
      </c>
      <c r="G34" s="2703"/>
      <c r="H34" s="438">
        <f>SUMIF(95:95,G34,96:96)-SUMIF(95:95,C34,96:96)+100</f>
        <v>100</v>
      </c>
      <c r="I34" s="2703"/>
      <c r="J34" s="438">
        <f>SUMIF(95:95,I34,96:96)-SUMIF(95:95,C34,96:96)+100</f>
        <v>100</v>
      </c>
      <c r="K34" s="613"/>
      <c r="L34" s="1143"/>
      <c r="M34" s="1134"/>
      <c r="N34" s="1134"/>
      <c r="O34" s="1142"/>
      <c r="P34" s="3222"/>
      <c r="Q34" s="1812">
        <f t="shared" si="11"/>
        <v>111</v>
      </c>
      <c r="R34" s="774" t="s">
        <v>17</v>
      </c>
      <c r="S34" s="775">
        <f t="shared" si="12"/>
        <v>100</v>
      </c>
      <c r="T34" s="774" t="s">
        <v>17</v>
      </c>
      <c r="U34" s="775">
        <f t="shared" si="13"/>
        <v>100</v>
      </c>
      <c r="V34" s="774" t="s">
        <v>17</v>
      </c>
      <c r="W34" s="775">
        <f t="shared" si="14"/>
        <v>100</v>
      </c>
      <c r="X34" s="1815"/>
      <c r="Y34" s="3222"/>
      <c r="Z34" s="1816">
        <f t="shared" si="15"/>
        <v>111</v>
      </c>
      <c r="AA34" s="1813">
        <f t="shared" si="3"/>
        <v>1</v>
      </c>
      <c r="AB34" s="1813">
        <f t="shared" si="4"/>
        <v>1</v>
      </c>
      <c r="AC34" s="1813">
        <f t="shared" si="5"/>
        <v>1</v>
      </c>
    </row>
    <row r="35" spans="1:29" ht="15">
      <c r="A35" s="479" t="s">
        <v>2577</v>
      </c>
      <c r="B35" s="480"/>
      <c r="C35" s="1410" t="s">
        <v>1</v>
      </c>
      <c r="D35" s="1411"/>
      <c r="E35" s="1412"/>
      <c r="F35" s="1413"/>
      <c r="G35" s="1414"/>
      <c r="H35" s="1415"/>
      <c r="I35" s="1412"/>
      <c r="J35" s="1415"/>
      <c r="K35" s="783"/>
      <c r="L35" s="1146"/>
      <c r="M35" s="1147"/>
      <c r="N35" s="1134"/>
      <c r="O35" s="1147"/>
      <c r="P35" s="3217" t="str">
        <f>A35</f>
        <v>成交单价（元/平方米）</v>
      </c>
      <c r="Q35" s="3217"/>
      <c r="R35" s="3283">
        <f>E35</f>
        <v>0</v>
      </c>
      <c r="S35" s="3283"/>
      <c r="T35" s="3283">
        <f>G35</f>
        <v>0</v>
      </c>
      <c r="U35" s="3283"/>
      <c r="V35" s="3283">
        <f>I35</f>
        <v>0</v>
      </c>
      <c r="W35" s="3283"/>
      <c r="X35" s="759"/>
      <c r="Y35" s="781"/>
      <c r="Z35" s="759"/>
      <c r="AA35" s="759"/>
      <c r="AB35" s="759"/>
      <c r="AC35" s="759"/>
    </row>
    <row r="36" spans="1:29" ht="15.75" thickBot="1">
      <c r="A36" s="486" t="s">
        <v>2669</v>
      </c>
      <c r="B36" s="487"/>
      <c r="C36" s="1416" t="e">
        <f>R37</f>
        <v>#DIV/0!</v>
      </c>
      <c r="D36" s="1417"/>
      <c r="E36" s="1418" t="e">
        <f>R36</f>
        <v>#DIV/0!</v>
      </c>
      <c r="F36" s="1418"/>
      <c r="G36" s="1416" t="e">
        <f>T36</f>
        <v>#DIV/0!</v>
      </c>
      <c r="H36" s="1417"/>
      <c r="I36" s="1418" t="e">
        <f>V36</f>
        <v>#DIV/0!</v>
      </c>
      <c r="J36" s="1417"/>
      <c r="K36" s="784"/>
      <c r="L36" s="1146"/>
      <c r="M36" s="1147"/>
      <c r="N36" s="1134"/>
      <c r="O36" s="1147"/>
      <c r="P36" s="3217" t="str">
        <f>A36</f>
        <v>比较价值（元/平方米）</v>
      </c>
      <c r="Q36" s="3217"/>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759"/>
      <c r="Y36" s="759"/>
      <c r="Z36" s="759"/>
      <c r="AA36" s="759"/>
      <c r="AB36" s="759"/>
      <c r="AC36" s="759"/>
    </row>
    <row r="37" spans="1:29" ht="15.75" thickBot="1">
      <c r="A37" s="492" t="s">
        <v>2670</v>
      </c>
      <c r="B37" s="493"/>
      <c r="C37" s="1420" t="e">
        <f>R37</f>
        <v>#DIV/0!</v>
      </c>
      <c r="D37" s="1420"/>
      <c r="E37" s="1420"/>
      <c r="F37" s="1420"/>
      <c r="G37" s="1420"/>
      <c r="H37" s="1420"/>
      <c r="I37" s="1420"/>
      <c r="J37" s="1420"/>
      <c r="K37" s="785"/>
      <c r="L37" s="1146"/>
      <c r="M37" s="1147"/>
      <c r="N37" s="1147"/>
      <c r="O37" s="1147"/>
      <c r="P37" s="3211" t="str">
        <f>A37</f>
        <v>估价对象XX用房的比较价值（楼面单价，元/平方米）</v>
      </c>
      <c r="Q37" s="3212"/>
      <c r="R37" s="3282" t="e">
        <f>IF(F1="售价",ROUND(AVERAGE(R36:V36),0),ROUND(AVERAGE(R36:V36),1))</f>
        <v>#DIV/0!</v>
      </c>
      <c r="S37" s="3282"/>
      <c r="T37" s="3282"/>
      <c r="U37" s="3282"/>
      <c r="V37" s="3282"/>
      <c r="W37" s="3282"/>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2671</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2672</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2673</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2674</v>
      </c>
      <c r="B45" s="759"/>
      <c r="C45" s="764"/>
      <c r="D45" s="764"/>
      <c r="E45" s="764"/>
      <c r="F45" s="765"/>
      <c r="G45" s="765"/>
      <c r="H45" s="764"/>
      <c r="I45" s="764"/>
      <c r="J45" s="764"/>
      <c r="K45" s="766"/>
      <c r="L45" s="767"/>
      <c r="M45" s="764"/>
      <c r="N45" s="764"/>
      <c r="O45" s="764"/>
      <c r="P45" s="503"/>
      <c r="Q45" s="504"/>
    </row>
    <row r="46" spans="1:29" s="508" customFormat="1" ht="15">
      <c r="A46" s="505" t="s">
        <v>2548</v>
      </c>
      <c r="B46" s="506"/>
      <c r="C46" s="1576" t="str">
        <f>YEAR(C7)&amp;"-"&amp;MONTH(C7)</f>
        <v>2019-8</v>
      </c>
      <c r="D46" s="1577">
        <f>EDATE(C46,-1)</f>
        <v>43647</v>
      </c>
      <c r="E46" s="1577">
        <f t="shared" ref="E46:O46" si="16">EDATE(D46,-1)</f>
        <v>43617</v>
      </c>
      <c r="F46" s="1577">
        <f t="shared" si="16"/>
        <v>43586</v>
      </c>
      <c r="G46" s="1577">
        <f t="shared" si="16"/>
        <v>43556</v>
      </c>
      <c r="H46" s="1577">
        <f t="shared" si="16"/>
        <v>43525</v>
      </c>
      <c r="I46" s="1577">
        <f t="shared" si="16"/>
        <v>43497</v>
      </c>
      <c r="J46" s="1577">
        <f t="shared" si="16"/>
        <v>43466</v>
      </c>
      <c r="K46" s="1577">
        <f t="shared" si="16"/>
        <v>43435</v>
      </c>
      <c r="L46" s="1577">
        <f t="shared" si="16"/>
        <v>43405</v>
      </c>
      <c r="M46" s="1577">
        <f t="shared" si="16"/>
        <v>43374</v>
      </c>
      <c r="N46" s="1577">
        <f t="shared" si="16"/>
        <v>43344</v>
      </c>
      <c r="O46" s="1577">
        <f t="shared" si="16"/>
        <v>43313</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2585</v>
      </c>
      <c r="B48" s="516"/>
      <c r="C48" s="517"/>
      <c r="D48" s="518"/>
      <c r="E48" s="518"/>
      <c r="F48" s="518"/>
      <c r="G48" s="518"/>
      <c r="H48" s="518"/>
      <c r="I48" s="518"/>
      <c r="J48" s="518"/>
      <c r="K48" s="518"/>
      <c r="L48" s="518"/>
      <c r="M48" s="519"/>
      <c r="N48" s="518"/>
      <c r="O48" s="520"/>
      <c r="P48" s="504"/>
      <c r="Q48" s="504"/>
    </row>
    <row r="49" spans="1:17" s="117" customFormat="1" ht="15">
      <c r="A49" s="521" t="s">
        <v>2550</v>
      </c>
      <c r="B49" s="510"/>
      <c r="C49" s="522" t="s">
        <v>2652</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2588</v>
      </c>
      <c r="B51" s="528" t="s">
        <v>2554</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2557</v>
      </c>
      <c r="C53" s="539" t="s">
        <v>2589</v>
      </c>
      <c r="D53" s="539" t="s">
        <v>2590</v>
      </c>
      <c r="E53" s="539" t="s">
        <v>2591</v>
      </c>
      <c r="F53" s="539" t="s">
        <v>2592</v>
      </c>
      <c r="G53" s="539" t="s">
        <v>2593</v>
      </c>
      <c r="H53" s="539" t="s">
        <v>2594</v>
      </c>
      <c r="I53" s="539" t="s">
        <v>2595</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2559</v>
      </c>
      <c r="B61" s="528" t="s">
        <v>2602</v>
      </c>
      <c r="C61" s="573" t="s">
        <v>2597</v>
      </c>
      <c r="D61" s="573" t="s">
        <v>2598</v>
      </c>
      <c r="E61" s="573" t="s">
        <v>2599</v>
      </c>
      <c r="F61" s="573" t="s">
        <v>2600</v>
      </c>
      <c r="G61" s="573" t="s">
        <v>2601</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2740</v>
      </c>
      <c r="C63" s="578" t="s">
        <v>2597</v>
      </c>
      <c r="D63" s="578" t="s">
        <v>2598</v>
      </c>
      <c r="E63" s="578" t="s">
        <v>2599</v>
      </c>
      <c r="F63" s="578" t="s">
        <v>2600</v>
      </c>
      <c r="G63" s="578" t="s">
        <v>2601</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2689</v>
      </c>
      <c r="C65" s="660" t="s">
        <v>2675</v>
      </c>
      <c r="D65" s="660" t="s">
        <v>2676</v>
      </c>
      <c r="E65" s="660" t="s">
        <v>2677</v>
      </c>
      <c r="F65" s="660" t="s">
        <v>2678</v>
      </c>
      <c r="G65" s="660" t="s">
        <v>2679</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2609</v>
      </c>
      <c r="C67" s="578" t="s">
        <v>2597</v>
      </c>
      <c r="D67" s="578" t="s">
        <v>2598</v>
      </c>
      <c r="E67" s="578" t="s">
        <v>2599</v>
      </c>
      <c r="F67" s="578" t="s">
        <v>2600</v>
      </c>
      <c r="G67" s="578" t="s">
        <v>2601</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2729</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2563</v>
      </c>
      <c r="B77" s="528" t="s">
        <v>2616</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2732</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2733</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2741</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2742</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2743</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6"/>
  <sheetViews>
    <sheetView topLeftCell="B1" workbookViewId="0">
      <selection activeCell="G9" sqref="G9"/>
    </sheetView>
  </sheetViews>
  <sheetFormatPr defaultRowHeight="13.5"/>
  <cols>
    <col min="1" max="1" width="37.625" style="2948" customWidth="1"/>
    <col min="2" max="2" width="6.25" style="2948" customWidth="1"/>
    <col min="3" max="3" width="11.75" style="2948" customWidth="1"/>
    <col min="4" max="5" width="13.875" style="2948" customWidth="1"/>
    <col min="6" max="6" width="6.25" style="2948" customWidth="1"/>
    <col min="7" max="7" width="7.875" style="2948" customWidth="1"/>
    <col min="8" max="8" width="12.125" style="2948" customWidth="1"/>
    <col min="9" max="10" width="10.625" style="2948" customWidth="1"/>
    <col min="11" max="11" width="14.375" style="2948" customWidth="1"/>
    <col min="12" max="12" width="6.25" style="2948" customWidth="1"/>
    <col min="13" max="13" width="16" style="2948" customWidth="1"/>
    <col min="14" max="14" width="7.875" style="2948" customWidth="1"/>
    <col min="15" max="15" width="12.75" style="2948" bestFit="1" customWidth="1"/>
    <col min="16" max="256" width="9" style="2948"/>
    <col min="257" max="257" width="37.625" style="2948" customWidth="1"/>
    <col min="258" max="258" width="6.25" style="2948" customWidth="1"/>
    <col min="259" max="259" width="11.75" style="2948" customWidth="1"/>
    <col min="260" max="261" width="13.875" style="2948" customWidth="1"/>
    <col min="262" max="262" width="6.25" style="2948" customWidth="1"/>
    <col min="263" max="263" width="7.875" style="2948" customWidth="1"/>
    <col min="264" max="264" width="9" style="2948" customWidth="1"/>
    <col min="265" max="266" width="10.625" style="2948" customWidth="1"/>
    <col min="267" max="267" width="14.375" style="2948" customWidth="1"/>
    <col min="268" max="268" width="6.25" style="2948" customWidth="1"/>
    <col min="269" max="269" width="147.75" style="2948" customWidth="1"/>
    <col min="270" max="270" width="7.875" style="2948" customWidth="1"/>
    <col min="271" max="512" width="9" style="2948"/>
    <col min="513" max="513" width="37.625" style="2948" customWidth="1"/>
    <col min="514" max="514" width="6.25" style="2948" customWidth="1"/>
    <col min="515" max="515" width="11.75" style="2948" customWidth="1"/>
    <col min="516" max="517" width="13.875" style="2948" customWidth="1"/>
    <col min="518" max="518" width="6.25" style="2948" customWidth="1"/>
    <col min="519" max="519" width="7.875" style="2948" customWidth="1"/>
    <col min="520" max="520" width="9" style="2948" customWidth="1"/>
    <col min="521" max="522" width="10.625" style="2948" customWidth="1"/>
    <col min="523" max="523" width="14.375" style="2948" customWidth="1"/>
    <col min="524" max="524" width="6.25" style="2948" customWidth="1"/>
    <col min="525" max="525" width="147.75" style="2948" customWidth="1"/>
    <col min="526" max="526" width="7.875" style="2948" customWidth="1"/>
    <col min="527" max="768" width="9" style="2948"/>
    <col min="769" max="769" width="37.625" style="2948" customWidth="1"/>
    <col min="770" max="770" width="6.25" style="2948" customWidth="1"/>
    <col min="771" max="771" width="11.75" style="2948" customWidth="1"/>
    <col min="772" max="773" width="13.875" style="2948" customWidth="1"/>
    <col min="774" max="774" width="6.25" style="2948" customWidth="1"/>
    <col min="775" max="775" width="7.875" style="2948" customWidth="1"/>
    <col min="776" max="776" width="9" style="2948" customWidth="1"/>
    <col min="777" max="778" width="10.625" style="2948" customWidth="1"/>
    <col min="779" max="779" width="14.375" style="2948" customWidth="1"/>
    <col min="780" max="780" width="6.25" style="2948" customWidth="1"/>
    <col min="781" max="781" width="147.75" style="2948" customWidth="1"/>
    <col min="782" max="782" width="7.875" style="2948" customWidth="1"/>
    <col min="783" max="1024" width="9" style="2948"/>
    <col min="1025" max="1025" width="37.625" style="2948" customWidth="1"/>
    <col min="1026" max="1026" width="6.25" style="2948" customWidth="1"/>
    <col min="1027" max="1027" width="11.75" style="2948" customWidth="1"/>
    <col min="1028" max="1029" width="13.875" style="2948" customWidth="1"/>
    <col min="1030" max="1030" width="6.25" style="2948" customWidth="1"/>
    <col min="1031" max="1031" width="7.875" style="2948" customWidth="1"/>
    <col min="1032" max="1032" width="9" style="2948" customWidth="1"/>
    <col min="1033" max="1034" width="10.625" style="2948" customWidth="1"/>
    <col min="1035" max="1035" width="14.375" style="2948" customWidth="1"/>
    <col min="1036" max="1036" width="6.25" style="2948" customWidth="1"/>
    <col min="1037" max="1037" width="147.75" style="2948" customWidth="1"/>
    <col min="1038" max="1038" width="7.875" style="2948" customWidth="1"/>
    <col min="1039" max="1280" width="9" style="2948"/>
    <col min="1281" max="1281" width="37.625" style="2948" customWidth="1"/>
    <col min="1282" max="1282" width="6.25" style="2948" customWidth="1"/>
    <col min="1283" max="1283" width="11.75" style="2948" customWidth="1"/>
    <col min="1284" max="1285" width="13.875" style="2948" customWidth="1"/>
    <col min="1286" max="1286" width="6.25" style="2948" customWidth="1"/>
    <col min="1287" max="1287" width="7.875" style="2948" customWidth="1"/>
    <col min="1288" max="1288" width="9" style="2948" customWidth="1"/>
    <col min="1289" max="1290" width="10.625" style="2948" customWidth="1"/>
    <col min="1291" max="1291" width="14.375" style="2948" customWidth="1"/>
    <col min="1292" max="1292" width="6.25" style="2948" customWidth="1"/>
    <col min="1293" max="1293" width="147.75" style="2948" customWidth="1"/>
    <col min="1294" max="1294" width="7.875" style="2948" customWidth="1"/>
    <col min="1295" max="1536" width="9" style="2948"/>
    <col min="1537" max="1537" width="37.625" style="2948" customWidth="1"/>
    <col min="1538" max="1538" width="6.25" style="2948" customWidth="1"/>
    <col min="1539" max="1539" width="11.75" style="2948" customWidth="1"/>
    <col min="1540" max="1541" width="13.875" style="2948" customWidth="1"/>
    <col min="1542" max="1542" width="6.25" style="2948" customWidth="1"/>
    <col min="1543" max="1543" width="7.875" style="2948" customWidth="1"/>
    <col min="1544" max="1544" width="9" style="2948" customWidth="1"/>
    <col min="1545" max="1546" width="10.625" style="2948" customWidth="1"/>
    <col min="1547" max="1547" width="14.375" style="2948" customWidth="1"/>
    <col min="1548" max="1548" width="6.25" style="2948" customWidth="1"/>
    <col min="1549" max="1549" width="147.75" style="2948" customWidth="1"/>
    <col min="1550" max="1550" width="7.875" style="2948" customWidth="1"/>
    <col min="1551" max="1792" width="9" style="2948"/>
    <col min="1793" max="1793" width="37.625" style="2948" customWidth="1"/>
    <col min="1794" max="1794" width="6.25" style="2948" customWidth="1"/>
    <col min="1795" max="1795" width="11.75" style="2948" customWidth="1"/>
    <col min="1796" max="1797" width="13.875" style="2948" customWidth="1"/>
    <col min="1798" max="1798" width="6.25" style="2948" customWidth="1"/>
    <col min="1799" max="1799" width="7.875" style="2948" customWidth="1"/>
    <col min="1800" max="1800" width="9" style="2948" customWidth="1"/>
    <col min="1801" max="1802" width="10.625" style="2948" customWidth="1"/>
    <col min="1803" max="1803" width="14.375" style="2948" customWidth="1"/>
    <col min="1804" max="1804" width="6.25" style="2948" customWidth="1"/>
    <col min="1805" max="1805" width="147.75" style="2948" customWidth="1"/>
    <col min="1806" max="1806" width="7.875" style="2948" customWidth="1"/>
    <col min="1807" max="2048" width="9" style="2948"/>
    <col min="2049" max="2049" width="37.625" style="2948" customWidth="1"/>
    <col min="2050" max="2050" width="6.25" style="2948" customWidth="1"/>
    <col min="2051" max="2051" width="11.75" style="2948" customWidth="1"/>
    <col min="2052" max="2053" width="13.875" style="2948" customWidth="1"/>
    <col min="2054" max="2054" width="6.25" style="2948" customWidth="1"/>
    <col min="2055" max="2055" width="7.875" style="2948" customWidth="1"/>
    <col min="2056" max="2056" width="9" style="2948" customWidth="1"/>
    <col min="2057" max="2058" width="10.625" style="2948" customWidth="1"/>
    <col min="2059" max="2059" width="14.375" style="2948" customWidth="1"/>
    <col min="2060" max="2060" width="6.25" style="2948" customWidth="1"/>
    <col min="2061" max="2061" width="147.75" style="2948" customWidth="1"/>
    <col min="2062" max="2062" width="7.875" style="2948" customWidth="1"/>
    <col min="2063" max="2304" width="9" style="2948"/>
    <col min="2305" max="2305" width="37.625" style="2948" customWidth="1"/>
    <col min="2306" max="2306" width="6.25" style="2948" customWidth="1"/>
    <col min="2307" max="2307" width="11.75" style="2948" customWidth="1"/>
    <col min="2308" max="2309" width="13.875" style="2948" customWidth="1"/>
    <col min="2310" max="2310" width="6.25" style="2948" customWidth="1"/>
    <col min="2311" max="2311" width="7.875" style="2948" customWidth="1"/>
    <col min="2312" max="2312" width="9" style="2948" customWidth="1"/>
    <col min="2313" max="2314" width="10.625" style="2948" customWidth="1"/>
    <col min="2315" max="2315" width="14.375" style="2948" customWidth="1"/>
    <col min="2316" max="2316" width="6.25" style="2948" customWidth="1"/>
    <col min="2317" max="2317" width="147.75" style="2948" customWidth="1"/>
    <col min="2318" max="2318" width="7.875" style="2948" customWidth="1"/>
    <col min="2319" max="2560" width="9" style="2948"/>
    <col min="2561" max="2561" width="37.625" style="2948" customWidth="1"/>
    <col min="2562" max="2562" width="6.25" style="2948" customWidth="1"/>
    <col min="2563" max="2563" width="11.75" style="2948" customWidth="1"/>
    <col min="2564" max="2565" width="13.875" style="2948" customWidth="1"/>
    <col min="2566" max="2566" width="6.25" style="2948" customWidth="1"/>
    <col min="2567" max="2567" width="7.875" style="2948" customWidth="1"/>
    <col min="2568" max="2568" width="9" style="2948" customWidth="1"/>
    <col min="2569" max="2570" width="10.625" style="2948" customWidth="1"/>
    <col min="2571" max="2571" width="14.375" style="2948" customWidth="1"/>
    <col min="2572" max="2572" width="6.25" style="2948" customWidth="1"/>
    <col min="2573" max="2573" width="147.75" style="2948" customWidth="1"/>
    <col min="2574" max="2574" width="7.875" style="2948" customWidth="1"/>
    <col min="2575" max="2816" width="9" style="2948"/>
    <col min="2817" max="2817" width="37.625" style="2948" customWidth="1"/>
    <col min="2818" max="2818" width="6.25" style="2948" customWidth="1"/>
    <col min="2819" max="2819" width="11.75" style="2948" customWidth="1"/>
    <col min="2820" max="2821" width="13.875" style="2948" customWidth="1"/>
    <col min="2822" max="2822" width="6.25" style="2948" customWidth="1"/>
    <col min="2823" max="2823" width="7.875" style="2948" customWidth="1"/>
    <col min="2824" max="2824" width="9" style="2948" customWidth="1"/>
    <col min="2825" max="2826" width="10.625" style="2948" customWidth="1"/>
    <col min="2827" max="2827" width="14.375" style="2948" customWidth="1"/>
    <col min="2828" max="2828" width="6.25" style="2948" customWidth="1"/>
    <col min="2829" max="2829" width="147.75" style="2948" customWidth="1"/>
    <col min="2830" max="2830" width="7.875" style="2948" customWidth="1"/>
    <col min="2831" max="3072" width="9" style="2948"/>
    <col min="3073" max="3073" width="37.625" style="2948" customWidth="1"/>
    <col min="3074" max="3074" width="6.25" style="2948" customWidth="1"/>
    <col min="3075" max="3075" width="11.75" style="2948" customWidth="1"/>
    <col min="3076" max="3077" width="13.875" style="2948" customWidth="1"/>
    <col min="3078" max="3078" width="6.25" style="2948" customWidth="1"/>
    <col min="3079" max="3079" width="7.875" style="2948" customWidth="1"/>
    <col min="3080" max="3080" width="9" style="2948" customWidth="1"/>
    <col min="3081" max="3082" width="10.625" style="2948" customWidth="1"/>
    <col min="3083" max="3083" width="14.375" style="2948" customWidth="1"/>
    <col min="3084" max="3084" width="6.25" style="2948" customWidth="1"/>
    <col min="3085" max="3085" width="147.75" style="2948" customWidth="1"/>
    <col min="3086" max="3086" width="7.875" style="2948" customWidth="1"/>
    <col min="3087" max="3328" width="9" style="2948"/>
    <col min="3329" max="3329" width="37.625" style="2948" customWidth="1"/>
    <col min="3330" max="3330" width="6.25" style="2948" customWidth="1"/>
    <col min="3331" max="3331" width="11.75" style="2948" customWidth="1"/>
    <col min="3332" max="3333" width="13.875" style="2948" customWidth="1"/>
    <col min="3334" max="3334" width="6.25" style="2948" customWidth="1"/>
    <col min="3335" max="3335" width="7.875" style="2948" customWidth="1"/>
    <col min="3336" max="3336" width="9" style="2948" customWidth="1"/>
    <col min="3337" max="3338" width="10.625" style="2948" customWidth="1"/>
    <col min="3339" max="3339" width="14.375" style="2948" customWidth="1"/>
    <col min="3340" max="3340" width="6.25" style="2948" customWidth="1"/>
    <col min="3341" max="3341" width="147.75" style="2948" customWidth="1"/>
    <col min="3342" max="3342" width="7.875" style="2948" customWidth="1"/>
    <col min="3343" max="3584" width="9" style="2948"/>
    <col min="3585" max="3585" width="37.625" style="2948" customWidth="1"/>
    <col min="3586" max="3586" width="6.25" style="2948" customWidth="1"/>
    <col min="3587" max="3587" width="11.75" style="2948" customWidth="1"/>
    <col min="3588" max="3589" width="13.875" style="2948" customWidth="1"/>
    <col min="3590" max="3590" width="6.25" style="2948" customWidth="1"/>
    <col min="3591" max="3591" width="7.875" style="2948" customWidth="1"/>
    <col min="3592" max="3592" width="9" style="2948" customWidth="1"/>
    <col min="3593" max="3594" width="10.625" style="2948" customWidth="1"/>
    <col min="3595" max="3595" width="14.375" style="2948" customWidth="1"/>
    <col min="3596" max="3596" width="6.25" style="2948" customWidth="1"/>
    <col min="3597" max="3597" width="147.75" style="2948" customWidth="1"/>
    <col min="3598" max="3598" width="7.875" style="2948" customWidth="1"/>
    <col min="3599" max="3840" width="9" style="2948"/>
    <col min="3841" max="3841" width="37.625" style="2948" customWidth="1"/>
    <col min="3842" max="3842" width="6.25" style="2948" customWidth="1"/>
    <col min="3843" max="3843" width="11.75" style="2948" customWidth="1"/>
    <col min="3844" max="3845" width="13.875" style="2948" customWidth="1"/>
    <col min="3846" max="3846" width="6.25" style="2948" customWidth="1"/>
    <col min="3847" max="3847" width="7.875" style="2948" customWidth="1"/>
    <col min="3848" max="3848" width="9" style="2948" customWidth="1"/>
    <col min="3849" max="3850" width="10.625" style="2948" customWidth="1"/>
    <col min="3851" max="3851" width="14.375" style="2948" customWidth="1"/>
    <col min="3852" max="3852" width="6.25" style="2948" customWidth="1"/>
    <col min="3853" max="3853" width="147.75" style="2948" customWidth="1"/>
    <col min="3854" max="3854" width="7.875" style="2948" customWidth="1"/>
    <col min="3855" max="4096" width="9" style="2948"/>
    <col min="4097" max="4097" width="37.625" style="2948" customWidth="1"/>
    <col min="4098" max="4098" width="6.25" style="2948" customWidth="1"/>
    <col min="4099" max="4099" width="11.75" style="2948" customWidth="1"/>
    <col min="4100" max="4101" width="13.875" style="2948" customWidth="1"/>
    <col min="4102" max="4102" width="6.25" style="2948" customWidth="1"/>
    <col min="4103" max="4103" width="7.875" style="2948" customWidth="1"/>
    <col min="4104" max="4104" width="9" style="2948" customWidth="1"/>
    <col min="4105" max="4106" width="10.625" style="2948" customWidth="1"/>
    <col min="4107" max="4107" width="14.375" style="2948" customWidth="1"/>
    <col min="4108" max="4108" width="6.25" style="2948" customWidth="1"/>
    <col min="4109" max="4109" width="147.75" style="2948" customWidth="1"/>
    <col min="4110" max="4110" width="7.875" style="2948" customWidth="1"/>
    <col min="4111" max="4352" width="9" style="2948"/>
    <col min="4353" max="4353" width="37.625" style="2948" customWidth="1"/>
    <col min="4354" max="4354" width="6.25" style="2948" customWidth="1"/>
    <col min="4355" max="4355" width="11.75" style="2948" customWidth="1"/>
    <col min="4356" max="4357" width="13.875" style="2948" customWidth="1"/>
    <col min="4358" max="4358" width="6.25" style="2948" customWidth="1"/>
    <col min="4359" max="4359" width="7.875" style="2948" customWidth="1"/>
    <col min="4360" max="4360" width="9" style="2948" customWidth="1"/>
    <col min="4361" max="4362" width="10.625" style="2948" customWidth="1"/>
    <col min="4363" max="4363" width="14.375" style="2948" customWidth="1"/>
    <col min="4364" max="4364" width="6.25" style="2948" customWidth="1"/>
    <col min="4365" max="4365" width="147.75" style="2948" customWidth="1"/>
    <col min="4366" max="4366" width="7.875" style="2948" customWidth="1"/>
    <col min="4367" max="4608" width="9" style="2948"/>
    <col min="4609" max="4609" width="37.625" style="2948" customWidth="1"/>
    <col min="4610" max="4610" width="6.25" style="2948" customWidth="1"/>
    <col min="4611" max="4611" width="11.75" style="2948" customWidth="1"/>
    <col min="4612" max="4613" width="13.875" style="2948" customWidth="1"/>
    <col min="4614" max="4614" width="6.25" style="2948" customWidth="1"/>
    <col min="4615" max="4615" width="7.875" style="2948" customWidth="1"/>
    <col min="4616" max="4616" width="9" style="2948" customWidth="1"/>
    <col min="4617" max="4618" width="10.625" style="2948" customWidth="1"/>
    <col min="4619" max="4619" width="14.375" style="2948" customWidth="1"/>
    <col min="4620" max="4620" width="6.25" style="2948" customWidth="1"/>
    <col min="4621" max="4621" width="147.75" style="2948" customWidth="1"/>
    <col min="4622" max="4622" width="7.875" style="2948" customWidth="1"/>
    <col min="4623" max="4864" width="9" style="2948"/>
    <col min="4865" max="4865" width="37.625" style="2948" customWidth="1"/>
    <col min="4866" max="4866" width="6.25" style="2948" customWidth="1"/>
    <col min="4867" max="4867" width="11.75" style="2948" customWidth="1"/>
    <col min="4868" max="4869" width="13.875" style="2948" customWidth="1"/>
    <col min="4870" max="4870" width="6.25" style="2948" customWidth="1"/>
    <col min="4871" max="4871" width="7.875" style="2948" customWidth="1"/>
    <col min="4872" max="4872" width="9" style="2948" customWidth="1"/>
    <col min="4873" max="4874" width="10.625" style="2948" customWidth="1"/>
    <col min="4875" max="4875" width="14.375" style="2948" customWidth="1"/>
    <col min="4876" max="4876" width="6.25" style="2948" customWidth="1"/>
    <col min="4877" max="4877" width="147.75" style="2948" customWidth="1"/>
    <col min="4878" max="4878" width="7.875" style="2948" customWidth="1"/>
    <col min="4879" max="5120" width="9" style="2948"/>
    <col min="5121" max="5121" width="37.625" style="2948" customWidth="1"/>
    <col min="5122" max="5122" width="6.25" style="2948" customWidth="1"/>
    <col min="5123" max="5123" width="11.75" style="2948" customWidth="1"/>
    <col min="5124" max="5125" width="13.875" style="2948" customWidth="1"/>
    <col min="5126" max="5126" width="6.25" style="2948" customWidth="1"/>
    <col min="5127" max="5127" width="7.875" style="2948" customWidth="1"/>
    <col min="5128" max="5128" width="9" style="2948" customWidth="1"/>
    <col min="5129" max="5130" width="10.625" style="2948" customWidth="1"/>
    <col min="5131" max="5131" width="14.375" style="2948" customWidth="1"/>
    <col min="5132" max="5132" width="6.25" style="2948" customWidth="1"/>
    <col min="5133" max="5133" width="147.75" style="2948" customWidth="1"/>
    <col min="5134" max="5134" width="7.875" style="2948" customWidth="1"/>
    <col min="5135" max="5376" width="9" style="2948"/>
    <col min="5377" max="5377" width="37.625" style="2948" customWidth="1"/>
    <col min="5378" max="5378" width="6.25" style="2948" customWidth="1"/>
    <col min="5379" max="5379" width="11.75" style="2948" customWidth="1"/>
    <col min="5380" max="5381" width="13.875" style="2948" customWidth="1"/>
    <col min="5382" max="5382" width="6.25" style="2948" customWidth="1"/>
    <col min="5383" max="5383" width="7.875" style="2948" customWidth="1"/>
    <col min="5384" max="5384" width="9" style="2948" customWidth="1"/>
    <col min="5385" max="5386" width="10.625" style="2948" customWidth="1"/>
    <col min="5387" max="5387" width="14.375" style="2948" customWidth="1"/>
    <col min="5388" max="5388" width="6.25" style="2948" customWidth="1"/>
    <col min="5389" max="5389" width="147.75" style="2948" customWidth="1"/>
    <col min="5390" max="5390" width="7.875" style="2948" customWidth="1"/>
    <col min="5391" max="5632" width="9" style="2948"/>
    <col min="5633" max="5633" width="37.625" style="2948" customWidth="1"/>
    <col min="5634" max="5634" width="6.25" style="2948" customWidth="1"/>
    <col min="5635" max="5635" width="11.75" style="2948" customWidth="1"/>
    <col min="5636" max="5637" width="13.875" style="2948" customWidth="1"/>
    <col min="5638" max="5638" width="6.25" style="2948" customWidth="1"/>
    <col min="5639" max="5639" width="7.875" style="2948" customWidth="1"/>
    <col min="5640" max="5640" width="9" style="2948" customWidth="1"/>
    <col min="5641" max="5642" width="10.625" style="2948" customWidth="1"/>
    <col min="5643" max="5643" width="14.375" style="2948" customWidth="1"/>
    <col min="5644" max="5644" width="6.25" style="2948" customWidth="1"/>
    <col min="5645" max="5645" width="147.75" style="2948" customWidth="1"/>
    <col min="5646" max="5646" width="7.875" style="2948" customWidth="1"/>
    <col min="5647" max="5888" width="9" style="2948"/>
    <col min="5889" max="5889" width="37.625" style="2948" customWidth="1"/>
    <col min="5890" max="5890" width="6.25" style="2948" customWidth="1"/>
    <col min="5891" max="5891" width="11.75" style="2948" customWidth="1"/>
    <col min="5892" max="5893" width="13.875" style="2948" customWidth="1"/>
    <col min="5894" max="5894" width="6.25" style="2948" customWidth="1"/>
    <col min="5895" max="5895" width="7.875" style="2948" customWidth="1"/>
    <col min="5896" max="5896" width="9" style="2948" customWidth="1"/>
    <col min="5897" max="5898" width="10.625" style="2948" customWidth="1"/>
    <col min="5899" max="5899" width="14.375" style="2948" customWidth="1"/>
    <col min="5900" max="5900" width="6.25" style="2948" customWidth="1"/>
    <col min="5901" max="5901" width="147.75" style="2948" customWidth="1"/>
    <col min="5902" max="5902" width="7.875" style="2948" customWidth="1"/>
    <col min="5903" max="6144" width="9" style="2948"/>
    <col min="6145" max="6145" width="37.625" style="2948" customWidth="1"/>
    <col min="6146" max="6146" width="6.25" style="2948" customWidth="1"/>
    <col min="6147" max="6147" width="11.75" style="2948" customWidth="1"/>
    <col min="6148" max="6149" width="13.875" style="2948" customWidth="1"/>
    <col min="6150" max="6150" width="6.25" style="2948" customWidth="1"/>
    <col min="6151" max="6151" width="7.875" style="2948" customWidth="1"/>
    <col min="6152" max="6152" width="9" style="2948" customWidth="1"/>
    <col min="6153" max="6154" width="10.625" style="2948" customWidth="1"/>
    <col min="6155" max="6155" width="14.375" style="2948" customWidth="1"/>
    <col min="6156" max="6156" width="6.25" style="2948" customWidth="1"/>
    <col min="6157" max="6157" width="147.75" style="2948" customWidth="1"/>
    <col min="6158" max="6158" width="7.875" style="2948" customWidth="1"/>
    <col min="6159" max="6400" width="9" style="2948"/>
    <col min="6401" max="6401" width="37.625" style="2948" customWidth="1"/>
    <col min="6402" max="6402" width="6.25" style="2948" customWidth="1"/>
    <col min="6403" max="6403" width="11.75" style="2948" customWidth="1"/>
    <col min="6404" max="6405" width="13.875" style="2948" customWidth="1"/>
    <col min="6406" max="6406" width="6.25" style="2948" customWidth="1"/>
    <col min="6407" max="6407" width="7.875" style="2948" customWidth="1"/>
    <col min="6408" max="6408" width="9" style="2948" customWidth="1"/>
    <col min="6409" max="6410" width="10.625" style="2948" customWidth="1"/>
    <col min="6411" max="6411" width="14.375" style="2948" customWidth="1"/>
    <col min="6412" max="6412" width="6.25" style="2948" customWidth="1"/>
    <col min="6413" max="6413" width="147.75" style="2948" customWidth="1"/>
    <col min="6414" max="6414" width="7.875" style="2948" customWidth="1"/>
    <col min="6415" max="6656" width="9" style="2948"/>
    <col min="6657" max="6657" width="37.625" style="2948" customWidth="1"/>
    <col min="6658" max="6658" width="6.25" style="2948" customWidth="1"/>
    <col min="6659" max="6659" width="11.75" style="2948" customWidth="1"/>
    <col min="6660" max="6661" width="13.875" style="2948" customWidth="1"/>
    <col min="6662" max="6662" width="6.25" style="2948" customWidth="1"/>
    <col min="6663" max="6663" width="7.875" style="2948" customWidth="1"/>
    <col min="6664" max="6664" width="9" style="2948" customWidth="1"/>
    <col min="6665" max="6666" width="10.625" style="2948" customWidth="1"/>
    <col min="6667" max="6667" width="14.375" style="2948" customWidth="1"/>
    <col min="6668" max="6668" width="6.25" style="2948" customWidth="1"/>
    <col min="6669" max="6669" width="147.75" style="2948" customWidth="1"/>
    <col min="6670" max="6670" width="7.875" style="2948" customWidth="1"/>
    <col min="6671" max="6912" width="9" style="2948"/>
    <col min="6913" max="6913" width="37.625" style="2948" customWidth="1"/>
    <col min="6914" max="6914" width="6.25" style="2948" customWidth="1"/>
    <col min="6915" max="6915" width="11.75" style="2948" customWidth="1"/>
    <col min="6916" max="6917" width="13.875" style="2948" customWidth="1"/>
    <col min="6918" max="6918" width="6.25" style="2948" customWidth="1"/>
    <col min="6919" max="6919" width="7.875" style="2948" customWidth="1"/>
    <col min="6920" max="6920" width="9" style="2948" customWidth="1"/>
    <col min="6921" max="6922" width="10.625" style="2948" customWidth="1"/>
    <col min="6923" max="6923" width="14.375" style="2948" customWidth="1"/>
    <col min="6924" max="6924" width="6.25" style="2948" customWidth="1"/>
    <col min="6925" max="6925" width="147.75" style="2948" customWidth="1"/>
    <col min="6926" max="6926" width="7.875" style="2948" customWidth="1"/>
    <col min="6927" max="7168" width="9" style="2948"/>
    <col min="7169" max="7169" width="37.625" style="2948" customWidth="1"/>
    <col min="7170" max="7170" width="6.25" style="2948" customWidth="1"/>
    <col min="7171" max="7171" width="11.75" style="2948" customWidth="1"/>
    <col min="7172" max="7173" width="13.875" style="2948" customWidth="1"/>
    <col min="7174" max="7174" width="6.25" style="2948" customWidth="1"/>
    <col min="7175" max="7175" width="7.875" style="2948" customWidth="1"/>
    <col min="7176" max="7176" width="9" style="2948" customWidth="1"/>
    <col min="7177" max="7178" width="10.625" style="2948" customWidth="1"/>
    <col min="7179" max="7179" width="14.375" style="2948" customWidth="1"/>
    <col min="7180" max="7180" width="6.25" style="2948" customWidth="1"/>
    <col min="7181" max="7181" width="147.75" style="2948" customWidth="1"/>
    <col min="7182" max="7182" width="7.875" style="2948" customWidth="1"/>
    <col min="7183" max="7424" width="9" style="2948"/>
    <col min="7425" max="7425" width="37.625" style="2948" customWidth="1"/>
    <col min="7426" max="7426" width="6.25" style="2948" customWidth="1"/>
    <col min="7427" max="7427" width="11.75" style="2948" customWidth="1"/>
    <col min="7428" max="7429" width="13.875" style="2948" customWidth="1"/>
    <col min="7430" max="7430" width="6.25" style="2948" customWidth="1"/>
    <col min="7431" max="7431" width="7.875" style="2948" customWidth="1"/>
    <col min="7432" max="7432" width="9" style="2948" customWidth="1"/>
    <col min="7433" max="7434" width="10.625" style="2948" customWidth="1"/>
    <col min="7435" max="7435" width="14.375" style="2948" customWidth="1"/>
    <col min="7436" max="7436" width="6.25" style="2948" customWidth="1"/>
    <col min="7437" max="7437" width="147.75" style="2948" customWidth="1"/>
    <col min="7438" max="7438" width="7.875" style="2948" customWidth="1"/>
    <col min="7439" max="7680" width="9" style="2948"/>
    <col min="7681" max="7681" width="37.625" style="2948" customWidth="1"/>
    <col min="7682" max="7682" width="6.25" style="2948" customWidth="1"/>
    <col min="7683" max="7683" width="11.75" style="2948" customWidth="1"/>
    <col min="7684" max="7685" width="13.875" style="2948" customWidth="1"/>
    <col min="7686" max="7686" width="6.25" style="2948" customWidth="1"/>
    <col min="7687" max="7687" width="7.875" style="2948" customWidth="1"/>
    <col min="7688" max="7688" width="9" style="2948" customWidth="1"/>
    <col min="7689" max="7690" width="10.625" style="2948" customWidth="1"/>
    <col min="7691" max="7691" width="14.375" style="2948" customWidth="1"/>
    <col min="7692" max="7692" width="6.25" style="2948" customWidth="1"/>
    <col min="7693" max="7693" width="147.75" style="2948" customWidth="1"/>
    <col min="7694" max="7694" width="7.875" style="2948" customWidth="1"/>
    <col min="7695" max="7936" width="9" style="2948"/>
    <col min="7937" max="7937" width="37.625" style="2948" customWidth="1"/>
    <col min="7938" max="7938" width="6.25" style="2948" customWidth="1"/>
    <col min="7939" max="7939" width="11.75" style="2948" customWidth="1"/>
    <col min="7940" max="7941" width="13.875" style="2948" customWidth="1"/>
    <col min="7942" max="7942" width="6.25" style="2948" customWidth="1"/>
    <col min="7943" max="7943" width="7.875" style="2948" customWidth="1"/>
    <col min="7944" max="7944" width="9" style="2948" customWidth="1"/>
    <col min="7945" max="7946" width="10.625" style="2948" customWidth="1"/>
    <col min="7947" max="7947" width="14.375" style="2948" customWidth="1"/>
    <col min="7948" max="7948" width="6.25" style="2948" customWidth="1"/>
    <col min="7949" max="7949" width="147.75" style="2948" customWidth="1"/>
    <col min="7950" max="7950" width="7.875" style="2948" customWidth="1"/>
    <col min="7951" max="8192" width="9" style="2948"/>
    <col min="8193" max="8193" width="37.625" style="2948" customWidth="1"/>
    <col min="8194" max="8194" width="6.25" style="2948" customWidth="1"/>
    <col min="8195" max="8195" width="11.75" style="2948" customWidth="1"/>
    <col min="8196" max="8197" width="13.875" style="2948" customWidth="1"/>
    <col min="8198" max="8198" width="6.25" style="2948" customWidth="1"/>
    <col min="8199" max="8199" width="7.875" style="2948" customWidth="1"/>
    <col min="8200" max="8200" width="9" style="2948" customWidth="1"/>
    <col min="8201" max="8202" width="10.625" style="2948" customWidth="1"/>
    <col min="8203" max="8203" width="14.375" style="2948" customWidth="1"/>
    <col min="8204" max="8204" width="6.25" style="2948" customWidth="1"/>
    <col min="8205" max="8205" width="147.75" style="2948" customWidth="1"/>
    <col min="8206" max="8206" width="7.875" style="2948" customWidth="1"/>
    <col min="8207" max="8448" width="9" style="2948"/>
    <col min="8449" max="8449" width="37.625" style="2948" customWidth="1"/>
    <col min="8450" max="8450" width="6.25" style="2948" customWidth="1"/>
    <col min="8451" max="8451" width="11.75" style="2948" customWidth="1"/>
    <col min="8452" max="8453" width="13.875" style="2948" customWidth="1"/>
    <col min="8454" max="8454" width="6.25" style="2948" customWidth="1"/>
    <col min="8455" max="8455" width="7.875" style="2948" customWidth="1"/>
    <col min="8456" max="8456" width="9" style="2948" customWidth="1"/>
    <col min="8457" max="8458" width="10.625" style="2948" customWidth="1"/>
    <col min="8459" max="8459" width="14.375" style="2948" customWidth="1"/>
    <col min="8460" max="8460" width="6.25" style="2948" customWidth="1"/>
    <col min="8461" max="8461" width="147.75" style="2948" customWidth="1"/>
    <col min="8462" max="8462" width="7.875" style="2948" customWidth="1"/>
    <col min="8463" max="8704" width="9" style="2948"/>
    <col min="8705" max="8705" width="37.625" style="2948" customWidth="1"/>
    <col min="8706" max="8706" width="6.25" style="2948" customWidth="1"/>
    <col min="8707" max="8707" width="11.75" style="2948" customWidth="1"/>
    <col min="8708" max="8709" width="13.875" style="2948" customWidth="1"/>
    <col min="8710" max="8710" width="6.25" style="2948" customWidth="1"/>
    <col min="8711" max="8711" width="7.875" style="2948" customWidth="1"/>
    <col min="8712" max="8712" width="9" style="2948" customWidth="1"/>
    <col min="8713" max="8714" width="10.625" style="2948" customWidth="1"/>
    <col min="8715" max="8715" width="14.375" style="2948" customWidth="1"/>
    <col min="8716" max="8716" width="6.25" style="2948" customWidth="1"/>
    <col min="8717" max="8717" width="147.75" style="2948" customWidth="1"/>
    <col min="8718" max="8718" width="7.875" style="2948" customWidth="1"/>
    <col min="8719" max="8960" width="9" style="2948"/>
    <col min="8961" max="8961" width="37.625" style="2948" customWidth="1"/>
    <col min="8962" max="8962" width="6.25" style="2948" customWidth="1"/>
    <col min="8963" max="8963" width="11.75" style="2948" customWidth="1"/>
    <col min="8964" max="8965" width="13.875" style="2948" customWidth="1"/>
    <col min="8966" max="8966" width="6.25" style="2948" customWidth="1"/>
    <col min="8967" max="8967" width="7.875" style="2948" customWidth="1"/>
    <col min="8968" max="8968" width="9" style="2948" customWidth="1"/>
    <col min="8969" max="8970" width="10.625" style="2948" customWidth="1"/>
    <col min="8971" max="8971" width="14.375" style="2948" customWidth="1"/>
    <col min="8972" max="8972" width="6.25" style="2948" customWidth="1"/>
    <col min="8973" max="8973" width="147.75" style="2948" customWidth="1"/>
    <col min="8974" max="8974" width="7.875" style="2948" customWidth="1"/>
    <col min="8975" max="9216" width="9" style="2948"/>
    <col min="9217" max="9217" width="37.625" style="2948" customWidth="1"/>
    <col min="9218" max="9218" width="6.25" style="2948" customWidth="1"/>
    <col min="9219" max="9219" width="11.75" style="2948" customWidth="1"/>
    <col min="9220" max="9221" width="13.875" style="2948" customWidth="1"/>
    <col min="9222" max="9222" width="6.25" style="2948" customWidth="1"/>
    <col min="9223" max="9223" width="7.875" style="2948" customWidth="1"/>
    <col min="9224" max="9224" width="9" style="2948" customWidth="1"/>
    <col min="9225" max="9226" width="10.625" style="2948" customWidth="1"/>
    <col min="9227" max="9227" width="14.375" style="2948" customWidth="1"/>
    <col min="9228" max="9228" width="6.25" style="2948" customWidth="1"/>
    <col min="9229" max="9229" width="147.75" style="2948" customWidth="1"/>
    <col min="9230" max="9230" width="7.875" style="2948" customWidth="1"/>
    <col min="9231" max="9472" width="9" style="2948"/>
    <col min="9473" max="9473" width="37.625" style="2948" customWidth="1"/>
    <col min="9474" max="9474" width="6.25" style="2948" customWidth="1"/>
    <col min="9475" max="9475" width="11.75" style="2948" customWidth="1"/>
    <col min="9476" max="9477" width="13.875" style="2948" customWidth="1"/>
    <col min="9478" max="9478" width="6.25" style="2948" customWidth="1"/>
    <col min="9479" max="9479" width="7.875" style="2948" customWidth="1"/>
    <col min="9480" max="9480" width="9" style="2948" customWidth="1"/>
    <col min="9481" max="9482" width="10.625" style="2948" customWidth="1"/>
    <col min="9483" max="9483" width="14.375" style="2948" customWidth="1"/>
    <col min="9484" max="9484" width="6.25" style="2948" customWidth="1"/>
    <col min="9485" max="9485" width="147.75" style="2948" customWidth="1"/>
    <col min="9486" max="9486" width="7.875" style="2948" customWidth="1"/>
    <col min="9487" max="9728" width="9" style="2948"/>
    <col min="9729" max="9729" width="37.625" style="2948" customWidth="1"/>
    <col min="9730" max="9730" width="6.25" style="2948" customWidth="1"/>
    <col min="9731" max="9731" width="11.75" style="2948" customWidth="1"/>
    <col min="9732" max="9733" width="13.875" style="2948" customWidth="1"/>
    <col min="9734" max="9734" width="6.25" style="2948" customWidth="1"/>
    <col min="9735" max="9735" width="7.875" style="2948" customWidth="1"/>
    <col min="9736" max="9736" width="9" style="2948" customWidth="1"/>
    <col min="9737" max="9738" width="10.625" style="2948" customWidth="1"/>
    <col min="9739" max="9739" width="14.375" style="2948" customWidth="1"/>
    <col min="9740" max="9740" width="6.25" style="2948" customWidth="1"/>
    <col min="9741" max="9741" width="147.75" style="2948" customWidth="1"/>
    <col min="9742" max="9742" width="7.875" style="2948" customWidth="1"/>
    <col min="9743" max="9984" width="9" style="2948"/>
    <col min="9985" max="9985" width="37.625" style="2948" customWidth="1"/>
    <col min="9986" max="9986" width="6.25" style="2948" customWidth="1"/>
    <col min="9987" max="9987" width="11.75" style="2948" customWidth="1"/>
    <col min="9988" max="9989" width="13.875" style="2948" customWidth="1"/>
    <col min="9990" max="9990" width="6.25" style="2948" customWidth="1"/>
    <col min="9991" max="9991" width="7.875" style="2948" customWidth="1"/>
    <col min="9992" max="9992" width="9" style="2948" customWidth="1"/>
    <col min="9993" max="9994" width="10.625" style="2948" customWidth="1"/>
    <col min="9995" max="9995" width="14.375" style="2948" customWidth="1"/>
    <col min="9996" max="9996" width="6.25" style="2948" customWidth="1"/>
    <col min="9997" max="9997" width="147.75" style="2948" customWidth="1"/>
    <col min="9998" max="9998" width="7.875" style="2948" customWidth="1"/>
    <col min="9999" max="10240" width="9" style="2948"/>
    <col min="10241" max="10241" width="37.625" style="2948" customWidth="1"/>
    <col min="10242" max="10242" width="6.25" style="2948" customWidth="1"/>
    <col min="10243" max="10243" width="11.75" style="2948" customWidth="1"/>
    <col min="10244" max="10245" width="13.875" style="2948" customWidth="1"/>
    <col min="10246" max="10246" width="6.25" style="2948" customWidth="1"/>
    <col min="10247" max="10247" width="7.875" style="2948" customWidth="1"/>
    <col min="10248" max="10248" width="9" style="2948" customWidth="1"/>
    <col min="10249" max="10250" width="10.625" style="2948" customWidth="1"/>
    <col min="10251" max="10251" width="14.375" style="2948" customWidth="1"/>
    <col min="10252" max="10252" width="6.25" style="2948" customWidth="1"/>
    <col min="10253" max="10253" width="147.75" style="2948" customWidth="1"/>
    <col min="10254" max="10254" width="7.875" style="2948" customWidth="1"/>
    <col min="10255" max="10496" width="9" style="2948"/>
    <col min="10497" max="10497" width="37.625" style="2948" customWidth="1"/>
    <col min="10498" max="10498" width="6.25" style="2948" customWidth="1"/>
    <col min="10499" max="10499" width="11.75" style="2948" customWidth="1"/>
    <col min="10500" max="10501" width="13.875" style="2948" customWidth="1"/>
    <col min="10502" max="10502" width="6.25" style="2948" customWidth="1"/>
    <col min="10503" max="10503" width="7.875" style="2948" customWidth="1"/>
    <col min="10504" max="10504" width="9" style="2948" customWidth="1"/>
    <col min="10505" max="10506" width="10.625" style="2948" customWidth="1"/>
    <col min="10507" max="10507" width="14.375" style="2948" customWidth="1"/>
    <col min="10508" max="10508" width="6.25" style="2948" customWidth="1"/>
    <col min="10509" max="10509" width="147.75" style="2948" customWidth="1"/>
    <col min="10510" max="10510" width="7.875" style="2948" customWidth="1"/>
    <col min="10511" max="10752" width="9" style="2948"/>
    <col min="10753" max="10753" width="37.625" style="2948" customWidth="1"/>
    <col min="10754" max="10754" width="6.25" style="2948" customWidth="1"/>
    <col min="10755" max="10755" width="11.75" style="2948" customWidth="1"/>
    <col min="10756" max="10757" width="13.875" style="2948" customWidth="1"/>
    <col min="10758" max="10758" width="6.25" style="2948" customWidth="1"/>
    <col min="10759" max="10759" width="7.875" style="2948" customWidth="1"/>
    <col min="10760" max="10760" width="9" style="2948" customWidth="1"/>
    <col min="10761" max="10762" width="10.625" style="2948" customWidth="1"/>
    <col min="10763" max="10763" width="14.375" style="2948" customWidth="1"/>
    <col min="10764" max="10764" width="6.25" style="2948" customWidth="1"/>
    <col min="10765" max="10765" width="147.75" style="2948" customWidth="1"/>
    <col min="10766" max="10766" width="7.875" style="2948" customWidth="1"/>
    <col min="10767" max="11008" width="9" style="2948"/>
    <col min="11009" max="11009" width="37.625" style="2948" customWidth="1"/>
    <col min="11010" max="11010" width="6.25" style="2948" customWidth="1"/>
    <col min="11011" max="11011" width="11.75" style="2948" customWidth="1"/>
    <col min="11012" max="11013" width="13.875" style="2948" customWidth="1"/>
    <col min="11014" max="11014" width="6.25" style="2948" customWidth="1"/>
    <col min="11015" max="11015" width="7.875" style="2948" customWidth="1"/>
    <col min="11016" max="11016" width="9" style="2948" customWidth="1"/>
    <col min="11017" max="11018" width="10.625" style="2948" customWidth="1"/>
    <col min="11019" max="11019" width="14.375" style="2948" customWidth="1"/>
    <col min="11020" max="11020" width="6.25" style="2948" customWidth="1"/>
    <col min="11021" max="11021" width="147.75" style="2948" customWidth="1"/>
    <col min="11022" max="11022" width="7.875" style="2948" customWidth="1"/>
    <col min="11023" max="11264" width="9" style="2948"/>
    <col min="11265" max="11265" width="37.625" style="2948" customWidth="1"/>
    <col min="11266" max="11266" width="6.25" style="2948" customWidth="1"/>
    <col min="11267" max="11267" width="11.75" style="2948" customWidth="1"/>
    <col min="11268" max="11269" width="13.875" style="2948" customWidth="1"/>
    <col min="11270" max="11270" width="6.25" style="2948" customWidth="1"/>
    <col min="11271" max="11271" width="7.875" style="2948" customWidth="1"/>
    <col min="11272" max="11272" width="9" style="2948" customWidth="1"/>
    <col min="11273" max="11274" width="10.625" style="2948" customWidth="1"/>
    <col min="11275" max="11275" width="14.375" style="2948" customWidth="1"/>
    <col min="11276" max="11276" width="6.25" style="2948" customWidth="1"/>
    <col min="11277" max="11277" width="147.75" style="2948" customWidth="1"/>
    <col min="11278" max="11278" width="7.875" style="2948" customWidth="1"/>
    <col min="11279" max="11520" width="9" style="2948"/>
    <col min="11521" max="11521" width="37.625" style="2948" customWidth="1"/>
    <col min="11522" max="11522" width="6.25" style="2948" customWidth="1"/>
    <col min="11523" max="11523" width="11.75" style="2948" customWidth="1"/>
    <col min="11524" max="11525" width="13.875" style="2948" customWidth="1"/>
    <col min="11526" max="11526" width="6.25" style="2948" customWidth="1"/>
    <col min="11527" max="11527" width="7.875" style="2948" customWidth="1"/>
    <col min="11528" max="11528" width="9" style="2948" customWidth="1"/>
    <col min="11529" max="11530" width="10.625" style="2948" customWidth="1"/>
    <col min="11531" max="11531" width="14.375" style="2948" customWidth="1"/>
    <col min="11532" max="11532" width="6.25" style="2948" customWidth="1"/>
    <col min="11533" max="11533" width="147.75" style="2948" customWidth="1"/>
    <col min="11534" max="11534" width="7.875" style="2948" customWidth="1"/>
    <col min="11535" max="11776" width="9" style="2948"/>
    <col min="11777" max="11777" width="37.625" style="2948" customWidth="1"/>
    <col min="11778" max="11778" width="6.25" style="2948" customWidth="1"/>
    <col min="11779" max="11779" width="11.75" style="2948" customWidth="1"/>
    <col min="11780" max="11781" width="13.875" style="2948" customWidth="1"/>
    <col min="11782" max="11782" width="6.25" style="2948" customWidth="1"/>
    <col min="11783" max="11783" width="7.875" style="2948" customWidth="1"/>
    <col min="11784" max="11784" width="9" style="2948" customWidth="1"/>
    <col min="11785" max="11786" width="10.625" style="2948" customWidth="1"/>
    <col min="11787" max="11787" width="14.375" style="2948" customWidth="1"/>
    <col min="11788" max="11788" width="6.25" style="2948" customWidth="1"/>
    <col min="11789" max="11789" width="147.75" style="2948" customWidth="1"/>
    <col min="11790" max="11790" width="7.875" style="2948" customWidth="1"/>
    <col min="11791" max="12032" width="9" style="2948"/>
    <col min="12033" max="12033" width="37.625" style="2948" customWidth="1"/>
    <col min="12034" max="12034" width="6.25" style="2948" customWidth="1"/>
    <col min="12035" max="12035" width="11.75" style="2948" customWidth="1"/>
    <col min="12036" max="12037" width="13.875" style="2948" customWidth="1"/>
    <col min="12038" max="12038" width="6.25" style="2948" customWidth="1"/>
    <col min="12039" max="12039" width="7.875" style="2948" customWidth="1"/>
    <col min="12040" max="12040" width="9" style="2948" customWidth="1"/>
    <col min="12041" max="12042" width="10.625" style="2948" customWidth="1"/>
    <col min="12043" max="12043" width="14.375" style="2948" customWidth="1"/>
    <col min="12044" max="12044" width="6.25" style="2948" customWidth="1"/>
    <col min="12045" max="12045" width="147.75" style="2948" customWidth="1"/>
    <col min="12046" max="12046" width="7.875" style="2948" customWidth="1"/>
    <col min="12047" max="12288" width="9" style="2948"/>
    <col min="12289" max="12289" width="37.625" style="2948" customWidth="1"/>
    <col min="12290" max="12290" width="6.25" style="2948" customWidth="1"/>
    <col min="12291" max="12291" width="11.75" style="2948" customWidth="1"/>
    <col min="12292" max="12293" width="13.875" style="2948" customWidth="1"/>
    <col min="12294" max="12294" width="6.25" style="2948" customWidth="1"/>
    <col min="12295" max="12295" width="7.875" style="2948" customWidth="1"/>
    <col min="12296" max="12296" width="9" style="2948" customWidth="1"/>
    <col min="12297" max="12298" width="10.625" style="2948" customWidth="1"/>
    <col min="12299" max="12299" width="14.375" style="2948" customWidth="1"/>
    <col min="12300" max="12300" width="6.25" style="2948" customWidth="1"/>
    <col min="12301" max="12301" width="147.75" style="2948" customWidth="1"/>
    <col min="12302" max="12302" width="7.875" style="2948" customWidth="1"/>
    <col min="12303" max="12544" width="9" style="2948"/>
    <col min="12545" max="12545" width="37.625" style="2948" customWidth="1"/>
    <col min="12546" max="12546" width="6.25" style="2948" customWidth="1"/>
    <col min="12547" max="12547" width="11.75" style="2948" customWidth="1"/>
    <col min="12548" max="12549" width="13.875" style="2948" customWidth="1"/>
    <col min="12550" max="12550" width="6.25" style="2948" customWidth="1"/>
    <col min="12551" max="12551" width="7.875" style="2948" customWidth="1"/>
    <col min="12552" max="12552" width="9" style="2948" customWidth="1"/>
    <col min="12553" max="12554" width="10.625" style="2948" customWidth="1"/>
    <col min="12555" max="12555" width="14.375" style="2948" customWidth="1"/>
    <col min="12556" max="12556" width="6.25" style="2948" customWidth="1"/>
    <col min="12557" max="12557" width="147.75" style="2948" customWidth="1"/>
    <col min="12558" max="12558" width="7.875" style="2948" customWidth="1"/>
    <col min="12559" max="12800" width="9" style="2948"/>
    <col min="12801" max="12801" width="37.625" style="2948" customWidth="1"/>
    <col min="12802" max="12802" width="6.25" style="2948" customWidth="1"/>
    <col min="12803" max="12803" width="11.75" style="2948" customWidth="1"/>
    <col min="12804" max="12805" width="13.875" style="2948" customWidth="1"/>
    <col min="12806" max="12806" width="6.25" style="2948" customWidth="1"/>
    <col min="12807" max="12807" width="7.875" style="2948" customWidth="1"/>
    <col min="12808" max="12808" width="9" style="2948" customWidth="1"/>
    <col min="12809" max="12810" width="10.625" style="2948" customWidth="1"/>
    <col min="12811" max="12811" width="14.375" style="2948" customWidth="1"/>
    <col min="12812" max="12812" width="6.25" style="2948" customWidth="1"/>
    <col min="12813" max="12813" width="147.75" style="2948" customWidth="1"/>
    <col min="12814" max="12814" width="7.875" style="2948" customWidth="1"/>
    <col min="12815" max="13056" width="9" style="2948"/>
    <col min="13057" max="13057" width="37.625" style="2948" customWidth="1"/>
    <col min="13058" max="13058" width="6.25" style="2948" customWidth="1"/>
    <col min="13059" max="13059" width="11.75" style="2948" customWidth="1"/>
    <col min="13060" max="13061" width="13.875" style="2948" customWidth="1"/>
    <col min="13062" max="13062" width="6.25" style="2948" customWidth="1"/>
    <col min="13063" max="13063" width="7.875" style="2948" customWidth="1"/>
    <col min="13064" max="13064" width="9" style="2948" customWidth="1"/>
    <col min="13065" max="13066" width="10.625" style="2948" customWidth="1"/>
    <col min="13067" max="13067" width="14.375" style="2948" customWidth="1"/>
    <col min="13068" max="13068" width="6.25" style="2948" customWidth="1"/>
    <col min="13069" max="13069" width="147.75" style="2948" customWidth="1"/>
    <col min="13070" max="13070" width="7.875" style="2948" customWidth="1"/>
    <col min="13071" max="13312" width="9" style="2948"/>
    <col min="13313" max="13313" width="37.625" style="2948" customWidth="1"/>
    <col min="13314" max="13314" width="6.25" style="2948" customWidth="1"/>
    <col min="13315" max="13315" width="11.75" style="2948" customWidth="1"/>
    <col min="13316" max="13317" width="13.875" style="2948" customWidth="1"/>
    <col min="13318" max="13318" width="6.25" style="2948" customWidth="1"/>
    <col min="13319" max="13319" width="7.875" style="2948" customWidth="1"/>
    <col min="13320" max="13320" width="9" style="2948" customWidth="1"/>
    <col min="13321" max="13322" width="10.625" style="2948" customWidth="1"/>
    <col min="13323" max="13323" width="14.375" style="2948" customWidth="1"/>
    <col min="13324" max="13324" width="6.25" style="2948" customWidth="1"/>
    <col min="13325" max="13325" width="147.75" style="2948" customWidth="1"/>
    <col min="13326" max="13326" width="7.875" style="2948" customWidth="1"/>
    <col min="13327" max="13568" width="9" style="2948"/>
    <col min="13569" max="13569" width="37.625" style="2948" customWidth="1"/>
    <col min="13570" max="13570" width="6.25" style="2948" customWidth="1"/>
    <col min="13571" max="13571" width="11.75" style="2948" customWidth="1"/>
    <col min="13572" max="13573" width="13.875" style="2948" customWidth="1"/>
    <col min="13574" max="13574" width="6.25" style="2948" customWidth="1"/>
    <col min="13575" max="13575" width="7.875" style="2948" customWidth="1"/>
    <col min="13576" max="13576" width="9" style="2948" customWidth="1"/>
    <col min="13577" max="13578" width="10.625" style="2948" customWidth="1"/>
    <col min="13579" max="13579" width="14.375" style="2948" customWidth="1"/>
    <col min="13580" max="13580" width="6.25" style="2948" customWidth="1"/>
    <col min="13581" max="13581" width="147.75" style="2948" customWidth="1"/>
    <col min="13582" max="13582" width="7.875" style="2948" customWidth="1"/>
    <col min="13583" max="13824" width="9" style="2948"/>
    <col min="13825" max="13825" width="37.625" style="2948" customWidth="1"/>
    <col min="13826" max="13826" width="6.25" style="2948" customWidth="1"/>
    <col min="13827" max="13827" width="11.75" style="2948" customWidth="1"/>
    <col min="13828" max="13829" width="13.875" style="2948" customWidth="1"/>
    <col min="13830" max="13830" width="6.25" style="2948" customWidth="1"/>
    <col min="13831" max="13831" width="7.875" style="2948" customWidth="1"/>
    <col min="13832" max="13832" width="9" style="2948" customWidth="1"/>
    <col min="13833" max="13834" width="10.625" style="2948" customWidth="1"/>
    <col min="13835" max="13835" width="14.375" style="2948" customWidth="1"/>
    <col min="13836" max="13836" width="6.25" style="2948" customWidth="1"/>
    <col min="13837" max="13837" width="147.75" style="2948" customWidth="1"/>
    <col min="13838" max="13838" width="7.875" style="2948" customWidth="1"/>
    <col min="13839" max="14080" width="9" style="2948"/>
    <col min="14081" max="14081" width="37.625" style="2948" customWidth="1"/>
    <col min="14082" max="14082" width="6.25" style="2948" customWidth="1"/>
    <col min="14083" max="14083" width="11.75" style="2948" customWidth="1"/>
    <col min="14084" max="14085" width="13.875" style="2948" customWidth="1"/>
    <col min="14086" max="14086" width="6.25" style="2948" customWidth="1"/>
    <col min="14087" max="14087" width="7.875" style="2948" customWidth="1"/>
    <col min="14088" max="14088" width="9" style="2948" customWidth="1"/>
    <col min="14089" max="14090" width="10.625" style="2948" customWidth="1"/>
    <col min="14091" max="14091" width="14.375" style="2948" customWidth="1"/>
    <col min="14092" max="14092" width="6.25" style="2948" customWidth="1"/>
    <col min="14093" max="14093" width="147.75" style="2948" customWidth="1"/>
    <col min="14094" max="14094" width="7.875" style="2948" customWidth="1"/>
    <col min="14095" max="14336" width="9" style="2948"/>
    <col min="14337" max="14337" width="37.625" style="2948" customWidth="1"/>
    <col min="14338" max="14338" width="6.25" style="2948" customWidth="1"/>
    <col min="14339" max="14339" width="11.75" style="2948" customWidth="1"/>
    <col min="14340" max="14341" width="13.875" style="2948" customWidth="1"/>
    <col min="14342" max="14342" width="6.25" style="2948" customWidth="1"/>
    <col min="14343" max="14343" width="7.875" style="2948" customWidth="1"/>
    <col min="14344" max="14344" width="9" style="2948" customWidth="1"/>
    <col min="14345" max="14346" width="10.625" style="2948" customWidth="1"/>
    <col min="14347" max="14347" width="14.375" style="2948" customWidth="1"/>
    <col min="14348" max="14348" width="6.25" style="2948" customWidth="1"/>
    <col min="14349" max="14349" width="147.75" style="2948" customWidth="1"/>
    <col min="14350" max="14350" width="7.875" style="2948" customWidth="1"/>
    <col min="14351" max="14592" width="9" style="2948"/>
    <col min="14593" max="14593" width="37.625" style="2948" customWidth="1"/>
    <col min="14594" max="14594" width="6.25" style="2948" customWidth="1"/>
    <col min="14595" max="14595" width="11.75" style="2948" customWidth="1"/>
    <col min="14596" max="14597" width="13.875" style="2948" customWidth="1"/>
    <col min="14598" max="14598" width="6.25" style="2948" customWidth="1"/>
    <col min="14599" max="14599" width="7.875" style="2948" customWidth="1"/>
    <col min="14600" max="14600" width="9" style="2948" customWidth="1"/>
    <col min="14601" max="14602" width="10.625" style="2948" customWidth="1"/>
    <col min="14603" max="14603" width="14.375" style="2948" customWidth="1"/>
    <col min="14604" max="14604" width="6.25" style="2948" customWidth="1"/>
    <col min="14605" max="14605" width="147.75" style="2948" customWidth="1"/>
    <col min="14606" max="14606" width="7.875" style="2948" customWidth="1"/>
    <col min="14607" max="14848" width="9" style="2948"/>
    <col min="14849" max="14849" width="37.625" style="2948" customWidth="1"/>
    <col min="14850" max="14850" width="6.25" style="2948" customWidth="1"/>
    <col min="14851" max="14851" width="11.75" style="2948" customWidth="1"/>
    <col min="14852" max="14853" width="13.875" style="2948" customWidth="1"/>
    <col min="14854" max="14854" width="6.25" style="2948" customWidth="1"/>
    <col min="14855" max="14855" width="7.875" style="2948" customWidth="1"/>
    <col min="14856" max="14856" width="9" style="2948" customWidth="1"/>
    <col min="14857" max="14858" width="10.625" style="2948" customWidth="1"/>
    <col min="14859" max="14859" width="14.375" style="2948" customWidth="1"/>
    <col min="14860" max="14860" width="6.25" style="2948" customWidth="1"/>
    <col min="14861" max="14861" width="147.75" style="2948" customWidth="1"/>
    <col min="14862" max="14862" width="7.875" style="2948" customWidth="1"/>
    <col min="14863" max="15104" width="9" style="2948"/>
    <col min="15105" max="15105" width="37.625" style="2948" customWidth="1"/>
    <col min="15106" max="15106" width="6.25" style="2948" customWidth="1"/>
    <col min="15107" max="15107" width="11.75" style="2948" customWidth="1"/>
    <col min="15108" max="15109" width="13.875" style="2948" customWidth="1"/>
    <col min="15110" max="15110" width="6.25" style="2948" customWidth="1"/>
    <col min="15111" max="15111" width="7.875" style="2948" customWidth="1"/>
    <col min="15112" max="15112" width="9" style="2948" customWidth="1"/>
    <col min="15113" max="15114" width="10.625" style="2948" customWidth="1"/>
    <col min="15115" max="15115" width="14.375" style="2948" customWidth="1"/>
    <col min="15116" max="15116" width="6.25" style="2948" customWidth="1"/>
    <col min="15117" max="15117" width="147.75" style="2948" customWidth="1"/>
    <col min="15118" max="15118" width="7.875" style="2948" customWidth="1"/>
    <col min="15119" max="15360" width="9" style="2948"/>
    <col min="15361" max="15361" width="37.625" style="2948" customWidth="1"/>
    <col min="15362" max="15362" width="6.25" style="2948" customWidth="1"/>
    <col min="15363" max="15363" width="11.75" style="2948" customWidth="1"/>
    <col min="15364" max="15365" width="13.875" style="2948" customWidth="1"/>
    <col min="15366" max="15366" width="6.25" style="2948" customWidth="1"/>
    <col min="15367" max="15367" width="7.875" style="2948" customWidth="1"/>
    <col min="15368" max="15368" width="9" style="2948" customWidth="1"/>
    <col min="15369" max="15370" width="10.625" style="2948" customWidth="1"/>
    <col min="15371" max="15371" width="14.375" style="2948" customWidth="1"/>
    <col min="15372" max="15372" width="6.25" style="2948" customWidth="1"/>
    <col min="15373" max="15373" width="147.75" style="2948" customWidth="1"/>
    <col min="15374" max="15374" width="7.875" style="2948" customWidth="1"/>
    <col min="15375" max="15616" width="9" style="2948"/>
    <col min="15617" max="15617" width="37.625" style="2948" customWidth="1"/>
    <col min="15618" max="15618" width="6.25" style="2948" customWidth="1"/>
    <col min="15619" max="15619" width="11.75" style="2948" customWidth="1"/>
    <col min="15620" max="15621" width="13.875" style="2948" customWidth="1"/>
    <col min="15622" max="15622" width="6.25" style="2948" customWidth="1"/>
    <col min="15623" max="15623" width="7.875" style="2948" customWidth="1"/>
    <col min="15624" max="15624" width="9" style="2948" customWidth="1"/>
    <col min="15625" max="15626" width="10.625" style="2948" customWidth="1"/>
    <col min="15627" max="15627" width="14.375" style="2948" customWidth="1"/>
    <col min="15628" max="15628" width="6.25" style="2948" customWidth="1"/>
    <col min="15629" max="15629" width="147.75" style="2948" customWidth="1"/>
    <col min="15630" max="15630" width="7.875" style="2948" customWidth="1"/>
    <col min="15631" max="15872" width="9" style="2948"/>
    <col min="15873" max="15873" width="37.625" style="2948" customWidth="1"/>
    <col min="15874" max="15874" width="6.25" style="2948" customWidth="1"/>
    <col min="15875" max="15875" width="11.75" style="2948" customWidth="1"/>
    <col min="15876" max="15877" width="13.875" style="2948" customWidth="1"/>
    <col min="15878" max="15878" width="6.25" style="2948" customWidth="1"/>
    <col min="15879" max="15879" width="7.875" style="2948" customWidth="1"/>
    <col min="15880" max="15880" width="9" style="2948" customWidth="1"/>
    <col min="15881" max="15882" width="10.625" style="2948" customWidth="1"/>
    <col min="15883" max="15883" width="14.375" style="2948" customWidth="1"/>
    <col min="15884" max="15884" width="6.25" style="2948" customWidth="1"/>
    <col min="15885" max="15885" width="147.75" style="2948" customWidth="1"/>
    <col min="15886" max="15886" width="7.875" style="2948" customWidth="1"/>
    <col min="15887" max="16128" width="9" style="2948"/>
    <col min="16129" max="16129" width="37.625" style="2948" customWidth="1"/>
    <col min="16130" max="16130" width="6.25" style="2948" customWidth="1"/>
    <col min="16131" max="16131" width="11.75" style="2948" customWidth="1"/>
    <col min="16132" max="16133" width="13.875" style="2948" customWidth="1"/>
    <col min="16134" max="16134" width="6.25" style="2948" customWidth="1"/>
    <col min="16135" max="16135" width="7.875" style="2948" customWidth="1"/>
    <col min="16136" max="16136" width="9" style="2948" customWidth="1"/>
    <col min="16137" max="16138" width="10.625" style="2948" customWidth="1"/>
    <col min="16139" max="16139" width="14.375" style="2948" customWidth="1"/>
    <col min="16140" max="16140" width="6.25" style="2948" customWidth="1"/>
    <col min="16141" max="16141" width="147.75" style="2948" customWidth="1"/>
    <col min="16142" max="16142" width="7.875" style="2948" customWidth="1"/>
    <col min="16143" max="16384" width="9" style="2948"/>
  </cols>
  <sheetData>
    <row r="1" spans="1:14" ht="27">
      <c r="A1" s="2948" t="s">
        <v>3056</v>
      </c>
      <c r="B1" s="2948" t="s">
        <v>3057</v>
      </c>
      <c r="C1" s="2948" t="s">
        <v>3058</v>
      </c>
      <c r="D1" s="2948" t="s">
        <v>3059</v>
      </c>
      <c r="E1" s="2948" t="s">
        <v>3060</v>
      </c>
      <c r="F1" s="2948" t="s">
        <v>3061</v>
      </c>
      <c r="G1" s="2948" t="s">
        <v>3062</v>
      </c>
      <c r="H1" s="2948" t="s">
        <v>3063</v>
      </c>
      <c r="I1" s="2948" t="s">
        <v>3064</v>
      </c>
      <c r="J1" s="2948" t="s">
        <v>3065</v>
      </c>
      <c r="K1" s="2948" t="s">
        <v>3066</v>
      </c>
      <c r="L1" s="2948" t="s">
        <v>3067</v>
      </c>
      <c r="M1" s="2948" t="s">
        <v>3068</v>
      </c>
      <c r="N1" s="2948" t="s">
        <v>3069</v>
      </c>
    </row>
    <row r="2" spans="1:14" ht="27">
      <c r="A2" s="2948" t="s">
        <v>3070</v>
      </c>
      <c r="B2" s="2948" t="s">
        <v>3071</v>
      </c>
      <c r="C2" s="2948" t="s">
        <v>3072</v>
      </c>
      <c r="D2" s="2948">
        <v>88566</v>
      </c>
      <c r="E2" s="2948">
        <v>200159.2</v>
      </c>
      <c r="F2" s="2948">
        <f>E2/D2</f>
        <v>2.2600004516405847</v>
      </c>
      <c r="G2" s="2948" t="s">
        <v>3073</v>
      </c>
      <c r="H2" s="2948" t="s">
        <v>3074</v>
      </c>
      <c r="I2" s="2948">
        <v>41198</v>
      </c>
      <c r="J2" s="2948">
        <v>41203</v>
      </c>
      <c r="K2" s="2948">
        <v>2058.5100000000002</v>
      </c>
      <c r="L2" s="2948">
        <v>0.01</v>
      </c>
      <c r="M2" s="2948" t="s">
        <v>3075</v>
      </c>
      <c r="N2" s="2948" t="s">
        <v>3076</v>
      </c>
    </row>
    <row r="3" spans="1:14" s="2949" customFormat="1" ht="27">
      <c r="A3" s="2949" t="s">
        <v>3070</v>
      </c>
      <c r="B3" s="2949" t="s">
        <v>3071</v>
      </c>
      <c r="C3" s="2949" t="s">
        <v>3072</v>
      </c>
      <c r="D3" s="2949">
        <v>137323.5</v>
      </c>
      <c r="E3" s="2949">
        <v>233450</v>
      </c>
      <c r="F3" s="2949">
        <f t="shared" ref="F3:F16" si="0">E3/D3</f>
        <v>1.7000003641037404</v>
      </c>
      <c r="G3" s="2949" t="s">
        <v>3073</v>
      </c>
      <c r="H3" s="2949" t="s">
        <v>3074</v>
      </c>
      <c r="I3" s="2949">
        <v>61162</v>
      </c>
      <c r="J3" s="2949">
        <v>61167</v>
      </c>
      <c r="K3" s="2949">
        <v>2620.13</v>
      </c>
      <c r="L3" s="2949">
        <v>0.01</v>
      </c>
      <c r="M3" s="2949" t="s">
        <v>3075</v>
      </c>
      <c r="N3" s="2949" t="s">
        <v>3076</v>
      </c>
    </row>
    <row r="4" spans="1:14" ht="27">
      <c r="A4" s="2948" t="s">
        <v>3070</v>
      </c>
      <c r="B4" s="2948" t="s">
        <v>3071</v>
      </c>
      <c r="C4" s="2948" t="s">
        <v>3072</v>
      </c>
      <c r="D4" s="2948">
        <v>21255.599999999999</v>
      </c>
      <c r="E4" s="2948">
        <v>59515.68</v>
      </c>
      <c r="F4" s="2948">
        <f t="shared" si="0"/>
        <v>2.8000000000000003</v>
      </c>
      <c r="G4" s="2948" t="s">
        <v>3073</v>
      </c>
      <c r="H4" s="2948" t="s">
        <v>3074</v>
      </c>
      <c r="I4" s="2948">
        <v>11069</v>
      </c>
      <c r="J4" s="2948">
        <v>11074</v>
      </c>
      <c r="K4" s="2948">
        <v>1860.69</v>
      </c>
      <c r="L4" s="2948">
        <v>0.05</v>
      </c>
      <c r="M4" s="2948" t="s">
        <v>3075</v>
      </c>
      <c r="N4" s="2948" t="s">
        <v>3076</v>
      </c>
    </row>
    <row r="5" spans="1:14" ht="27">
      <c r="A5" s="2948" t="s">
        <v>3070</v>
      </c>
      <c r="B5" s="2948" t="s">
        <v>3071</v>
      </c>
      <c r="C5" s="2948" t="s">
        <v>3072</v>
      </c>
      <c r="D5" s="2948">
        <v>16561</v>
      </c>
      <c r="E5" s="2948">
        <v>41402.5</v>
      </c>
      <c r="F5" s="2948">
        <f t="shared" si="0"/>
        <v>2.5</v>
      </c>
      <c r="G5" s="2948" t="s">
        <v>3073</v>
      </c>
      <c r="H5" s="2948" t="s">
        <v>3074</v>
      </c>
      <c r="I5" s="2948">
        <v>7867</v>
      </c>
      <c r="J5" s="2948">
        <v>7872</v>
      </c>
      <c r="K5" s="2948">
        <v>1901.32</v>
      </c>
      <c r="L5" s="2948">
        <v>0.06</v>
      </c>
      <c r="M5" s="2948" t="s">
        <v>3075</v>
      </c>
      <c r="N5" s="2948" t="s">
        <v>3076</v>
      </c>
    </row>
    <row r="6" spans="1:14" s="2949" customFormat="1" ht="27">
      <c r="A6" s="2949" t="s">
        <v>3077</v>
      </c>
      <c r="B6" s="2949" t="s">
        <v>3071</v>
      </c>
      <c r="C6" s="2949" t="s">
        <v>3072</v>
      </c>
      <c r="D6" s="2949">
        <v>3330</v>
      </c>
      <c r="E6" s="2949">
        <v>13320</v>
      </c>
      <c r="F6" s="2949">
        <f t="shared" si="0"/>
        <v>4</v>
      </c>
      <c r="G6" s="2949" t="s">
        <v>3078</v>
      </c>
      <c r="H6" s="2949" t="s">
        <v>3079</v>
      </c>
      <c r="I6" s="2949">
        <v>4495.5</v>
      </c>
      <c r="J6" s="2949">
        <v>4508.8100000000004</v>
      </c>
      <c r="K6" s="2949">
        <v>3385</v>
      </c>
      <c r="L6" s="2949">
        <v>0.3</v>
      </c>
      <c r="M6" s="2949" t="s">
        <v>3080</v>
      </c>
      <c r="N6" s="2949" t="s">
        <v>3076</v>
      </c>
    </row>
    <row r="7" spans="1:14" s="2949" customFormat="1" ht="27">
      <c r="A7" s="2949" t="s">
        <v>3081</v>
      </c>
      <c r="B7" s="2949" t="s">
        <v>3071</v>
      </c>
      <c r="C7" s="2949" t="s">
        <v>3072</v>
      </c>
      <c r="D7" s="2949">
        <v>1331.42</v>
      </c>
      <c r="E7" s="2949">
        <v>3328.55</v>
      </c>
      <c r="F7" s="2949">
        <f t="shared" si="0"/>
        <v>2.5</v>
      </c>
      <c r="G7" s="2949" t="s">
        <v>3078</v>
      </c>
      <c r="H7" s="2949" t="s">
        <v>3082</v>
      </c>
      <c r="I7" s="2949">
        <v>1198.26</v>
      </c>
      <c r="J7" s="2949">
        <v>1198.4100000000001</v>
      </c>
      <c r="K7" s="2949">
        <v>3600.4</v>
      </c>
      <c r="L7" s="2949">
        <v>0.01</v>
      </c>
      <c r="M7" s="2949" t="s">
        <v>3083</v>
      </c>
      <c r="N7" s="2949" t="s">
        <v>3076</v>
      </c>
    </row>
    <row r="8" spans="1:14" ht="27">
      <c r="A8" s="2948" t="s">
        <v>3084</v>
      </c>
      <c r="B8" s="2948" t="s">
        <v>3071</v>
      </c>
      <c r="C8" s="2948" t="s">
        <v>3072</v>
      </c>
      <c r="D8" s="2948">
        <v>2196.15</v>
      </c>
      <c r="E8" s="2948">
        <v>5477.2</v>
      </c>
      <c r="F8" s="2948">
        <f t="shared" si="0"/>
        <v>2.4940008651503764</v>
      </c>
      <c r="G8" s="2948" t="s">
        <v>3078</v>
      </c>
      <c r="H8" s="2948" t="s">
        <v>3085</v>
      </c>
      <c r="I8" s="2948">
        <v>979.25</v>
      </c>
      <c r="J8" s="2948">
        <v>979.48</v>
      </c>
      <c r="K8" s="2948">
        <v>1788.28</v>
      </c>
      <c r="L8" s="2948">
        <v>0.02</v>
      </c>
      <c r="M8" s="2948" t="s">
        <v>3086</v>
      </c>
      <c r="N8" s="2948" t="s">
        <v>3087</v>
      </c>
    </row>
    <row r="9" spans="1:14" ht="27">
      <c r="A9" s="2948" t="s">
        <v>3088</v>
      </c>
      <c r="B9" s="2948" t="s">
        <v>3071</v>
      </c>
      <c r="C9" s="2948" t="s">
        <v>3072</v>
      </c>
      <c r="D9" s="2948">
        <v>1600.07</v>
      </c>
      <c r="E9" s="2948">
        <v>5600.25</v>
      </c>
      <c r="F9" s="2948">
        <f t="shared" si="0"/>
        <v>3.5000031248632872</v>
      </c>
      <c r="G9" s="2948" t="s">
        <v>3078</v>
      </c>
      <c r="H9" s="2948" t="s">
        <v>3089</v>
      </c>
      <c r="I9" s="2948">
        <v>639.71</v>
      </c>
      <c r="J9" s="2948">
        <v>640.26</v>
      </c>
      <c r="K9" s="2948">
        <v>1143.28</v>
      </c>
      <c r="L9" s="2948">
        <v>0.09</v>
      </c>
      <c r="M9" s="2948" t="s">
        <v>3090</v>
      </c>
      <c r="N9" s="2948" t="s">
        <v>3087</v>
      </c>
    </row>
    <row r="10" spans="1:14" ht="27">
      <c r="A10" s="2948" t="s">
        <v>3091</v>
      </c>
      <c r="B10" s="2948" t="s">
        <v>3071</v>
      </c>
      <c r="C10" s="2948" t="s">
        <v>3072</v>
      </c>
      <c r="D10" s="2948">
        <v>10506.36</v>
      </c>
      <c r="E10" s="2948">
        <v>21012.720000000001</v>
      </c>
      <c r="F10" s="2948">
        <f t="shared" si="0"/>
        <v>2</v>
      </c>
      <c r="G10" s="2948" t="s">
        <v>3078</v>
      </c>
      <c r="H10" s="2948" t="s">
        <v>3092</v>
      </c>
      <c r="I10" s="2948">
        <v>5831.02</v>
      </c>
      <c r="J10" s="2948">
        <v>5832.07</v>
      </c>
      <c r="K10" s="2948">
        <v>2775.5</v>
      </c>
      <c r="L10" s="2948">
        <v>0.02</v>
      </c>
      <c r="M10" s="2948" t="s">
        <v>3093</v>
      </c>
      <c r="N10" s="2948" t="s">
        <v>3076</v>
      </c>
    </row>
    <row r="11" spans="1:14" ht="27">
      <c r="A11" s="2948" t="s">
        <v>3094</v>
      </c>
      <c r="B11" s="2948" t="s">
        <v>3071</v>
      </c>
      <c r="C11" s="2948" t="s">
        <v>3072</v>
      </c>
      <c r="D11" s="2948">
        <v>24413.47</v>
      </c>
      <c r="E11" s="2948">
        <v>26122.41</v>
      </c>
      <c r="F11" s="2948">
        <f t="shared" si="0"/>
        <v>1.0699998812131171</v>
      </c>
      <c r="G11" s="2948" t="s">
        <v>3078</v>
      </c>
      <c r="H11" s="2948" t="s">
        <v>3095</v>
      </c>
      <c r="I11" s="2948">
        <v>3742.59</v>
      </c>
      <c r="J11" s="2948">
        <v>3745.03</v>
      </c>
      <c r="K11" s="2948">
        <v>1433.65</v>
      </c>
      <c r="L11" s="2948">
        <v>0.06</v>
      </c>
      <c r="M11" s="2948" t="s">
        <v>3096</v>
      </c>
      <c r="N11" s="2948" t="s">
        <v>3097</v>
      </c>
    </row>
    <row r="12" spans="1:14" ht="27">
      <c r="A12" s="2948" t="s">
        <v>3098</v>
      </c>
      <c r="B12" s="2948" t="s">
        <v>3071</v>
      </c>
      <c r="C12" s="2948" t="s">
        <v>3072</v>
      </c>
      <c r="D12" s="2948">
        <v>13099.24</v>
      </c>
      <c r="E12" s="2948">
        <v>39297.72</v>
      </c>
      <c r="F12" s="2948">
        <f t="shared" si="0"/>
        <v>3</v>
      </c>
      <c r="G12" s="2948" t="s">
        <v>3078</v>
      </c>
      <c r="H12" s="2948" t="s">
        <v>3099</v>
      </c>
      <c r="I12" s="2948">
        <v>6060.1</v>
      </c>
      <c r="J12" s="2948">
        <v>6061.4</v>
      </c>
      <c r="K12" s="2948">
        <v>1542.43</v>
      </c>
      <c r="L12" s="2948">
        <v>0.02</v>
      </c>
      <c r="M12" s="2948" t="s">
        <v>3100</v>
      </c>
      <c r="N12" s="2948" t="s">
        <v>3076</v>
      </c>
    </row>
    <row r="13" spans="1:14" ht="27">
      <c r="A13" s="2948" t="s">
        <v>3101</v>
      </c>
      <c r="B13" s="2948" t="s">
        <v>3071</v>
      </c>
      <c r="C13" s="2948" t="s">
        <v>3072</v>
      </c>
      <c r="D13" s="2948">
        <v>33568.449999999997</v>
      </c>
      <c r="E13" s="2948">
        <v>33568.449999999997</v>
      </c>
      <c r="F13" s="2948">
        <f t="shared" si="0"/>
        <v>1</v>
      </c>
      <c r="G13" s="2948" t="s">
        <v>3078</v>
      </c>
      <c r="H13" s="2948" t="s">
        <v>3102</v>
      </c>
      <c r="I13" s="2948">
        <v>5009.7700000000004</v>
      </c>
      <c r="J13" s="2948">
        <v>5019.7700000000004</v>
      </c>
      <c r="K13" s="2948">
        <v>1495.38</v>
      </c>
      <c r="L13" s="2948">
        <v>0.2</v>
      </c>
      <c r="M13" s="2948" t="s">
        <v>3103</v>
      </c>
      <c r="N13" s="2948" t="s">
        <v>3076</v>
      </c>
    </row>
    <row r="14" spans="1:14" ht="67.5">
      <c r="A14" s="2948" t="s">
        <v>3104</v>
      </c>
      <c r="B14" s="2948" t="s">
        <v>3071</v>
      </c>
      <c r="C14" s="2948" t="s">
        <v>3072</v>
      </c>
      <c r="D14" s="2948">
        <v>3491.53</v>
      </c>
      <c r="E14" s="2948">
        <v>2094.92</v>
      </c>
      <c r="F14" s="2948">
        <f t="shared" si="0"/>
        <v>0.60000057281478314</v>
      </c>
      <c r="G14" s="2948" t="s">
        <v>3078</v>
      </c>
      <c r="H14" s="2948" t="s">
        <v>3105</v>
      </c>
      <c r="I14" s="2948">
        <v>485.64</v>
      </c>
      <c r="J14" s="2948">
        <v>486</v>
      </c>
      <c r="K14" s="2948">
        <v>2319.9</v>
      </c>
      <c r="L14" s="2948">
        <v>7.0000000000000007E-2</v>
      </c>
      <c r="M14" s="2948" t="s">
        <v>3106</v>
      </c>
      <c r="N14" s="2948" t="s">
        <v>3087</v>
      </c>
    </row>
    <row r="15" spans="1:14" ht="67.5">
      <c r="A15" s="2948" t="s">
        <v>3104</v>
      </c>
      <c r="B15" s="2948" t="s">
        <v>3071</v>
      </c>
      <c r="C15" s="2948" t="s">
        <v>3072</v>
      </c>
      <c r="D15" s="2948">
        <v>62083.39</v>
      </c>
      <c r="E15" s="2948">
        <v>37250.03</v>
      </c>
      <c r="F15" s="2948">
        <f t="shared" si="0"/>
        <v>0.59999993557052855</v>
      </c>
      <c r="G15" s="2948" t="s">
        <v>3078</v>
      </c>
      <c r="H15" s="2948" t="s">
        <v>3105</v>
      </c>
      <c r="I15" s="2948">
        <v>8620.09</v>
      </c>
      <c r="J15" s="2948">
        <v>8626.2900000000009</v>
      </c>
      <c r="K15" s="2948">
        <v>2315.7800000000002</v>
      </c>
      <c r="L15" s="2948">
        <v>7.0000000000000007E-2</v>
      </c>
      <c r="M15" s="2948" t="s">
        <v>3106</v>
      </c>
      <c r="N15" s="2948" t="s">
        <v>3087</v>
      </c>
    </row>
    <row r="16" spans="1:14" ht="162">
      <c r="A16" s="2948" t="s">
        <v>3107</v>
      </c>
      <c r="B16" s="2948" t="s">
        <v>3071</v>
      </c>
      <c r="C16" s="2948" t="s">
        <v>3072</v>
      </c>
      <c r="D16" s="2948">
        <v>46186.09</v>
      </c>
      <c r="E16" s="2948">
        <v>50804.7</v>
      </c>
      <c r="F16" s="2948">
        <f t="shared" si="0"/>
        <v>1.1000000216515406</v>
      </c>
      <c r="G16" s="2948" t="s">
        <v>3078</v>
      </c>
      <c r="H16" s="2948" t="s">
        <v>3108</v>
      </c>
      <c r="I16" s="2948">
        <v>7288.17</v>
      </c>
      <c r="J16" s="2948">
        <v>7292.78</v>
      </c>
      <c r="K16" s="2948">
        <v>1435.46</v>
      </c>
      <c r="L16" s="2948">
        <v>0.06</v>
      </c>
      <c r="M16" s="2948" t="s">
        <v>3109</v>
      </c>
      <c r="N16" s="2948" t="s">
        <v>3097</v>
      </c>
    </row>
  </sheetData>
  <phoneticPr fontId="143"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J53" sqref="J53"/>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2744</v>
      </c>
      <c r="B1" s="395"/>
      <c r="C1" s="396" t="s">
        <v>2796</v>
      </c>
      <c r="D1" s="755"/>
      <c r="E1" s="755"/>
      <c r="F1" s="754" t="s">
        <v>2643</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2330</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2332</v>
      </c>
      <c r="B3" s="609" t="e">
        <f>ROUND(IF(D3="",B2*10000/'数据-汇总表'!E3,B2*10000/D3),0)</f>
        <v>#DIV/0!</v>
      </c>
      <c r="C3" s="247" t="s">
        <v>2746</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2645</v>
      </c>
      <c r="B4" s="402"/>
      <c r="C4" s="3214" t="s">
        <v>2646</v>
      </c>
      <c r="D4" s="3227"/>
      <c r="E4" s="3228" t="s">
        <v>2647</v>
      </c>
      <c r="F4" s="3229"/>
      <c r="G4" s="3214" t="s">
        <v>2648</v>
      </c>
      <c r="H4" s="3227"/>
      <c r="I4" s="3214" t="s">
        <v>2649</v>
      </c>
      <c r="J4" s="3227"/>
      <c r="K4" s="610" t="s">
        <v>2650</v>
      </c>
      <c r="L4" s="1133"/>
      <c r="M4" s="1134"/>
      <c r="N4" s="1134"/>
      <c r="O4" s="1134"/>
      <c r="P4" s="3230" t="s">
        <v>2651</v>
      </c>
      <c r="Q4" s="3231"/>
      <c r="R4" s="3236" t="s">
        <v>2647</v>
      </c>
      <c r="S4" s="3237"/>
      <c r="T4" s="3236" t="s">
        <v>2648</v>
      </c>
      <c r="U4" s="3237"/>
      <c r="V4" s="3223" t="s">
        <v>2649</v>
      </c>
      <c r="W4" s="3223"/>
      <c r="X4" s="1815"/>
      <c r="Y4" s="3236" t="s">
        <v>2651</v>
      </c>
      <c r="Z4" s="3237"/>
      <c r="AA4" s="3224" t="s">
        <v>2647</v>
      </c>
      <c r="AB4" s="3225" t="s">
        <v>2648</v>
      </c>
      <c r="AC4" s="3224" t="s">
        <v>2649</v>
      </c>
    </row>
    <row r="5" spans="1:29" ht="15">
      <c r="A5" s="404"/>
      <c r="B5" s="405"/>
      <c r="C5" s="3244" t="s">
        <v>2542</v>
      </c>
      <c r="D5" s="3245"/>
      <c r="E5" s="3251" t="s">
        <v>2543</v>
      </c>
      <c r="F5" s="3252"/>
      <c r="G5" s="3244" t="s">
        <v>2544</v>
      </c>
      <c r="H5" s="3245"/>
      <c r="I5" s="3244" t="s">
        <v>2545</v>
      </c>
      <c r="J5" s="3245"/>
      <c r="K5" s="610"/>
      <c r="L5" s="1133"/>
      <c r="M5" s="1134"/>
      <c r="N5" s="1134"/>
      <c r="O5" s="1134"/>
      <c r="P5" s="3232"/>
      <c r="Q5" s="3233"/>
      <c r="R5" s="3238"/>
      <c r="S5" s="3239"/>
      <c r="T5" s="3238"/>
      <c r="U5" s="3239"/>
      <c r="V5" s="3223"/>
      <c r="W5" s="3223"/>
      <c r="X5" s="1815"/>
      <c r="Y5" s="3238"/>
      <c r="Z5" s="3239"/>
      <c r="AA5" s="3225"/>
      <c r="AB5" s="3225"/>
      <c r="AC5" s="3225"/>
    </row>
    <row r="6" spans="1:29" ht="15.75" thickBot="1">
      <c r="A6" s="406"/>
      <c r="B6" s="407"/>
      <c r="C6" s="3307" t="s">
        <v>2797</v>
      </c>
      <c r="D6" s="3308"/>
      <c r="E6" s="3309" t="s">
        <v>2797</v>
      </c>
      <c r="F6" s="3310"/>
      <c r="G6" s="3307" t="s">
        <v>2797</v>
      </c>
      <c r="H6" s="3308"/>
      <c r="I6" s="3307" t="s">
        <v>2797</v>
      </c>
      <c r="J6" s="3308"/>
      <c r="K6" s="610" t="s">
        <v>2547</v>
      </c>
      <c r="L6" s="1133"/>
      <c r="M6" s="1134"/>
      <c r="N6" s="1134"/>
      <c r="O6" s="1134"/>
      <c r="P6" s="3234"/>
      <c r="Q6" s="3235"/>
      <c r="R6" s="3238"/>
      <c r="S6" s="3239"/>
      <c r="T6" s="3240"/>
      <c r="U6" s="3241"/>
      <c r="V6" s="3223"/>
      <c r="W6" s="3223"/>
      <c r="X6" s="1815"/>
      <c r="Y6" s="3240"/>
      <c r="Z6" s="3241"/>
      <c r="AA6" s="3226"/>
      <c r="AB6" s="3226"/>
      <c r="AC6" s="3226"/>
    </row>
    <row r="7" spans="1:29" s="117" customFormat="1" ht="15.75" thickBot="1">
      <c r="A7" s="408" t="s">
        <v>2548</v>
      </c>
      <c r="B7" s="409"/>
      <c r="C7" s="410">
        <f>'数据-取费表'!B2</f>
        <v>43689</v>
      </c>
      <c r="D7" s="411">
        <v>100</v>
      </c>
      <c r="E7" s="412"/>
      <c r="F7" s="413">
        <f>SUMIF(65:65,YEAR(E7)&amp;"-"&amp;INT((MONTH(E7)+2)/3),66:66)</f>
        <v>0</v>
      </c>
      <c r="G7" s="2702"/>
      <c r="H7" s="411">
        <f>SUMIF(65:65,YEAR(G7)&amp;"-"&amp;INT((MONTH(G7)+2)/3),66:66)</f>
        <v>0</v>
      </c>
      <c r="I7" s="2702"/>
      <c r="J7" s="411">
        <f>SUMIF(65:65,YEAR(I7)&amp;"-"&amp;INT((MONTH(I7)+2)/3),66:66)</f>
        <v>0</v>
      </c>
      <c r="K7" s="611"/>
      <c r="L7" s="1135"/>
      <c r="M7" s="1136"/>
      <c r="N7" s="1136"/>
      <c r="O7" s="1136"/>
      <c r="P7" s="3246" t="s">
        <v>2549</v>
      </c>
      <c r="Q7" s="3248"/>
      <c r="R7" s="770" t="s">
        <v>17</v>
      </c>
      <c r="S7" s="771">
        <f t="shared" ref="S7:S15" si="0">F7</f>
        <v>0</v>
      </c>
      <c r="T7" s="770" t="s">
        <v>17</v>
      </c>
      <c r="U7" s="771">
        <f t="shared" ref="U7:U15" si="1">H7</f>
        <v>0</v>
      </c>
      <c r="V7" s="770" t="s">
        <v>17</v>
      </c>
      <c r="W7" s="771">
        <f t="shared" ref="W7:W15" si="2">J7</f>
        <v>0</v>
      </c>
      <c r="X7" s="772"/>
      <c r="Y7" s="3246" t="s">
        <v>2549</v>
      </c>
      <c r="Z7" s="3247"/>
      <c r="AA7" s="773" t="e">
        <f>D7/F7</f>
        <v>#DIV/0!</v>
      </c>
      <c r="AB7" s="773" t="e">
        <f>D7/H7</f>
        <v>#DIV/0!</v>
      </c>
      <c r="AC7" s="773" t="e">
        <f>D7/J7</f>
        <v>#DIV/0!</v>
      </c>
    </row>
    <row r="8" spans="1:29" s="117" customFormat="1" ht="15.75" thickBot="1">
      <c r="A8" s="408" t="s">
        <v>2550</v>
      </c>
      <c r="B8" s="409"/>
      <c r="C8" s="414" t="s">
        <v>2551</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46" t="s">
        <v>2552</v>
      </c>
      <c r="Q8" s="3247"/>
      <c r="R8" s="770" t="s">
        <v>17</v>
      </c>
      <c r="S8" s="771">
        <f t="shared" si="0"/>
        <v>0</v>
      </c>
      <c r="T8" s="770" t="s">
        <v>17</v>
      </c>
      <c r="U8" s="771">
        <f t="shared" si="1"/>
        <v>0</v>
      </c>
      <c r="V8" s="770" t="s">
        <v>17</v>
      </c>
      <c r="W8" s="771">
        <f t="shared" si="2"/>
        <v>0</v>
      </c>
      <c r="X8" s="772"/>
      <c r="Y8" s="3246" t="s">
        <v>2552</v>
      </c>
      <c r="Z8" s="3247"/>
      <c r="AA8" s="773" t="e">
        <f t="shared" ref="AA8:AA40" si="3">D8/F8</f>
        <v>#DIV/0!</v>
      </c>
      <c r="AB8" s="773" t="e">
        <f t="shared" ref="AB8:AB40" si="4">D8/H8</f>
        <v>#DIV/0!</v>
      </c>
      <c r="AC8" s="773" t="e">
        <f t="shared" ref="AC8:AC40" si="5">D8/J8</f>
        <v>#DIV/0!</v>
      </c>
    </row>
    <row r="9" spans="1:29" s="117" customFormat="1">
      <c r="A9" s="415" t="s">
        <v>2553</v>
      </c>
      <c r="B9" s="71" t="s">
        <v>2554</v>
      </c>
      <c r="C9" s="2705"/>
      <c r="D9" s="135">
        <v>100</v>
      </c>
      <c r="E9" s="2705"/>
      <c r="F9" s="135">
        <f>SUMIF(70:70,E9,71:71)-SUMIF(70:70,C9,71:71)+100</f>
        <v>100</v>
      </c>
      <c r="G9" s="2705"/>
      <c r="H9" s="135">
        <f>SUMIF(70:70,G9,71:71)-SUMIF(70:70,C9,71:71)+100</f>
        <v>100</v>
      </c>
      <c r="I9" s="2705"/>
      <c r="J9" s="135">
        <f>SUMIF(70:70,I9,71:71)-SUMIF(70:70,C9,71:71)+100</f>
        <v>100</v>
      </c>
      <c r="K9" s="611"/>
      <c r="L9" s="1135"/>
      <c r="M9" s="1136"/>
      <c r="N9" s="1136"/>
      <c r="O9" s="1137"/>
      <c r="P9" s="3217" t="s">
        <v>2555</v>
      </c>
      <c r="Q9" s="1797" t="str">
        <f t="shared" ref="Q9:Q15" si="6">B9</f>
        <v>用途</v>
      </c>
      <c r="R9" s="770" t="s">
        <v>17</v>
      </c>
      <c r="S9" s="771">
        <f t="shared" si="0"/>
        <v>100</v>
      </c>
      <c r="T9" s="770" t="s">
        <v>17</v>
      </c>
      <c r="U9" s="771">
        <f t="shared" si="1"/>
        <v>100</v>
      </c>
      <c r="V9" s="770" t="s">
        <v>17</v>
      </c>
      <c r="W9" s="771">
        <f t="shared" si="2"/>
        <v>100</v>
      </c>
      <c r="X9" s="772"/>
      <c r="Y9" s="3064" t="s">
        <v>2556</v>
      </c>
      <c r="Z9" s="55" t="str">
        <f t="shared" ref="Z9:Z15" si="7">Q9</f>
        <v>用途</v>
      </c>
      <c r="AA9" s="773">
        <f t="shared" si="3"/>
        <v>1</v>
      </c>
      <c r="AB9" s="773">
        <f t="shared" si="4"/>
        <v>1</v>
      </c>
      <c r="AC9" s="773">
        <f t="shared" si="5"/>
        <v>1</v>
      </c>
    </row>
    <row r="10" spans="1:29" s="427" customFormat="1" ht="27">
      <c r="A10" s="421"/>
      <c r="B10" s="422" t="s">
        <v>2557</v>
      </c>
      <c r="C10" s="432"/>
      <c r="D10" s="136">
        <v>100</v>
      </c>
      <c r="E10" s="432"/>
      <c r="F10" s="136">
        <f>ROUND(100/'数据-取费表'!G16,0)</f>
        <v>111</v>
      </c>
      <c r="G10" s="432"/>
      <c r="H10" s="136">
        <f>ROUND(100/'数据-取费表'!G16,0)</f>
        <v>111</v>
      </c>
      <c r="I10" s="432"/>
      <c r="J10" s="136">
        <f>ROUND(100/'数据-取费表'!G16,0)</f>
        <v>111</v>
      </c>
      <c r="K10" s="672"/>
      <c r="L10" s="1138"/>
      <c r="M10" s="1139"/>
      <c r="N10" s="1139"/>
      <c r="O10" s="1140"/>
      <c r="P10" s="3217"/>
      <c r="Q10" s="1797" t="str">
        <f t="shared" si="6"/>
        <v>土地使用年限（年）</v>
      </c>
      <c r="R10" s="770" t="s">
        <v>17</v>
      </c>
      <c r="S10" s="771">
        <f t="shared" si="0"/>
        <v>111</v>
      </c>
      <c r="T10" s="770" t="s">
        <v>17</v>
      </c>
      <c r="U10" s="771">
        <f t="shared" si="1"/>
        <v>111</v>
      </c>
      <c r="V10" s="770" t="s">
        <v>17</v>
      </c>
      <c r="W10" s="771">
        <f t="shared" si="2"/>
        <v>111</v>
      </c>
      <c r="X10" s="772"/>
      <c r="Y10" s="3064"/>
      <c r="Z10" s="55" t="str">
        <f t="shared" si="7"/>
        <v>土地使用年限（年）</v>
      </c>
      <c r="AA10" s="773">
        <f t="shared" si="3"/>
        <v>0.90090090090090091</v>
      </c>
      <c r="AB10" s="773">
        <f t="shared" si="4"/>
        <v>0.90090090090090091</v>
      </c>
      <c r="AC10" s="773">
        <f t="shared" si="5"/>
        <v>0.90090090090090091</v>
      </c>
    </row>
    <row r="11" spans="1:29" ht="15">
      <c r="A11" s="428"/>
      <c r="B11" s="422" t="s">
        <v>2558</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7"/>
      <c r="Q11" s="1797" t="str">
        <f t="shared" si="6"/>
        <v>容积率</v>
      </c>
      <c r="R11" s="770" t="s">
        <v>17</v>
      </c>
      <c r="S11" s="771" t="e">
        <f t="shared" si="0"/>
        <v>#N/A</v>
      </c>
      <c r="T11" s="770" t="s">
        <v>17</v>
      </c>
      <c r="U11" s="771" t="e">
        <f t="shared" si="1"/>
        <v>#N/A</v>
      </c>
      <c r="V11" s="770" t="s">
        <v>17</v>
      </c>
      <c r="W11" s="771" t="e">
        <f t="shared" si="2"/>
        <v>#N/A</v>
      </c>
      <c r="X11" s="772"/>
      <c r="Y11" s="3064"/>
      <c r="Z11" s="55" t="str">
        <f t="shared" si="7"/>
        <v>容积率</v>
      </c>
      <c r="AA11" s="773" t="e">
        <f t="shared" si="3"/>
        <v>#N/A</v>
      </c>
      <c r="AB11" s="773" t="e">
        <f t="shared" si="4"/>
        <v>#N/A</v>
      </c>
      <c r="AC11" s="773" t="e">
        <f t="shared" si="5"/>
        <v>#N/A</v>
      </c>
    </row>
    <row r="12" spans="1:29" s="117" customFormat="1" ht="15">
      <c r="A12" s="431"/>
      <c r="B12" s="2606">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7"/>
      <c r="Q12" s="1797">
        <f t="shared" si="6"/>
        <v>111</v>
      </c>
      <c r="R12" s="770" t="s">
        <v>17</v>
      </c>
      <c r="S12" s="771">
        <f t="shared" si="0"/>
        <v>100</v>
      </c>
      <c r="T12" s="770" t="s">
        <v>17</v>
      </c>
      <c r="U12" s="771">
        <f t="shared" si="1"/>
        <v>100</v>
      </c>
      <c r="V12" s="770" t="s">
        <v>17</v>
      </c>
      <c r="W12" s="771">
        <f t="shared" si="2"/>
        <v>100</v>
      </c>
      <c r="X12" s="772"/>
      <c r="Y12" s="3064"/>
      <c r="Z12" s="55">
        <f t="shared" si="7"/>
        <v>111</v>
      </c>
      <c r="AA12" s="773">
        <f>D12/F12</f>
        <v>1</v>
      </c>
      <c r="AB12" s="773">
        <f>D12/H12</f>
        <v>1</v>
      </c>
      <c r="AC12" s="773">
        <f>D12/J12</f>
        <v>1</v>
      </c>
    </row>
    <row r="13" spans="1:29" ht="15">
      <c r="A13" s="428"/>
      <c r="B13" s="2606">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7"/>
      <c r="Q13" s="1797">
        <f t="shared" si="6"/>
        <v>111</v>
      </c>
      <c r="R13" s="770" t="s">
        <v>17</v>
      </c>
      <c r="S13" s="771">
        <f t="shared" si="0"/>
        <v>100</v>
      </c>
      <c r="T13" s="770" t="s">
        <v>17</v>
      </c>
      <c r="U13" s="771">
        <f t="shared" si="1"/>
        <v>100</v>
      </c>
      <c r="V13" s="770" t="s">
        <v>17</v>
      </c>
      <c r="W13" s="771">
        <f t="shared" si="2"/>
        <v>100</v>
      </c>
      <c r="X13" s="772"/>
      <c r="Y13" s="3064"/>
      <c r="Z13" s="55">
        <f t="shared" si="7"/>
        <v>111</v>
      </c>
      <c r="AA13" s="773">
        <f t="shared" si="3"/>
        <v>1</v>
      </c>
      <c r="AB13" s="773">
        <f t="shared" si="4"/>
        <v>1</v>
      </c>
      <c r="AC13" s="773">
        <f t="shared" si="5"/>
        <v>1</v>
      </c>
    </row>
    <row r="14" spans="1:29" ht="15.75" thickBot="1">
      <c r="A14" s="436"/>
      <c r="B14" s="2608">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7"/>
      <c r="Q14" s="1797">
        <f t="shared" si="6"/>
        <v>111</v>
      </c>
      <c r="R14" s="770" t="s">
        <v>17</v>
      </c>
      <c r="S14" s="771">
        <f t="shared" si="0"/>
        <v>100</v>
      </c>
      <c r="T14" s="770" t="s">
        <v>17</v>
      </c>
      <c r="U14" s="771">
        <f t="shared" si="1"/>
        <v>100</v>
      </c>
      <c r="V14" s="770" t="s">
        <v>17</v>
      </c>
      <c r="W14" s="771">
        <f t="shared" si="2"/>
        <v>100</v>
      </c>
      <c r="X14" s="772"/>
      <c r="Y14" s="3064"/>
      <c r="Z14" s="55">
        <f t="shared" si="7"/>
        <v>111</v>
      </c>
      <c r="AA14" s="773">
        <f t="shared" si="3"/>
        <v>1</v>
      </c>
      <c r="AB14" s="773">
        <f t="shared" si="4"/>
        <v>1</v>
      </c>
      <c r="AC14" s="773">
        <f t="shared" si="5"/>
        <v>1</v>
      </c>
    </row>
    <row r="15" spans="1:29" ht="57">
      <c r="A15" s="440" t="s">
        <v>2559</v>
      </c>
      <c r="B15" s="629" t="s">
        <v>2798</v>
      </c>
      <c r="C15" s="2699"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9" t="s">
        <v>2560</v>
      </c>
      <c r="Q15" s="1812" t="str">
        <f t="shared" si="6"/>
        <v>产业集聚程度</v>
      </c>
      <c r="R15" s="774" t="s">
        <v>17</v>
      </c>
      <c r="S15" s="775">
        <f t="shared" si="0"/>
        <v>100</v>
      </c>
      <c r="T15" s="774" t="s">
        <v>17</v>
      </c>
      <c r="U15" s="775">
        <f t="shared" si="1"/>
        <v>100</v>
      </c>
      <c r="V15" s="774" t="s">
        <v>17</v>
      </c>
      <c r="W15" s="775">
        <f t="shared" si="2"/>
        <v>100</v>
      </c>
      <c r="X15" s="1815"/>
      <c r="Y15" s="3219" t="s">
        <v>2560</v>
      </c>
      <c r="Z15" s="1816" t="str">
        <f t="shared" si="7"/>
        <v>产业集聚程度</v>
      </c>
      <c r="AA15" s="1813">
        <f t="shared" si="3"/>
        <v>1</v>
      </c>
      <c r="AB15" s="1813">
        <f t="shared" si="4"/>
        <v>1</v>
      </c>
      <c r="AC15" s="1813">
        <f t="shared" si="5"/>
        <v>1</v>
      </c>
    </row>
    <row r="16" spans="1:29" ht="15">
      <c r="A16" s="428"/>
      <c r="B16" s="630"/>
      <c r="C16" s="447"/>
      <c r="D16" s="448"/>
      <c r="E16" s="2617"/>
      <c r="F16" s="448"/>
      <c r="G16" s="2617"/>
      <c r="H16" s="450"/>
      <c r="I16" s="2617"/>
      <c r="J16" s="448"/>
      <c r="K16" s="672"/>
      <c r="L16" s="1143"/>
      <c r="M16" s="1134"/>
      <c r="N16" s="1134"/>
      <c r="O16" s="1142"/>
      <c r="P16" s="3220"/>
      <c r="Q16" s="1812"/>
      <c r="R16" s="774"/>
      <c r="S16" s="775"/>
      <c r="T16" s="774"/>
      <c r="U16" s="775"/>
      <c r="V16" s="774"/>
      <c r="W16" s="775"/>
      <c r="X16" s="1815"/>
      <c r="Y16" s="3220"/>
      <c r="Z16" s="1816"/>
      <c r="AA16" s="1813">
        <v>1</v>
      </c>
      <c r="AB16" s="1813">
        <v>1</v>
      </c>
      <c r="AC16" s="1813">
        <v>1</v>
      </c>
    </row>
    <row r="17" spans="1:29" ht="85.5">
      <c r="A17" s="428"/>
      <c r="B17" s="631" t="s">
        <v>2709</v>
      </c>
      <c r="C17" s="2613"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0"/>
      <c r="Q17" s="1812" t="str">
        <f>B17</f>
        <v>交通便捷度</v>
      </c>
      <c r="R17" s="774" t="s">
        <v>17</v>
      </c>
      <c r="S17" s="775">
        <f>F17</f>
        <v>100</v>
      </c>
      <c r="T17" s="774" t="s">
        <v>17</v>
      </c>
      <c r="U17" s="775">
        <f>H17</f>
        <v>100</v>
      </c>
      <c r="V17" s="774" t="s">
        <v>17</v>
      </c>
      <c r="W17" s="775">
        <f>J17</f>
        <v>100</v>
      </c>
      <c r="X17" s="1815"/>
      <c r="Y17" s="3220"/>
      <c r="Z17" s="1816" t="str">
        <f>Q17</f>
        <v>交通便捷度</v>
      </c>
      <c r="AA17" s="1813">
        <f t="shared" si="3"/>
        <v>1</v>
      </c>
      <c r="AB17" s="1813">
        <f t="shared" si="4"/>
        <v>1</v>
      </c>
      <c r="AC17" s="1813">
        <f t="shared" si="5"/>
        <v>1</v>
      </c>
    </row>
    <row r="18" spans="1:29" ht="15">
      <c r="A18" s="428"/>
      <c r="B18" s="632"/>
      <c r="C18" s="447"/>
      <c r="D18" s="448"/>
      <c r="E18" s="2611"/>
      <c r="F18" s="448"/>
      <c r="G18" s="2611"/>
      <c r="H18" s="448"/>
      <c r="I18" s="2610"/>
      <c r="J18" s="448"/>
      <c r="K18" s="672"/>
      <c r="L18" s="1143"/>
      <c r="M18" s="1134"/>
      <c r="N18" s="1134"/>
      <c r="O18" s="1142"/>
      <c r="P18" s="3220"/>
      <c r="Q18" s="1812"/>
      <c r="R18" s="774"/>
      <c r="S18" s="775"/>
      <c r="T18" s="774"/>
      <c r="U18" s="775"/>
      <c r="V18" s="774"/>
      <c r="W18" s="775"/>
      <c r="X18" s="1815"/>
      <c r="Y18" s="3220"/>
      <c r="Z18" s="1816"/>
      <c r="AA18" s="1813">
        <v>1</v>
      </c>
      <c r="AB18" s="1813">
        <v>1</v>
      </c>
      <c r="AC18" s="1813">
        <v>1</v>
      </c>
    </row>
    <row r="19" spans="1:29" ht="15">
      <c r="A19" s="428"/>
      <c r="B19" s="631" t="s">
        <v>2748</v>
      </c>
      <c r="C19" s="2613">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0"/>
      <c r="Q19" s="1812" t="str">
        <f t="shared" ref="Q19:Q33" si="8">B19</f>
        <v>区域土地利用方向</v>
      </c>
      <c r="R19" s="774" t="s">
        <v>17</v>
      </c>
      <c r="S19" s="775">
        <f>F19</f>
        <v>100</v>
      </c>
      <c r="T19" s="774" t="s">
        <v>17</v>
      </c>
      <c r="U19" s="775">
        <f>H19</f>
        <v>100</v>
      </c>
      <c r="V19" s="774" t="s">
        <v>17</v>
      </c>
      <c r="W19" s="775">
        <f>J19</f>
        <v>100</v>
      </c>
      <c r="X19" s="1815"/>
      <c r="Y19" s="3220"/>
      <c r="Z19" s="1816" t="str">
        <f>Q19</f>
        <v>区域土地利用方向</v>
      </c>
      <c r="AA19" s="1813">
        <f t="shared" si="3"/>
        <v>1</v>
      </c>
      <c r="AB19" s="1813">
        <f t="shared" si="4"/>
        <v>1</v>
      </c>
      <c r="AC19" s="1813">
        <f t="shared" si="5"/>
        <v>1</v>
      </c>
    </row>
    <row r="20" spans="1:29" ht="15">
      <c r="A20" s="404"/>
      <c r="B20" s="632"/>
      <c r="C20" s="447"/>
      <c r="D20" s="448"/>
      <c r="E20" s="2611"/>
      <c r="F20" s="448"/>
      <c r="G20" s="2611"/>
      <c r="H20" s="448"/>
      <c r="I20" s="2611"/>
      <c r="J20" s="448"/>
      <c r="K20" s="812"/>
      <c r="L20" s="1143"/>
      <c r="M20" s="1134"/>
      <c r="N20" s="1134"/>
      <c r="O20" s="1142"/>
      <c r="P20" s="3220"/>
      <c r="Q20" s="1812"/>
      <c r="R20" s="774"/>
      <c r="S20" s="775"/>
      <c r="T20" s="774"/>
      <c r="U20" s="775"/>
      <c r="V20" s="774"/>
      <c r="W20" s="775"/>
      <c r="X20" s="1815"/>
      <c r="Y20" s="3220"/>
      <c r="Z20" s="1816"/>
      <c r="AA20" s="1813"/>
      <c r="AB20" s="1813"/>
      <c r="AC20" s="1813"/>
    </row>
    <row r="21" spans="1:29" ht="71.25">
      <c r="A21" s="404"/>
      <c r="B21" s="631" t="s">
        <v>2799</v>
      </c>
      <c r="C21" s="2613"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0"/>
      <c r="Q21" s="1812" t="str">
        <f t="shared" si="8"/>
        <v>环境状况</v>
      </c>
      <c r="R21" s="774" t="s">
        <v>17</v>
      </c>
      <c r="S21" s="775">
        <f>F21</f>
        <v>100</v>
      </c>
      <c r="T21" s="774" t="s">
        <v>17</v>
      </c>
      <c r="U21" s="775">
        <f>H21</f>
        <v>100</v>
      </c>
      <c r="V21" s="774" t="s">
        <v>17</v>
      </c>
      <c r="W21" s="775">
        <f>J21</f>
        <v>100</v>
      </c>
      <c r="X21" s="1815"/>
      <c r="Y21" s="3220"/>
      <c r="Z21" s="1816" t="str">
        <f>Q21</f>
        <v>环境状况</v>
      </c>
      <c r="AA21" s="1813">
        <f t="shared" si="3"/>
        <v>1</v>
      </c>
      <c r="AB21" s="1813">
        <f t="shared" si="4"/>
        <v>1</v>
      </c>
      <c r="AC21" s="1813">
        <f t="shared" si="5"/>
        <v>1</v>
      </c>
    </row>
    <row r="22" spans="1:29" ht="15">
      <c r="A22" s="404"/>
      <c r="B22" s="632"/>
      <c r="C22" s="447"/>
      <c r="D22" s="448"/>
      <c r="E22" s="2617"/>
      <c r="F22" s="448"/>
      <c r="G22" s="2617"/>
      <c r="H22" s="448"/>
      <c r="I22" s="447"/>
      <c r="J22" s="448"/>
      <c r="K22" s="672"/>
      <c r="L22" s="1143"/>
      <c r="M22" s="1134"/>
      <c r="N22" s="1134"/>
      <c r="O22" s="1142"/>
      <c r="P22" s="3220"/>
      <c r="Q22" s="1812"/>
      <c r="R22" s="774"/>
      <c r="S22" s="775"/>
      <c r="T22" s="774"/>
      <c r="U22" s="775"/>
      <c r="V22" s="774"/>
      <c r="W22" s="775"/>
      <c r="X22" s="1815"/>
      <c r="Y22" s="3220"/>
      <c r="Z22" s="1816"/>
      <c r="AA22" s="1813">
        <v>1</v>
      </c>
      <c r="AB22" s="1813">
        <v>1</v>
      </c>
      <c r="AC22" s="1813">
        <v>1</v>
      </c>
    </row>
    <row r="23" spans="1:29" s="117" customFormat="1" ht="42.75">
      <c r="A23" s="649"/>
      <c r="B23" s="633" t="s">
        <v>2654</v>
      </c>
      <c r="C23" s="2613"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0"/>
      <c r="Q23" s="1797" t="str">
        <f t="shared" si="8"/>
        <v>公共配套设施</v>
      </c>
      <c r="R23" s="770" t="s">
        <v>17</v>
      </c>
      <c r="S23" s="771">
        <f>F23</f>
        <v>100</v>
      </c>
      <c r="T23" s="770" t="s">
        <v>17</v>
      </c>
      <c r="U23" s="771">
        <f>H23</f>
        <v>100</v>
      </c>
      <c r="V23" s="770" t="s">
        <v>17</v>
      </c>
      <c r="W23" s="771">
        <f>J23</f>
        <v>100</v>
      </c>
      <c r="X23" s="772"/>
      <c r="Y23" s="3220"/>
      <c r="Z23" s="55" t="str">
        <f>Q23</f>
        <v>公共配套设施</v>
      </c>
      <c r="AA23" s="1813">
        <f>D23/F23</f>
        <v>1</v>
      </c>
      <c r="AB23" s="1813">
        <f>D23/H23</f>
        <v>1</v>
      </c>
      <c r="AC23" s="1813">
        <f>D23/J23</f>
        <v>1</v>
      </c>
    </row>
    <row r="24" spans="1:29" s="117" customFormat="1" ht="15">
      <c r="A24" s="649"/>
      <c r="B24" s="632"/>
      <c r="C24" s="2706"/>
      <c r="D24" s="448"/>
      <c r="E24" s="2617"/>
      <c r="F24" s="448"/>
      <c r="G24" s="2617"/>
      <c r="H24" s="448"/>
      <c r="I24" s="447"/>
      <c r="J24" s="448"/>
      <c r="K24" s="672"/>
      <c r="L24" s="1135"/>
      <c r="M24" s="1136"/>
      <c r="N24" s="1136"/>
      <c r="O24" s="1137"/>
      <c r="P24" s="3220"/>
      <c r="Q24" s="1797"/>
      <c r="R24" s="770"/>
      <c r="S24" s="771"/>
      <c r="T24" s="770"/>
      <c r="U24" s="771"/>
      <c r="V24" s="770"/>
      <c r="W24" s="771"/>
      <c r="X24" s="772"/>
      <c r="Y24" s="3220"/>
      <c r="Z24" s="55"/>
      <c r="AA24" s="773">
        <v>1</v>
      </c>
      <c r="AB24" s="773">
        <v>1</v>
      </c>
      <c r="AC24" s="773">
        <v>1</v>
      </c>
    </row>
    <row r="25" spans="1:29" s="117" customFormat="1" ht="28.5">
      <c r="A25" s="649"/>
      <c r="B25" s="633" t="s">
        <v>2655</v>
      </c>
      <c r="C25" s="2613"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0"/>
      <c r="Q25" s="1797" t="str">
        <f t="shared" ref="Q25" si="9">B25</f>
        <v>基础设施水平</v>
      </c>
      <c r="R25" s="770" t="s">
        <v>17</v>
      </c>
      <c r="S25" s="771">
        <f>F25</f>
        <v>100</v>
      </c>
      <c r="T25" s="770" t="s">
        <v>17</v>
      </c>
      <c r="U25" s="771">
        <f>H25</f>
        <v>100</v>
      </c>
      <c r="V25" s="770" t="s">
        <v>17</v>
      </c>
      <c r="W25" s="771">
        <f>J25</f>
        <v>100</v>
      </c>
      <c r="X25" s="772"/>
      <c r="Y25" s="3220"/>
      <c r="Z25" s="55" t="str">
        <f>Q25</f>
        <v>基础设施水平</v>
      </c>
      <c r="AA25" s="1813">
        <f>D25/F25</f>
        <v>1</v>
      </c>
      <c r="AB25" s="1813">
        <f>D25/H25</f>
        <v>1</v>
      </c>
      <c r="AC25" s="1813">
        <f>D25/J25</f>
        <v>1</v>
      </c>
    </row>
    <row r="26" spans="1:29" s="117" customFormat="1" ht="15">
      <c r="A26" s="649"/>
      <c r="B26" s="632"/>
      <c r="C26" s="2706"/>
      <c r="D26" s="448"/>
      <c r="E26" s="2707"/>
      <c r="F26" s="448"/>
      <c r="G26" s="2707"/>
      <c r="H26" s="448"/>
      <c r="I26" s="2707"/>
      <c r="J26" s="448"/>
      <c r="K26" s="672"/>
      <c r="L26" s="1135"/>
      <c r="M26" s="1136"/>
      <c r="N26" s="1136"/>
      <c r="O26" s="1137"/>
      <c r="P26" s="3220"/>
      <c r="Q26" s="1797"/>
      <c r="R26" s="770"/>
      <c r="S26" s="771"/>
      <c r="T26" s="770"/>
      <c r="U26" s="771"/>
      <c r="V26" s="770"/>
      <c r="W26" s="771"/>
      <c r="X26" s="772"/>
      <c r="Y26" s="3220"/>
      <c r="Z26" s="55"/>
      <c r="AA26" s="773">
        <v>1</v>
      </c>
      <c r="AB26" s="773">
        <v>1</v>
      </c>
      <c r="AC26" s="773">
        <v>1</v>
      </c>
    </row>
    <row r="27" spans="1:29" ht="15">
      <c r="A27" s="428"/>
      <c r="B27" s="632" t="s">
        <v>2656</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0"/>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220"/>
      <c r="Z27" s="1816" t="str">
        <f t="shared" ref="Z27:Z40" si="13">Q27</f>
        <v>临街状况</v>
      </c>
      <c r="AA27" s="1813">
        <f t="shared" si="3"/>
        <v>1</v>
      </c>
      <c r="AB27" s="1813">
        <f t="shared" si="4"/>
        <v>1</v>
      </c>
      <c r="AC27" s="1813">
        <f t="shared" si="5"/>
        <v>1</v>
      </c>
    </row>
    <row r="28" spans="1:29" ht="27">
      <c r="A28" s="428"/>
      <c r="B28" s="633" t="s">
        <v>2691</v>
      </c>
      <c r="C28" s="2719">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0"/>
      <c r="Q28" s="1812" t="str">
        <f t="shared" si="8"/>
        <v>毗邻道路的类型与等级</v>
      </c>
      <c r="R28" s="774" t="s">
        <v>17</v>
      </c>
      <c r="S28" s="775">
        <f t="shared" si="10"/>
        <v>100</v>
      </c>
      <c r="T28" s="774" t="s">
        <v>17</v>
      </c>
      <c r="U28" s="775">
        <f t="shared" si="11"/>
        <v>100</v>
      </c>
      <c r="V28" s="774" t="s">
        <v>17</v>
      </c>
      <c r="W28" s="775">
        <f t="shared" si="12"/>
        <v>100</v>
      </c>
      <c r="X28" s="1815"/>
      <c r="Y28" s="3220"/>
      <c r="Z28" s="1816" t="str">
        <f t="shared" si="13"/>
        <v>毗邻道路的类型与等级</v>
      </c>
      <c r="AA28" s="1813">
        <f t="shared" si="3"/>
        <v>1</v>
      </c>
      <c r="AB28" s="1813">
        <f t="shared" si="4"/>
        <v>1</v>
      </c>
      <c r="AC28" s="1813">
        <f t="shared" si="5"/>
        <v>1</v>
      </c>
    </row>
    <row r="29" spans="1:29" ht="15">
      <c r="A29" s="428"/>
      <c r="B29" s="632"/>
      <c r="C29" s="447"/>
      <c r="D29" s="448"/>
      <c r="E29" s="2617"/>
      <c r="F29" s="448"/>
      <c r="G29" s="2617"/>
      <c r="H29" s="448"/>
      <c r="I29" s="2617"/>
      <c r="J29" s="448"/>
      <c r="K29" s="613"/>
      <c r="L29" s="1143"/>
      <c r="M29" s="1134"/>
      <c r="N29" s="1134"/>
      <c r="O29" s="1142"/>
      <c r="P29" s="3220"/>
      <c r="Q29" s="1812"/>
      <c r="R29" s="774"/>
      <c r="S29" s="775"/>
      <c r="T29" s="774"/>
      <c r="U29" s="775"/>
      <c r="V29" s="774"/>
      <c r="W29" s="775"/>
      <c r="X29" s="1815"/>
      <c r="Y29" s="3220"/>
      <c r="Z29" s="1816"/>
      <c r="AA29" s="1813">
        <v>1</v>
      </c>
      <c r="AB29" s="1813">
        <v>1</v>
      </c>
      <c r="AC29" s="1813">
        <v>1</v>
      </c>
    </row>
    <row r="30" spans="1:29" ht="15">
      <c r="A30" s="428"/>
      <c r="B30" s="654" t="s">
        <v>2750</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0"/>
      <c r="Q30" s="1812" t="str">
        <f t="shared" si="8"/>
        <v>土地级别</v>
      </c>
      <c r="R30" s="774" t="s">
        <v>17</v>
      </c>
      <c r="S30" s="775">
        <f t="shared" si="10"/>
        <v>100</v>
      </c>
      <c r="T30" s="774" t="s">
        <v>17</v>
      </c>
      <c r="U30" s="775">
        <f t="shared" si="11"/>
        <v>100</v>
      </c>
      <c r="V30" s="774" t="s">
        <v>17</v>
      </c>
      <c r="W30" s="775">
        <f t="shared" si="12"/>
        <v>100</v>
      </c>
      <c r="X30" s="1815"/>
      <c r="Y30" s="3220"/>
      <c r="Z30" s="1816" t="str">
        <f t="shared" si="13"/>
        <v>土地级别</v>
      </c>
      <c r="AA30" s="1813">
        <f t="shared" si="3"/>
        <v>1</v>
      </c>
      <c r="AB30" s="1813">
        <f t="shared" si="4"/>
        <v>1</v>
      </c>
      <c r="AC30" s="1813">
        <f t="shared" si="5"/>
        <v>1</v>
      </c>
    </row>
    <row r="31" spans="1:29" ht="15">
      <c r="A31" s="404"/>
      <c r="B31" s="2684">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0"/>
      <c r="Q31" s="1812">
        <f t="shared" si="8"/>
        <v>111</v>
      </c>
      <c r="R31" s="774" t="s">
        <v>17</v>
      </c>
      <c r="S31" s="775">
        <f t="shared" si="10"/>
        <v>100</v>
      </c>
      <c r="T31" s="774" t="s">
        <v>17</v>
      </c>
      <c r="U31" s="775">
        <f t="shared" si="11"/>
        <v>100</v>
      </c>
      <c r="V31" s="774" t="s">
        <v>17</v>
      </c>
      <c r="W31" s="775">
        <f t="shared" si="12"/>
        <v>100</v>
      </c>
      <c r="X31" s="1815"/>
      <c r="Y31" s="3220"/>
      <c r="Z31" s="1816">
        <f t="shared" si="13"/>
        <v>111</v>
      </c>
      <c r="AA31" s="1813">
        <f t="shared" si="3"/>
        <v>1</v>
      </c>
      <c r="AB31" s="1813">
        <f t="shared" si="4"/>
        <v>1</v>
      </c>
      <c r="AC31" s="1813">
        <f t="shared" si="5"/>
        <v>1</v>
      </c>
    </row>
    <row r="32" spans="1:29" ht="15">
      <c r="A32" s="675"/>
      <c r="B32" s="2720">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21" t="s">
        <v>2565</v>
      </c>
      <c r="Q32" s="1812">
        <f t="shared" si="8"/>
        <v>111</v>
      </c>
      <c r="R32" s="774" t="s">
        <v>17</v>
      </c>
      <c r="S32" s="775">
        <f t="shared" si="10"/>
        <v>100</v>
      </c>
      <c r="T32" s="774" t="s">
        <v>17</v>
      </c>
      <c r="U32" s="775">
        <f t="shared" si="11"/>
        <v>100</v>
      </c>
      <c r="V32" s="774" t="s">
        <v>17</v>
      </c>
      <c r="W32" s="775">
        <f t="shared" si="12"/>
        <v>100</v>
      </c>
      <c r="X32" s="1815"/>
      <c r="Y32" s="3222" t="s">
        <v>2565</v>
      </c>
      <c r="Z32" s="1816">
        <f t="shared" si="13"/>
        <v>111</v>
      </c>
      <c r="AA32" s="1813">
        <f t="shared" si="3"/>
        <v>1</v>
      </c>
      <c r="AB32" s="1813">
        <f t="shared" si="4"/>
        <v>1</v>
      </c>
      <c r="AC32" s="1813">
        <f t="shared" si="5"/>
        <v>1</v>
      </c>
    </row>
    <row r="33" spans="1:29" s="471" customFormat="1" ht="15.75" thickBot="1">
      <c r="A33" s="676"/>
      <c r="B33" s="2721">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2">
        <f t="shared" si="8"/>
        <v>111</v>
      </c>
      <c r="R33" s="777" t="s">
        <v>17</v>
      </c>
      <c r="S33" s="778">
        <f t="shared" si="10"/>
        <v>100</v>
      </c>
      <c r="T33" s="777" t="s">
        <v>17</v>
      </c>
      <c r="U33" s="778">
        <f t="shared" si="11"/>
        <v>100</v>
      </c>
      <c r="V33" s="777" t="s">
        <v>17</v>
      </c>
      <c r="W33" s="778">
        <f t="shared" si="12"/>
        <v>100</v>
      </c>
      <c r="X33" s="779"/>
      <c r="Y33" s="3222"/>
      <c r="Z33" s="780">
        <f t="shared" si="13"/>
        <v>111</v>
      </c>
      <c r="AA33" s="1813">
        <f t="shared" si="3"/>
        <v>1</v>
      </c>
      <c r="AB33" s="1813">
        <f t="shared" si="4"/>
        <v>1</v>
      </c>
      <c r="AC33" s="1813">
        <f t="shared" si="5"/>
        <v>1</v>
      </c>
    </row>
    <row r="34" spans="1:29" ht="15">
      <c r="A34" s="440" t="s">
        <v>2563</v>
      </c>
      <c r="B34" s="456" t="s">
        <v>2751</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2" t="str">
        <f>B34</f>
        <v>宗地面积</v>
      </c>
      <c r="R34" s="774" t="s">
        <v>17</v>
      </c>
      <c r="S34" s="775" t="e">
        <f t="shared" si="10"/>
        <v>#N/A</v>
      </c>
      <c r="T34" s="774" t="s">
        <v>17</v>
      </c>
      <c r="U34" s="775" t="e">
        <f t="shared" si="11"/>
        <v>#N/A</v>
      </c>
      <c r="V34" s="774" t="s">
        <v>17</v>
      </c>
      <c r="W34" s="775" t="e">
        <f t="shared" si="12"/>
        <v>#N/A</v>
      </c>
      <c r="X34" s="1815"/>
      <c r="Y34" s="3222"/>
      <c r="Z34" s="1816" t="str">
        <f t="shared" si="13"/>
        <v>宗地面积</v>
      </c>
      <c r="AA34" s="1813" t="e">
        <f t="shared" si="3"/>
        <v>#N/A</v>
      </c>
      <c r="AB34" s="1813" t="e">
        <f t="shared" si="4"/>
        <v>#N/A</v>
      </c>
      <c r="AC34" s="1813" t="e">
        <f t="shared" si="5"/>
        <v>#N/A</v>
      </c>
    </row>
    <row r="35" spans="1:29" ht="15">
      <c r="A35" s="472"/>
      <c r="B35" s="422" t="s">
        <v>2752</v>
      </c>
      <c r="C35" s="2619"/>
      <c r="D35" s="435">
        <v>100</v>
      </c>
      <c r="E35" s="2619"/>
      <c r="F35" s="435">
        <f>SUMIF(110:110,E35,111:111)-SUMIF(110:110,C35,111:111)+100</f>
        <v>100</v>
      </c>
      <c r="G35" s="2619"/>
      <c r="H35" s="435">
        <f>SUMIF(110:110,G35,111:111)-SUMIF(110:110,C35,111:111)+100</f>
        <v>100</v>
      </c>
      <c r="I35" s="2619"/>
      <c r="J35" s="435">
        <f>SUMIF(110:110,I35,111:111)-SUMIF(110:110,C35,111:111)+100</f>
        <v>100</v>
      </c>
      <c r="K35" s="612"/>
      <c r="L35" s="1143"/>
      <c r="M35" s="1134"/>
      <c r="N35" s="1134"/>
      <c r="O35" s="1142"/>
      <c r="P35" s="3222"/>
      <c r="Q35" s="1812" t="str">
        <f t="shared" ref="Q35:Q40" si="14">B35</f>
        <v>宗地形状</v>
      </c>
      <c r="R35" s="774" t="s">
        <v>17</v>
      </c>
      <c r="S35" s="775">
        <f t="shared" si="10"/>
        <v>100</v>
      </c>
      <c r="T35" s="774" t="s">
        <v>17</v>
      </c>
      <c r="U35" s="775">
        <f t="shared" si="11"/>
        <v>100</v>
      </c>
      <c r="V35" s="774" t="s">
        <v>17</v>
      </c>
      <c r="W35" s="775">
        <f t="shared" si="12"/>
        <v>100</v>
      </c>
      <c r="X35" s="1815"/>
      <c r="Y35" s="3222"/>
      <c r="Z35" s="1816" t="str">
        <f t="shared" si="13"/>
        <v>宗地形状</v>
      </c>
      <c r="AA35" s="1813">
        <f t="shared" si="3"/>
        <v>1</v>
      </c>
      <c r="AB35" s="1813">
        <f t="shared" si="4"/>
        <v>1</v>
      </c>
      <c r="AC35" s="1813">
        <f t="shared" si="5"/>
        <v>1</v>
      </c>
    </row>
    <row r="36" spans="1:29" s="117" customFormat="1" ht="15">
      <c r="A36" s="473"/>
      <c r="B36" s="422" t="s">
        <v>2754</v>
      </c>
      <c r="C36" s="2708"/>
      <c r="D36" s="136">
        <v>100</v>
      </c>
      <c r="E36" s="2708"/>
      <c r="F36" s="435">
        <f>SUMIF(112:112,E36,113:113)-SUMIF(112:112,C36,113:113)+100</f>
        <v>100</v>
      </c>
      <c r="G36" s="2708"/>
      <c r="H36" s="435">
        <f>SUMIF(112:112,G36,113:113)-SUMIF(112:112,C36,113:113)+100</f>
        <v>100</v>
      </c>
      <c r="I36" s="2708"/>
      <c r="J36" s="435">
        <f>SUMIF(112:112,I36,113:113)-SUMIF(112:112,C36,113:113)+100</f>
        <v>100</v>
      </c>
      <c r="K36" s="612"/>
      <c r="L36" s="1135"/>
      <c r="M36" s="1136"/>
      <c r="N36" s="1136"/>
      <c r="O36" s="1137"/>
      <c r="P36" s="3222"/>
      <c r="Q36" s="1812"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2755</v>
      </c>
      <c r="C37" s="2619"/>
      <c r="D37" s="435">
        <v>100</v>
      </c>
      <c r="E37" s="2619"/>
      <c r="F37" s="435">
        <f>SUMIF(114:114,E37,115:115)-SUMIF(114:114,C37,115:115)+100</f>
        <v>100</v>
      </c>
      <c r="G37" s="2619"/>
      <c r="H37" s="435">
        <f>SUMIF(114:114,G37,115:115)-SUMIF(114:114,C37,115:115)+100</f>
        <v>100</v>
      </c>
      <c r="I37" s="2619"/>
      <c r="J37" s="435">
        <f>SUMIF(114:114,I37,115:115)-SUMIF(114:114,C37,115:115)+100</f>
        <v>100</v>
      </c>
      <c r="K37" s="612"/>
      <c r="L37" s="1143"/>
      <c r="M37" s="1134"/>
      <c r="N37" s="1134"/>
      <c r="O37" s="1142"/>
      <c r="P37" s="3222" t="s">
        <v>2565</v>
      </c>
      <c r="Q37" s="1812" t="str">
        <f t="shared" si="14"/>
        <v>工程地质条件</v>
      </c>
      <c r="R37" s="774" t="s">
        <v>17</v>
      </c>
      <c r="S37" s="775">
        <f t="shared" si="10"/>
        <v>100</v>
      </c>
      <c r="T37" s="774" t="s">
        <v>17</v>
      </c>
      <c r="U37" s="775">
        <f t="shared" si="11"/>
        <v>100</v>
      </c>
      <c r="V37" s="774" t="s">
        <v>17</v>
      </c>
      <c r="W37" s="775">
        <f t="shared" si="12"/>
        <v>100</v>
      </c>
      <c r="X37" s="1815"/>
      <c r="Y37" s="3222" t="s">
        <v>2565</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2">
        <f t="shared" si="14"/>
        <v>111</v>
      </c>
      <c r="R38" s="774" t="s">
        <v>17</v>
      </c>
      <c r="S38" s="775">
        <f t="shared" si="10"/>
        <v>100</v>
      </c>
      <c r="T38" s="774" t="s">
        <v>17</v>
      </c>
      <c r="U38" s="775">
        <f t="shared" si="11"/>
        <v>100</v>
      </c>
      <c r="V38" s="774" t="s">
        <v>17</v>
      </c>
      <c r="W38" s="775">
        <f t="shared" si="12"/>
        <v>100</v>
      </c>
      <c r="X38" s="1815"/>
      <c r="Y38" s="3222"/>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2">
        <f t="shared" si="14"/>
        <v>111</v>
      </c>
      <c r="R39" s="774" t="s">
        <v>17</v>
      </c>
      <c r="S39" s="775">
        <f t="shared" si="10"/>
        <v>100</v>
      </c>
      <c r="T39" s="774" t="s">
        <v>17</v>
      </c>
      <c r="U39" s="775">
        <f t="shared" si="11"/>
        <v>100</v>
      </c>
      <c r="V39" s="774" t="s">
        <v>17</v>
      </c>
      <c r="W39" s="775">
        <f t="shared" si="12"/>
        <v>100</v>
      </c>
      <c r="X39" s="1815"/>
      <c r="Y39" s="3222"/>
      <c r="Z39" s="1816">
        <f t="shared" si="13"/>
        <v>111</v>
      </c>
      <c r="AA39" s="1813">
        <f t="shared" si="3"/>
        <v>1</v>
      </c>
      <c r="AB39" s="1813">
        <f t="shared" si="4"/>
        <v>1</v>
      </c>
      <c r="AC39" s="1813">
        <f t="shared" si="5"/>
        <v>1</v>
      </c>
    </row>
    <row r="40" spans="1:29" s="471" customFormat="1" ht="15.75" thickBot="1">
      <c r="A40" s="468"/>
      <c r="B40" s="1390">
        <v>111</v>
      </c>
      <c r="C40" s="2709"/>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2">
        <f t="shared" si="14"/>
        <v>111</v>
      </c>
      <c r="R40" s="777" t="s">
        <v>17</v>
      </c>
      <c r="S40" s="778">
        <f t="shared" si="10"/>
        <v>100</v>
      </c>
      <c r="T40" s="777" t="s">
        <v>17</v>
      </c>
      <c r="U40" s="778">
        <f t="shared" si="11"/>
        <v>100</v>
      </c>
      <c r="V40" s="777" t="s">
        <v>17</v>
      </c>
      <c r="W40" s="778">
        <f t="shared" si="12"/>
        <v>100</v>
      </c>
      <c r="X40" s="779"/>
      <c r="Y40" s="3222"/>
      <c r="Z40" s="780">
        <f t="shared" si="13"/>
        <v>111</v>
      </c>
      <c r="AA40" s="1813">
        <f t="shared" si="3"/>
        <v>1</v>
      </c>
      <c r="AB40" s="1813">
        <f t="shared" si="4"/>
        <v>1</v>
      </c>
      <c r="AC40" s="1813">
        <f t="shared" si="5"/>
        <v>1</v>
      </c>
    </row>
    <row r="41" spans="1:29" ht="15">
      <c r="A41" s="479" t="s">
        <v>2720</v>
      </c>
      <c r="B41" s="2710" t="s">
        <v>2800</v>
      </c>
      <c r="C41" s="682" t="s">
        <v>1</v>
      </c>
      <c r="D41" s="481"/>
      <c r="E41" s="482"/>
      <c r="F41" s="483"/>
      <c r="G41" s="484"/>
      <c r="H41" s="485"/>
      <c r="I41" s="482"/>
      <c r="J41" s="485"/>
      <c r="K41" s="783"/>
      <c r="L41" s="1146"/>
      <c r="M41" s="1134"/>
      <c r="N41" s="1134"/>
      <c r="O41" s="1147"/>
      <c r="P41" s="3217" t="str">
        <f>A41</f>
        <v>成交单价</v>
      </c>
      <c r="Q41" s="3217"/>
      <c r="R41" s="3223">
        <f>E41</f>
        <v>0</v>
      </c>
      <c r="S41" s="3223"/>
      <c r="T41" s="3223">
        <f>G41</f>
        <v>0</v>
      </c>
      <c r="U41" s="3223"/>
      <c r="V41" s="3223">
        <f>I41</f>
        <v>0</v>
      </c>
      <c r="W41" s="3223"/>
      <c r="X41" s="759"/>
      <c r="Y41" s="781"/>
      <c r="Z41" s="759"/>
      <c r="AA41" s="759"/>
      <c r="AB41" s="759"/>
      <c r="AC41" s="759"/>
    </row>
    <row r="42" spans="1:29" ht="15.75" thickBot="1">
      <c r="A42" s="486" t="s">
        <v>2669</v>
      </c>
      <c r="B42" s="683"/>
      <c r="C42" s="490" t="e">
        <f>R43</f>
        <v>#DIV/0!</v>
      </c>
      <c r="D42" s="489"/>
      <c r="E42" s="490" t="e">
        <f>R42</f>
        <v>#DIV/0!</v>
      </c>
      <c r="F42" s="491"/>
      <c r="G42" s="488" t="e">
        <f>T42</f>
        <v>#DIV/0!</v>
      </c>
      <c r="H42" s="489"/>
      <c r="I42" s="490" t="e">
        <f>V42</f>
        <v>#DIV/0!</v>
      </c>
      <c r="J42" s="489"/>
      <c r="K42" s="784"/>
      <c r="L42" s="1146"/>
      <c r="M42" s="1134"/>
      <c r="N42" s="1134"/>
      <c r="O42" s="1147"/>
      <c r="P42" s="3217" t="str">
        <f>A42</f>
        <v>比较价值（元/平方米）</v>
      </c>
      <c r="Q42" s="3217"/>
      <c r="R42" s="3210" t="e">
        <f>ROUND(PRODUCT(R41,AA7:AA40),0)</f>
        <v>#DIV/0!</v>
      </c>
      <c r="S42" s="3210"/>
      <c r="T42" s="3210" t="e">
        <f>ROUND(PRODUCT(T41,AB7:AB40),0)</f>
        <v>#DIV/0!</v>
      </c>
      <c r="U42" s="3210"/>
      <c r="V42" s="3210" t="e">
        <f>ROUND(PRODUCT(V41,AC7:AC40),0)</f>
        <v>#DIV/0!</v>
      </c>
      <c r="W42" s="3210"/>
      <c r="X42" s="759"/>
      <c r="Y42" s="759"/>
      <c r="Z42" s="759"/>
      <c r="AA42" s="759"/>
      <c r="AB42" s="759"/>
      <c r="AC42" s="759"/>
    </row>
    <row r="43" spans="1:29" ht="15.75" thickBot="1">
      <c r="A43" s="492" t="s">
        <v>2670</v>
      </c>
      <c r="B43" s="493"/>
      <c r="C43" s="494" t="e">
        <f>R43</f>
        <v>#DIV/0!</v>
      </c>
      <c r="D43" s="494"/>
      <c r="E43" s="494"/>
      <c r="F43" s="494"/>
      <c r="G43" s="494"/>
      <c r="H43" s="494"/>
      <c r="I43" s="494"/>
      <c r="J43" s="494"/>
      <c r="K43" s="785"/>
      <c r="L43" s="1146"/>
      <c r="M43" s="1134"/>
      <c r="N43" s="1134"/>
      <c r="O43" s="1147"/>
      <c r="P43" s="3211" t="str">
        <f>A43</f>
        <v>估价对象XX用房的比较价值（楼面单价，元/平方米）</v>
      </c>
      <c r="Q43" s="3212"/>
      <c r="R43" s="3213" t="e">
        <f>ROUND(AVERAGE(R42:V42),0)</f>
        <v>#DIV/0!</v>
      </c>
      <c r="S43" s="3213"/>
      <c r="T43" s="3213"/>
      <c r="U43" s="3213"/>
      <c r="V43" s="3213"/>
      <c r="W43" s="321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2671</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2672</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2673</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2758</v>
      </c>
      <c r="B50" s="685" t="s">
        <v>2759</v>
      </c>
      <c r="C50" s="2711" t="s">
        <v>2760</v>
      </c>
      <c r="D50" s="2712" t="s">
        <v>2761</v>
      </c>
      <c r="E50" s="686" t="s">
        <v>2762</v>
      </c>
      <c r="F50" s="687" t="s">
        <v>2763</v>
      </c>
      <c r="G50" s="3214" t="s">
        <v>2764</v>
      </c>
      <c r="H50" s="3215"/>
      <c r="I50" s="1816" t="s">
        <v>2801</v>
      </c>
      <c r="J50" s="1816">
        <f>项目基本情况!F35</f>
        <v>0</v>
      </c>
      <c r="K50" s="2714" t="s">
        <v>2766</v>
      </c>
      <c r="L50" s="1109"/>
      <c r="M50" s="1147"/>
      <c r="N50" s="1147"/>
      <c r="O50" s="1147"/>
    </row>
    <row r="51" spans="1:17" s="692" customFormat="1">
      <c r="A51" s="688" t="s">
        <v>2767</v>
      </c>
      <c r="B51" s="689" t="e">
        <f>C43</f>
        <v>#DIV/0!</v>
      </c>
      <c r="C51" s="690">
        <v>1</v>
      </c>
      <c r="D51" s="1166">
        <v>1</v>
      </c>
      <c r="E51" s="690">
        <f>'数据-汇总表'!E8+'数据-汇总表'!E9</f>
        <v>34338.32</v>
      </c>
      <c r="F51" s="691" t="e">
        <f t="shared" ref="F51:F60" si="15">ROUND(B51*E51/10000,0)</f>
        <v>#DIV/0!</v>
      </c>
      <c r="G51" s="3216"/>
      <c r="H51" s="3217"/>
      <c r="I51" s="945">
        <v>1</v>
      </c>
      <c r="J51" s="945">
        <v>1</v>
      </c>
      <c r="K51" s="1148"/>
      <c r="L51" s="944"/>
      <c r="M51" s="944"/>
      <c r="N51" s="944"/>
      <c r="O51" s="944"/>
    </row>
    <row r="52" spans="1:17" s="692" customFormat="1">
      <c r="A52" s="693" t="s">
        <v>2768</v>
      </c>
      <c r="B52" s="262" t="e">
        <f>ROUND($C$43*C52*D52,0)</f>
        <v>#DIV/0!</v>
      </c>
      <c r="C52" s="200">
        <f t="shared" ref="C52:C60" si="16">IF($C$50="北京市系数",I52,J52)</f>
        <v>0</v>
      </c>
      <c r="D52" s="1167">
        <v>0.25</v>
      </c>
      <c r="E52" s="694"/>
      <c r="F52" s="691" t="e">
        <f t="shared" si="15"/>
        <v>#DIV/0!</v>
      </c>
      <c r="G52" s="3218" t="s">
        <v>2769</v>
      </c>
      <c r="H52" s="1107">
        <f>项目基本情况!B37</f>
        <v>0</v>
      </c>
      <c r="I52" s="945">
        <f>SUMIF(修正!A45:A56,H52,修正!B45:B56)</f>
        <v>0</v>
      </c>
      <c r="J52" s="946"/>
      <c r="K52" s="1147"/>
      <c r="L52" s="944"/>
      <c r="M52" s="944"/>
      <c r="N52" s="944"/>
      <c r="O52" s="944"/>
    </row>
    <row r="53" spans="1:17" s="692" customFormat="1">
      <c r="A53" s="693" t="s">
        <v>2770</v>
      </c>
      <c r="B53" s="262" t="e">
        <f t="shared" ref="B53:B60" si="17">ROUND($C$43*C53*D53,0)</f>
        <v>#DIV/0!</v>
      </c>
      <c r="C53" s="200">
        <f t="shared" si="16"/>
        <v>0</v>
      </c>
      <c r="D53" s="1167">
        <v>0.25</v>
      </c>
      <c r="E53" s="694"/>
      <c r="F53" s="691" t="e">
        <f t="shared" si="15"/>
        <v>#DIV/0!</v>
      </c>
      <c r="G53" s="3218"/>
      <c r="H53" s="1107">
        <f>项目基本情况!B37</f>
        <v>0</v>
      </c>
      <c r="I53" s="945">
        <f>SUMIF(修正!A45:A56,H53,修正!C45:C56)</f>
        <v>0</v>
      </c>
      <c r="J53" s="946"/>
      <c r="K53" s="1148"/>
      <c r="L53" s="944"/>
      <c r="M53" s="944"/>
      <c r="N53" s="944"/>
      <c r="O53" s="944"/>
    </row>
    <row r="54" spans="1:17" s="692" customFormat="1">
      <c r="A54" s="693" t="s">
        <v>2771</v>
      </c>
      <c r="B54" s="262" t="e">
        <f t="shared" si="17"/>
        <v>#DIV/0!</v>
      </c>
      <c r="C54" s="200">
        <f t="shared" si="16"/>
        <v>0</v>
      </c>
      <c r="D54" s="1167">
        <v>0.25</v>
      </c>
      <c r="E54" s="694"/>
      <c r="F54" s="691" t="e">
        <f t="shared" si="15"/>
        <v>#DIV/0!</v>
      </c>
      <c r="G54" s="3218"/>
      <c r="H54" s="1107">
        <f>项目基本情况!B37</f>
        <v>0</v>
      </c>
      <c r="I54" s="945">
        <f>SUMIF(修正!A45:A56,H54,修正!D45:D56)</f>
        <v>0</v>
      </c>
      <c r="J54" s="946"/>
      <c r="K54" s="1147"/>
      <c r="L54" s="944"/>
      <c r="M54" s="944"/>
      <c r="N54" s="944"/>
      <c r="O54" s="944"/>
    </row>
    <row r="55" spans="1:17" s="692" customFormat="1">
      <c r="A55" s="693" t="s">
        <v>2772</v>
      </c>
      <c r="B55" s="262" t="e">
        <f t="shared" si="17"/>
        <v>#DIV/0!</v>
      </c>
      <c r="C55" s="200">
        <f t="shared" si="16"/>
        <v>0</v>
      </c>
      <c r="D55" s="1167">
        <v>0.25</v>
      </c>
      <c r="E55" s="694"/>
      <c r="F55" s="691" t="e">
        <f t="shared" si="15"/>
        <v>#DIV/0!</v>
      </c>
      <c r="G55" s="3218"/>
      <c r="H55" s="1107">
        <f>项目基本情况!B37</f>
        <v>0</v>
      </c>
      <c r="I55" s="945">
        <f>SUMIF(修正!A45:A56,H55,修正!E45:E56)</f>
        <v>0</v>
      </c>
      <c r="J55" s="946"/>
      <c r="K55" s="1148"/>
      <c r="L55" s="944"/>
      <c r="M55" s="944"/>
      <c r="N55" s="944"/>
      <c r="O55" s="944"/>
    </row>
    <row r="56" spans="1:17" s="692" customFormat="1">
      <c r="A56" s="693" t="s">
        <v>2773</v>
      </c>
      <c r="B56" s="262" t="e">
        <f t="shared" si="17"/>
        <v>#DIV/0!</v>
      </c>
      <c r="C56" s="200">
        <f t="shared" si="16"/>
        <v>0</v>
      </c>
      <c r="D56" s="1167">
        <v>0.25</v>
      </c>
      <c r="E56" s="261">
        <f>'数据-汇总表'!E11</f>
        <v>0</v>
      </c>
      <c r="F56" s="691" t="e">
        <f t="shared" si="15"/>
        <v>#DIV/0!</v>
      </c>
      <c r="G56" s="2715" t="s">
        <v>2774</v>
      </c>
      <c r="H56" s="1107">
        <f>项目基本情况!C37</f>
        <v>0</v>
      </c>
      <c r="I56" s="945">
        <f>SUMIF(修正!A45:A56,H56,修正!F45:F56)</f>
        <v>0</v>
      </c>
      <c r="J56" s="946"/>
      <c r="K56" s="1147"/>
      <c r="L56" s="944"/>
      <c r="M56" s="944"/>
      <c r="N56" s="944"/>
      <c r="O56" s="944"/>
    </row>
    <row r="57" spans="1:17" s="692" customFormat="1">
      <c r="A57" s="693" t="s">
        <v>2775</v>
      </c>
      <c r="B57" s="262" t="e">
        <f t="shared" si="17"/>
        <v>#DIV/0!</v>
      </c>
      <c r="C57" s="200">
        <f t="shared" si="16"/>
        <v>0</v>
      </c>
      <c r="D57" s="1167">
        <v>0.25</v>
      </c>
      <c r="E57" s="261">
        <f>'数据-汇总表'!E12</f>
        <v>0</v>
      </c>
      <c r="F57" s="691" t="e">
        <f t="shared" si="15"/>
        <v>#DIV/0!</v>
      </c>
      <c r="G57" s="1112" t="s">
        <v>2776</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2777</v>
      </c>
      <c r="B58" s="262" t="e">
        <f t="shared" si="17"/>
        <v>#DIV/0!</v>
      </c>
      <c r="C58" s="200">
        <f t="shared" si="16"/>
        <v>0</v>
      </c>
      <c r="D58" s="1167">
        <v>0.25</v>
      </c>
      <c r="E58" s="261">
        <f>'数据-汇总表'!E13</f>
        <v>0</v>
      </c>
      <c r="F58" s="691" t="e">
        <f t="shared" si="15"/>
        <v>#DIV/0!</v>
      </c>
      <c r="G58" s="1112" t="s">
        <v>2778</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2779</v>
      </c>
      <c r="B59" s="262" t="e">
        <f t="shared" si="17"/>
        <v>#DIV/0!</v>
      </c>
      <c r="C59" s="200">
        <f t="shared" si="16"/>
        <v>0</v>
      </c>
      <c r="D59" s="1167">
        <v>0.25</v>
      </c>
      <c r="E59" s="261">
        <f>'数据-汇总表'!E14</f>
        <v>0</v>
      </c>
      <c r="F59" s="691" t="e">
        <f t="shared" si="15"/>
        <v>#DIV/0!</v>
      </c>
      <c r="G59" s="2715" t="s">
        <v>2769</v>
      </c>
      <c r="H59" s="1107">
        <f>项目基本情况!B37</f>
        <v>0</v>
      </c>
      <c r="I59" s="945">
        <f>SUMIF(修正!A45:A56,H59,修正!H45:H56)</f>
        <v>0</v>
      </c>
      <c r="J59" s="946"/>
      <c r="K59" s="1148"/>
      <c r="L59" s="944"/>
      <c r="M59" s="944"/>
      <c r="N59" s="944"/>
      <c r="O59" s="944"/>
    </row>
    <row r="60" spans="1:17" s="692" customFormat="1" ht="15" thickBot="1">
      <c r="A60" s="693" t="s">
        <v>2780</v>
      </c>
      <c r="B60" s="262" t="e">
        <f t="shared" si="17"/>
        <v>#DIV/0!</v>
      </c>
      <c r="C60" s="200">
        <f t="shared" si="16"/>
        <v>0</v>
      </c>
      <c r="D60" s="1167">
        <v>0.25</v>
      </c>
      <c r="E60" s="261">
        <f>'数据-汇总表'!E15</f>
        <v>0</v>
      </c>
      <c r="F60" s="691" t="e">
        <f t="shared" si="15"/>
        <v>#DIV/0!</v>
      </c>
      <c r="G60" s="2716" t="s">
        <v>2774</v>
      </c>
      <c r="H60" s="1117">
        <f>项目基本情况!C37</f>
        <v>0</v>
      </c>
      <c r="I60" s="945">
        <f>SUMIF(修正!A45:A56,H60,修正!H45:H56)</f>
        <v>0</v>
      </c>
      <c r="J60" s="946"/>
      <c r="K60" s="1147"/>
      <c r="L60" s="944"/>
      <c r="M60" s="944"/>
      <c r="N60" s="944"/>
      <c r="O60" s="944"/>
    </row>
    <row r="61" spans="1:17" s="692" customFormat="1" ht="15" thickBot="1">
      <c r="A61" s="695" t="s">
        <v>2781</v>
      </c>
      <c r="B61" s="696" t="s">
        <v>28</v>
      </c>
      <c r="C61" s="696" t="s">
        <v>29</v>
      </c>
      <c r="D61" s="696" t="s">
        <v>1026</v>
      </c>
      <c r="E61" s="696">
        <f>IF(B41="楼面地价",SUM(E51:E60),'数据-汇总表'!D3)</f>
        <v>16074.03</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2019-8-1</v>
      </c>
      <c r="D63" s="761">
        <f>EDATE(C63,-3)</f>
        <v>43586</v>
      </c>
      <c r="E63" s="761">
        <f>EDATE(D63,-3)</f>
        <v>43497</v>
      </c>
      <c r="F63" s="761">
        <f t="shared" ref="F63:O63" si="18">EDATE(E63,-3)</f>
        <v>43405</v>
      </c>
      <c r="G63" s="761">
        <f t="shared" si="18"/>
        <v>43313</v>
      </c>
      <c r="H63" s="761">
        <f t="shared" si="18"/>
        <v>43221</v>
      </c>
      <c r="I63" s="761">
        <f t="shared" si="18"/>
        <v>43132</v>
      </c>
      <c r="J63" s="761">
        <f t="shared" si="18"/>
        <v>43040</v>
      </c>
      <c r="K63" s="761">
        <f t="shared" si="18"/>
        <v>42948</v>
      </c>
      <c r="L63" s="761">
        <f t="shared" si="18"/>
        <v>42856</v>
      </c>
      <c r="M63" s="761">
        <f t="shared" si="18"/>
        <v>42767</v>
      </c>
      <c r="N63" s="761">
        <f t="shared" si="18"/>
        <v>42675</v>
      </c>
      <c r="O63" s="761">
        <f t="shared" si="18"/>
        <v>42583</v>
      </c>
    </row>
    <row r="64" spans="1:17" ht="21.75" thickBot="1">
      <c r="A64" s="763" t="s">
        <v>2674</v>
      </c>
      <c r="B64" s="759"/>
      <c r="C64" s="764"/>
      <c r="D64" s="764"/>
      <c r="E64" s="764"/>
      <c r="F64" s="765"/>
      <c r="G64" s="765"/>
      <c r="H64" s="764"/>
      <c r="I64" s="764"/>
      <c r="J64" s="764"/>
      <c r="K64" s="766"/>
      <c r="L64" s="767"/>
      <c r="M64" s="764"/>
      <c r="N64" s="764"/>
      <c r="O64" s="1162"/>
      <c r="P64" s="503"/>
      <c r="Q64" s="504"/>
    </row>
    <row r="65" spans="1:17" s="508" customFormat="1" ht="15">
      <c r="A65" s="2717" t="s">
        <v>2782</v>
      </c>
      <c r="B65" s="1362"/>
      <c r="C65" s="1574" t="str">
        <f>YEAR(C63)&amp;"-"&amp;ROUNDUP(MONTH(C63)/3,0)</f>
        <v>2019-3</v>
      </c>
      <c r="D65" s="1574" t="str">
        <f t="shared" ref="D65:O65" si="19">YEAR(D63)&amp;"-"&amp;ROUNDUP(MONTH(D63)/3,0)</f>
        <v>2019-2</v>
      </c>
      <c r="E65" s="1574" t="str">
        <f t="shared" si="19"/>
        <v>2019-1</v>
      </c>
      <c r="F65" s="1574" t="str">
        <f t="shared" si="19"/>
        <v>2018-4</v>
      </c>
      <c r="G65" s="1574" t="str">
        <f t="shared" si="19"/>
        <v>2018-3</v>
      </c>
      <c r="H65" s="1574" t="str">
        <f t="shared" si="19"/>
        <v>2018-2</v>
      </c>
      <c r="I65" s="1574" t="str">
        <f t="shared" si="19"/>
        <v>2018-1</v>
      </c>
      <c r="J65" s="1574" t="str">
        <f t="shared" si="19"/>
        <v>2017-4</v>
      </c>
      <c r="K65" s="1574" t="str">
        <f t="shared" si="19"/>
        <v>2017-3</v>
      </c>
      <c r="L65" s="1574" t="str">
        <f t="shared" si="19"/>
        <v>2017-2</v>
      </c>
      <c r="M65" s="1574" t="str">
        <f t="shared" si="19"/>
        <v>2017-1</v>
      </c>
      <c r="N65" s="1574" t="str">
        <f t="shared" si="19"/>
        <v>2016-4</v>
      </c>
      <c r="O65" s="1574" t="str">
        <f t="shared" si="19"/>
        <v>2016-3</v>
      </c>
      <c r="P65" s="507"/>
    </row>
    <row r="66" spans="1:17" s="117" customFormat="1" ht="30.75" customHeight="1">
      <c r="A66" s="2722" t="s">
        <v>2802</v>
      </c>
      <c r="B66" s="332" t="str">
        <f>"北京市平均增长率"&amp;TEXT(基准地价修正!P24,"0.00%")</f>
        <v>北京市平均增长率0.00%</v>
      </c>
      <c r="C66" s="603">
        <v>100</v>
      </c>
      <c r="D66" s="595"/>
      <c r="E66" s="595"/>
      <c r="F66" s="595"/>
      <c r="G66" s="595"/>
      <c r="H66" s="595"/>
      <c r="I66" s="595"/>
      <c r="J66" s="595"/>
      <c r="K66" s="595"/>
      <c r="L66" s="595"/>
      <c r="M66" s="1570"/>
      <c r="N66" s="1570"/>
      <c r="O66" s="1571"/>
      <c r="P66" s="504"/>
    </row>
    <row r="67" spans="1:17" s="117" customFormat="1" ht="15.75" thickBot="1">
      <c r="A67" s="515" t="s">
        <v>2585</v>
      </c>
      <c r="B67" s="516"/>
      <c r="C67" s="517"/>
      <c r="D67" s="518"/>
      <c r="E67" s="518"/>
      <c r="F67" s="518"/>
      <c r="G67" s="518"/>
      <c r="H67" s="518"/>
      <c r="I67" s="518"/>
      <c r="J67" s="518"/>
      <c r="K67" s="518"/>
      <c r="L67" s="518"/>
      <c r="M67" s="519"/>
      <c r="N67" s="519"/>
      <c r="O67" s="520"/>
      <c r="P67" s="504"/>
      <c r="Q67" s="504"/>
    </row>
    <row r="68" spans="1:17" s="117" customFormat="1" ht="15">
      <c r="A68" s="521" t="s">
        <v>2550</v>
      </c>
      <c r="B68" s="510"/>
      <c r="C68" s="522" t="s">
        <v>2652</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2588</v>
      </c>
      <c r="B70" s="528" t="s">
        <v>2554</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2557</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2558</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2559</v>
      </c>
      <c r="B83" s="528" t="s">
        <v>2705</v>
      </c>
      <c r="C83" s="573" t="s">
        <v>2597</v>
      </c>
      <c r="D83" s="573" t="s">
        <v>2598</v>
      </c>
      <c r="E83" s="573" t="s">
        <v>2599</v>
      </c>
      <c r="F83" s="573" t="s">
        <v>2600</v>
      </c>
      <c r="G83" s="573" t="s">
        <v>2601</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2602</v>
      </c>
      <c r="C85" s="578" t="s">
        <v>2597</v>
      </c>
      <c r="D85" s="578" t="s">
        <v>2598</v>
      </c>
      <c r="E85" s="578" t="s">
        <v>2599</v>
      </c>
      <c r="F85" s="578" t="s">
        <v>2600</v>
      </c>
      <c r="G85" s="578" t="s">
        <v>2601</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2785</v>
      </c>
      <c r="C87" s="573" t="s">
        <v>2597</v>
      </c>
      <c r="D87" s="573" t="s">
        <v>2598</v>
      </c>
      <c r="E87" s="573" t="s">
        <v>2599</v>
      </c>
      <c r="F87" s="573" t="s">
        <v>2600</v>
      </c>
      <c r="G87" s="573" t="s">
        <v>2601</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2786</v>
      </c>
      <c r="C89" s="573" t="s">
        <v>2597</v>
      </c>
      <c r="D89" s="573" t="s">
        <v>2598</v>
      </c>
      <c r="E89" s="573" t="s">
        <v>2599</v>
      </c>
      <c r="F89" s="573" t="s">
        <v>2600</v>
      </c>
      <c r="G89" s="573" t="s">
        <v>2601</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2654</v>
      </c>
      <c r="C91" s="573" t="s">
        <v>2597</v>
      </c>
      <c r="D91" s="573" t="s">
        <v>2598</v>
      </c>
      <c r="E91" s="573" t="s">
        <v>2599</v>
      </c>
      <c r="F91" s="573" t="s">
        <v>2600</v>
      </c>
      <c r="G91" s="573" t="s">
        <v>2601</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2803</v>
      </c>
      <c r="C93" s="660" t="s">
        <v>2675</v>
      </c>
      <c r="D93" s="660" t="s">
        <v>2676</v>
      </c>
      <c r="E93" s="660" t="s">
        <v>2677</v>
      </c>
      <c r="F93" s="660" t="s">
        <v>2678</v>
      </c>
      <c r="G93" s="660" t="s">
        <v>2679</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2787</v>
      </c>
      <c r="D95" s="539" t="s">
        <v>2788</v>
      </c>
      <c r="E95" s="539" t="s">
        <v>2789</v>
      </c>
      <c r="F95" s="539" t="s">
        <v>2790</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2691</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2750</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2563</v>
      </c>
      <c r="B107" s="528" t="s">
        <v>2791</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2792</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2794</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2795</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J53" sqref="J53"/>
    </sheetView>
  </sheetViews>
  <sheetFormatPr defaultColWidth="12" defaultRowHeight="12.75"/>
  <cols>
    <col min="1" max="1" width="9.75" style="2802" customWidth="1"/>
    <col min="2" max="2" width="19.25" style="2908" customWidth="1"/>
    <col min="3" max="4" width="12" style="2726"/>
    <col min="5" max="5" width="14.625" style="2726" customWidth="1"/>
    <col min="6" max="8" width="12" style="2726"/>
    <col min="9" max="9" width="12.25" style="2726" bestFit="1" customWidth="1"/>
    <col min="10" max="10" width="12" style="2726"/>
    <col min="11" max="11" width="8.125" style="2794" customWidth="1"/>
    <col min="12" max="12" width="12" style="2726"/>
    <col min="13" max="13" width="8.5" style="2726" customWidth="1"/>
    <col min="14" max="14" width="9.75" style="2726" customWidth="1"/>
    <col min="15" max="25" width="12" style="2726"/>
    <col min="26" max="26" width="9.375" style="2802" customWidth="1"/>
    <col min="27" max="32" width="9.375" style="1375" customWidth="1"/>
    <col min="33" max="36" width="9.375" style="2802" customWidth="1"/>
    <col min="37" max="38" width="9.375" style="2726" customWidth="1"/>
    <col min="39" max="16384" width="12" style="2726"/>
  </cols>
  <sheetData>
    <row r="1" spans="1:36" ht="28.5">
      <c r="A1" s="240" t="s">
        <v>2804</v>
      </c>
      <c r="B1" s="241"/>
      <c r="C1" s="245" t="s">
        <v>2805</v>
      </c>
      <c r="D1" s="388">
        <f>SUM(D29:D30,D33:D39)</f>
        <v>0</v>
      </c>
      <c r="E1" s="2723"/>
      <c r="F1" s="2723"/>
      <c r="G1" s="2723"/>
      <c r="H1" s="2723"/>
      <c r="I1" s="2723"/>
      <c r="J1" s="2723"/>
      <c r="K1" s="1373"/>
      <c r="L1" s="2724" t="s">
        <v>2806</v>
      </c>
      <c r="M1" s="1083">
        <f>SUMPRODUCT((区片价!B5:B9=I2)*(区片价!C3:F3=E2)*(区片价!C5:F9))</f>
        <v>0</v>
      </c>
      <c r="N1" s="1086">
        <f>SUMPRODUCT((因素修正幅度!B5:B9=I2)*(因素修正幅度!C3:F3=E2)*(因素修正幅度!C5:F9))</f>
        <v>0</v>
      </c>
      <c r="O1" s="2725"/>
      <c r="P1" s="2725"/>
      <c r="Q1" s="1373"/>
      <c r="R1" s="1604" t="s">
        <v>2807</v>
      </c>
      <c r="S1" s="1604" t="s">
        <v>2808</v>
      </c>
      <c r="T1" s="1604" t="s">
        <v>2809</v>
      </c>
      <c r="U1" s="1604" t="s">
        <v>2810</v>
      </c>
      <c r="V1" s="1604" t="s">
        <v>2811</v>
      </c>
      <c r="W1" s="1608"/>
      <c r="X1" s="1608"/>
      <c r="Y1" s="1608"/>
      <c r="Z1" s="1608"/>
      <c r="AA1" s="1608"/>
      <c r="AB1" s="1608"/>
      <c r="AC1" s="1609"/>
      <c r="AD1" s="1610"/>
      <c r="AE1" s="1610"/>
      <c r="AF1" s="1610"/>
      <c r="AG1" s="1610"/>
      <c r="AH1" s="1610"/>
      <c r="AI1" s="1610"/>
      <c r="AJ1" s="1611"/>
    </row>
    <row r="2" spans="1:36" ht="15.75">
      <c r="A2" s="245" t="s">
        <v>2812</v>
      </c>
      <c r="B2" s="248" t="e">
        <f>C26</f>
        <v>#DIV/0!</v>
      </c>
      <c r="C2" s="2727" t="s">
        <v>2813</v>
      </c>
      <c r="D2" s="2728" t="s">
        <v>2814</v>
      </c>
      <c r="E2" s="2729"/>
      <c r="F2" s="2728" t="s">
        <v>2815</v>
      </c>
      <c r="G2" s="2730">
        <f>IF(E2="商业",项目基本情况!B37,IF(E2="办公",项目基本情况!C37,IF(E2="住宅",项目基本情况!D37,项目基本情况!E37)))</f>
        <v>0</v>
      </c>
      <c r="H2" s="2728" t="s">
        <v>2816</v>
      </c>
      <c r="I2" s="2730">
        <f>IF(E2="商业",项目基本情况!B38,IF(E2="办公",项目基本情况!C38,IF(E2="住宅",项目基本情况!D38,项目基本情况!E38)))</f>
        <v>0</v>
      </c>
      <c r="J2" s="2731"/>
      <c r="K2" s="1373"/>
      <c r="L2" s="2732" t="s">
        <v>2817</v>
      </c>
      <c r="M2" s="1084">
        <f>SUMPRODUCT((区片价!B10:B28=I2)*(区片价!C3:F3=E2)*(区片价!C10:F28))</f>
        <v>0</v>
      </c>
      <c r="N2" s="1086">
        <f>SUMPRODUCT((因素修正幅度!B10:B28=I2)*(因素修正幅度!C3:F3=E2)*(因素修正幅度!C10:F28))</f>
        <v>0</v>
      </c>
      <c r="O2" s="1373"/>
      <c r="P2" s="1373"/>
      <c r="Q2" s="1373"/>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2818</v>
      </c>
      <c r="B3" s="248" t="e">
        <f>ROUND(B2*10000/D1,0)</f>
        <v>#DIV/0!</v>
      </c>
      <c r="C3" s="2727" t="s">
        <v>2819</v>
      </c>
      <c r="D3" s="2728" t="s">
        <v>2820</v>
      </c>
      <c r="E3" s="2733"/>
      <c r="F3" s="2734" t="s">
        <v>2821</v>
      </c>
      <c r="G3" s="916">
        <f>IF(F3="宗地容积率",'数据-汇总表'!I4,IF(F3="估价对象容积率",'数据-汇总表'!I6,'数据-汇总表'!I7))</f>
        <v>2.14</v>
      </c>
      <c r="H3" s="198" t="s">
        <v>2822</v>
      </c>
      <c r="I3" s="947"/>
      <c r="J3" s="2731" t="s">
        <v>2823</v>
      </c>
      <c r="K3" s="1373"/>
      <c r="L3" s="2732" t="s">
        <v>2824</v>
      </c>
      <c r="M3" s="1084">
        <f>SUMPRODUCT((区片价!B29:B48=I2)*(区片价!C3:F3=E2)*(区片价!C29:F48))</f>
        <v>0</v>
      </c>
      <c r="N3" s="1086">
        <f>SUMPRODUCT((因素修正幅度!B29:B48=I2)*(因素修正幅度!C3:F3=E2)*(因素修正幅度!C29:F48))</f>
        <v>0</v>
      </c>
      <c r="O3" s="1373"/>
      <c r="P3" s="1373"/>
      <c r="Q3" s="1373"/>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4"/>
      <c r="B4" s="3315"/>
      <c r="C4" s="3315"/>
      <c r="D4" s="3316"/>
      <c r="E4" s="3316"/>
      <c r="F4" s="3316"/>
      <c r="G4" s="3316"/>
      <c r="H4" s="3316"/>
      <c r="I4" s="3316"/>
      <c r="J4" s="3317"/>
      <c r="K4" s="1373"/>
      <c r="L4" s="2732" t="s">
        <v>2825</v>
      </c>
      <c r="M4" s="1084">
        <f>SUMPRODUCT((区片价!B49:B75=I2)*(区片价!C3:F3=E2)*(区片价!C49:F75))</f>
        <v>0</v>
      </c>
      <c r="N4" s="1086">
        <f>SUMPRODUCT((因素修正幅度!B49:B75=I2)*(因素修正幅度!C3:F3=E2)*(因素修正幅度!C49:F75))</f>
        <v>0</v>
      </c>
      <c r="O4" s="1373"/>
      <c r="P4" s="1373"/>
      <c r="Q4" s="1373"/>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4" customFormat="1" ht="15.75" thickBot="1">
      <c r="A5" s="2735" t="s">
        <v>807</v>
      </c>
      <c r="B5" s="2736" t="s">
        <v>2826</v>
      </c>
      <c r="C5" s="917" t="e">
        <f>ROUND(IF(E2="商业",IF(F16="增加",C6*C7+C16,C6*C7-C16),IF(E2="住宅",IF(F16="增加",C6*C12+C16,C6*C12-C16),IF(F16="增加",C6+C16,C6-C16))),0)</f>
        <v>#DIV/0!</v>
      </c>
      <c r="D5" s="1789" t="e">
        <f>ROUND(IF(F16="增加",C6+C16,C6-C16),0)</f>
        <v>#DIV/0!</v>
      </c>
      <c r="E5" s="1789"/>
      <c r="F5" s="2737"/>
      <c r="G5" s="2738"/>
      <c r="H5" s="2738"/>
      <c r="I5" s="2738"/>
      <c r="J5" s="2739"/>
      <c r="K5" s="2740"/>
      <c r="L5" s="2732" t="s">
        <v>2827</v>
      </c>
      <c r="M5" s="1084">
        <f>SUMPRODUCT((区片价!B76:B109=I2)*(区片价!C3:F3=E2)*(区片价!C76:F109))</f>
        <v>0</v>
      </c>
      <c r="N5" s="1086">
        <f>SUMPRODUCT((因素修正幅度!B76:B109=I2)*(因素修正幅度!C3:F3=E2)*(因素修正幅度!C76:F109))</f>
        <v>0</v>
      </c>
      <c r="O5" s="1373"/>
      <c r="P5" s="1373"/>
      <c r="Q5" s="1373"/>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41"/>
      <c r="AD5" s="2742"/>
      <c r="AE5" s="2742"/>
      <c r="AF5" s="2742"/>
      <c r="AG5" s="2742"/>
      <c r="AH5" s="2742"/>
      <c r="AI5" s="2742"/>
      <c r="AJ5" s="2743"/>
    </row>
    <row r="6" spans="1:36" ht="15.75" thickBot="1">
      <c r="A6" s="2745" t="s">
        <v>2828</v>
      </c>
      <c r="B6" s="2746" t="s">
        <v>2829</v>
      </c>
      <c r="C6" s="918">
        <f>SUMIF(L1:L12,G2,M1:M12)</f>
        <v>0</v>
      </c>
      <c r="D6" s="2747" t="s">
        <v>2830</v>
      </c>
      <c r="E6" s="2748"/>
      <c r="F6" s="2748"/>
      <c r="G6" s="2749"/>
      <c r="H6" s="2749"/>
      <c r="I6" s="2749"/>
      <c r="J6" s="2750"/>
      <c r="K6" s="1844"/>
      <c r="L6" s="2732" t="s">
        <v>2831</v>
      </c>
      <c r="M6" s="1084">
        <f>SUMPRODUCT((区片价!B110:B157=I2)*(区片价!C3:F3=E2)*(区片价!C110:F157))</f>
        <v>0</v>
      </c>
      <c r="N6" s="1086">
        <f>SUMPRODUCT((因素修正幅度!B110:B157=I2)*(因素修正幅度!C3:F3=E2)*(因素修正幅度!C110:F157))</f>
        <v>0</v>
      </c>
      <c r="O6" s="1373"/>
      <c r="P6" s="1373"/>
      <c r="Q6" s="1373"/>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41"/>
      <c r="AD6" s="2742"/>
      <c r="AE6" s="2742"/>
      <c r="AF6" s="2742"/>
      <c r="AG6" s="2742"/>
      <c r="AH6" s="2742"/>
      <c r="AI6" s="2742"/>
      <c r="AJ6" s="2743"/>
    </row>
    <row r="7" spans="1:36" ht="24">
      <c r="A7" s="3318" t="str">
        <f>IF(E2="商业",IF(C8="不临58条商业街","",2),"")</f>
        <v/>
      </c>
      <c r="B7" s="2751" t="s">
        <v>2832</v>
      </c>
      <c r="C7" s="919" t="e">
        <f>IF(C8="不临58条商业街",1,ROUND(1+(1.6*E8+1.2*E9+0.8*E10+0.4*E11)*C9,4))</f>
        <v>#DIV/0!</v>
      </c>
      <c r="D7" s="2752" t="s">
        <v>2833</v>
      </c>
      <c r="E7" s="948"/>
      <c r="F7" s="2753"/>
      <c r="G7" s="2754"/>
      <c r="H7" s="2754"/>
      <c r="I7" s="2754"/>
      <c r="J7" s="2755"/>
      <c r="K7" s="1844"/>
      <c r="L7" s="2732" t="s">
        <v>2834</v>
      </c>
      <c r="M7" s="1084">
        <f>SUMPRODUCT((区片价!B158:B205=I2)*(区片价!C3:F3=E2)*(区片价!C158:F205))</f>
        <v>0</v>
      </c>
      <c r="N7" s="1086">
        <f>SUMPRODUCT((因素修正幅度!B158:B205=I2)*(因素修正幅度!C3:F3=E2)*(因素修正幅度!C158:F205))</f>
        <v>0</v>
      </c>
      <c r="O7" s="1373"/>
      <c r="P7" s="1373"/>
      <c r="Q7" s="1373"/>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2835</v>
      </c>
      <c r="X7" s="1606">
        <f>G2</f>
        <v>0</v>
      </c>
      <c r="Y7" s="1606" t="s">
        <v>2836</v>
      </c>
      <c r="Z7" s="1607">
        <f>G3</f>
        <v>2.14</v>
      </c>
      <c r="AA7" s="1608"/>
      <c r="AB7" s="1608"/>
      <c r="AC7" s="1609"/>
      <c r="AD7" s="1610"/>
      <c r="AE7" s="1610"/>
      <c r="AF7" s="1610"/>
      <c r="AG7" s="1610"/>
      <c r="AH7" s="1610"/>
      <c r="AI7" s="1610"/>
      <c r="AJ7" s="1611"/>
    </row>
    <row r="8" spans="1:36" ht="15">
      <c r="A8" s="3319"/>
      <c r="B8" s="198" t="s">
        <v>2837</v>
      </c>
      <c r="C8" s="2756"/>
      <c r="D8" s="920" t="s">
        <v>139</v>
      </c>
      <c r="E8" s="921" t="e">
        <f>ROUND(C11/E7,4)</f>
        <v>#DIV/0!</v>
      </c>
      <c r="F8" s="2757" t="s">
        <v>2838</v>
      </c>
      <c r="G8" s="2758"/>
      <c r="H8" s="2758"/>
      <c r="I8" s="2758"/>
      <c r="J8" s="2759"/>
      <c r="K8" s="1373"/>
      <c r="L8" s="2732" t="s">
        <v>2839</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311" t="s">
        <v>2840</v>
      </c>
      <c r="X8" s="3312"/>
      <c r="Y8" s="1612" t="s">
        <v>2841</v>
      </c>
      <c r="Z8" s="1612" t="s">
        <v>2842</v>
      </c>
      <c r="AA8" s="1612" t="s">
        <v>2843</v>
      </c>
      <c r="AB8" s="1612" t="s">
        <v>2844</v>
      </c>
      <c r="AC8" s="1612" t="s">
        <v>2845</v>
      </c>
      <c r="AD8" s="1612" t="s">
        <v>2846</v>
      </c>
      <c r="AE8" s="1612" t="s">
        <v>2847</v>
      </c>
      <c r="AF8" s="1612" t="s">
        <v>2848</v>
      </c>
      <c r="AG8" s="1612" t="s">
        <v>2849</v>
      </c>
      <c r="AH8" s="1612" t="s">
        <v>2850</v>
      </c>
      <c r="AI8" s="1612" t="s">
        <v>2851</v>
      </c>
      <c r="AJ8" s="1612" t="s">
        <v>2852</v>
      </c>
    </row>
    <row r="9" spans="1:36" ht="15">
      <c r="A9" s="3319"/>
      <c r="B9" s="198" t="s">
        <v>2853</v>
      </c>
      <c r="C9" s="922">
        <f>SUMIF(修正!C59:C119,C8,修正!E59:E119)</f>
        <v>0</v>
      </c>
      <c r="D9" s="200" t="s">
        <v>140</v>
      </c>
      <c r="E9" s="200" t="e">
        <f>ROUND(C11/E7,4)</f>
        <v>#DIV/0!</v>
      </c>
      <c r="F9" s="2757" t="s">
        <v>2854</v>
      </c>
      <c r="G9" s="2758"/>
      <c r="H9" s="2758"/>
      <c r="I9" s="2758"/>
      <c r="J9" s="2759"/>
      <c r="K9" s="1373"/>
      <c r="L9" s="2732" t="s">
        <v>2855</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313" t="s">
        <v>2856</v>
      </c>
      <c r="X9" s="1613" t="s">
        <v>2857</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19"/>
      <c r="B10" s="198" t="s">
        <v>2858</v>
      </c>
      <c r="C10" s="200">
        <f>SUMIF(修正!C59:C119,C8,修正!F59:F119)</f>
        <v>0</v>
      </c>
      <c r="D10" s="200" t="s">
        <v>141</v>
      </c>
      <c r="E10" s="200" t="e">
        <f>ROUND(C11/E7,4)</f>
        <v>#DIV/0!</v>
      </c>
      <c r="F10" s="2757" t="s">
        <v>2859</v>
      </c>
      <c r="G10" s="2758"/>
      <c r="H10" s="2758"/>
      <c r="I10" s="2758"/>
      <c r="J10" s="2759"/>
      <c r="K10" s="1373"/>
      <c r="L10" s="2732" t="s">
        <v>2860</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313"/>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19"/>
      <c r="B11" s="2760" t="s">
        <v>2861</v>
      </c>
      <c r="C11" s="923">
        <f>C10/4</f>
        <v>0</v>
      </c>
      <c r="D11" s="923" t="s">
        <v>142</v>
      </c>
      <c r="E11" s="923" t="e">
        <f>ROUND(C11/E7,4)</f>
        <v>#DIV/0!</v>
      </c>
      <c r="F11" s="2761" t="s">
        <v>2862</v>
      </c>
      <c r="G11" s="2762"/>
      <c r="H11" s="2762"/>
      <c r="I11" s="2762"/>
      <c r="J11" s="2763"/>
      <c r="K11" s="1373"/>
      <c r="L11" s="2732" t="s">
        <v>2863</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313" t="s">
        <v>2864</v>
      </c>
      <c r="X11" s="1616" t="s">
        <v>2865</v>
      </c>
      <c r="Y11" s="1617">
        <f>$G$3</f>
        <v>2.14</v>
      </c>
      <c r="Z11" s="1617">
        <f t="shared" ref="Z11:AJ11" si="3">$G$3</f>
        <v>2.14</v>
      </c>
      <c r="AA11" s="1617">
        <f t="shared" si="3"/>
        <v>2.14</v>
      </c>
      <c r="AB11" s="1617">
        <f t="shared" si="3"/>
        <v>2.14</v>
      </c>
      <c r="AC11" s="1617">
        <f t="shared" si="3"/>
        <v>2.14</v>
      </c>
      <c r="AD11" s="1617">
        <f t="shared" si="3"/>
        <v>2.14</v>
      </c>
      <c r="AE11" s="1617">
        <f t="shared" si="3"/>
        <v>2.14</v>
      </c>
      <c r="AF11" s="1617">
        <f t="shared" si="3"/>
        <v>2.14</v>
      </c>
      <c r="AG11" s="1617">
        <f t="shared" si="3"/>
        <v>2.14</v>
      </c>
      <c r="AH11" s="1617">
        <f t="shared" si="3"/>
        <v>2.14</v>
      </c>
      <c r="AI11" s="1617">
        <f t="shared" si="3"/>
        <v>2.14</v>
      </c>
      <c r="AJ11" s="1617">
        <f t="shared" si="3"/>
        <v>2.14</v>
      </c>
    </row>
    <row r="12" spans="1:36" ht="25.5" thickBot="1">
      <c r="A12" s="3318" t="s">
        <v>2866</v>
      </c>
      <c r="B12" s="2764" t="s">
        <v>2867</v>
      </c>
      <c r="C12" s="919">
        <f>ROUND(C15*D15*E15*F15*G15*H15*I15*J15,4)</f>
        <v>1</v>
      </c>
      <c r="D12" s="2765" t="s">
        <v>2868</v>
      </c>
      <c r="E12" s="2766"/>
      <c r="F12" s="2766"/>
      <c r="G12" s="2767"/>
      <c r="H12" s="2767"/>
      <c r="I12" s="2767"/>
      <c r="J12" s="2768"/>
      <c r="K12" s="1373"/>
      <c r="L12" s="2769" t="s">
        <v>2869</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313"/>
      <c r="X12" s="1618" t="s">
        <v>2870</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0"/>
      <c r="B13" s="2770" t="s">
        <v>2871</v>
      </c>
      <c r="C13" s="2771" t="s">
        <v>2872</v>
      </c>
      <c r="D13" s="1810" t="s">
        <v>2873</v>
      </c>
      <c r="E13" s="1810" t="s">
        <v>2874</v>
      </c>
      <c r="F13" s="30" t="s">
        <v>2875</v>
      </c>
      <c r="G13" s="2772" t="s">
        <v>2876</v>
      </c>
      <c r="H13" s="2772" t="s">
        <v>2876</v>
      </c>
      <c r="I13" s="2772" t="s">
        <v>2876</v>
      </c>
      <c r="J13" s="2773" t="s">
        <v>2876</v>
      </c>
      <c r="K13" s="1373"/>
      <c r="L13" s="1373"/>
      <c r="M13" s="1373"/>
      <c r="N13" s="1373"/>
      <c r="O13" s="1373"/>
      <c r="P13" s="1373"/>
      <c r="Q13" s="1373"/>
      <c r="R13" s="1604">
        <v>12</v>
      </c>
      <c r="S13" s="1605"/>
      <c r="T13" s="1604" t="e">
        <f t="shared" si="0"/>
        <v>#DIV/0!</v>
      </c>
      <c r="U13" s="1605"/>
      <c r="V13" s="1604" t="e">
        <f t="shared" si="1"/>
        <v>#DIV/0!</v>
      </c>
      <c r="W13" s="3313"/>
      <c r="X13" s="1618"/>
      <c r="Y13" s="1615">
        <f>(-0.163*(Y12^2)-0.59*Y12+7617)*(10^(-4))/Y11</f>
        <v>0.35593457943925233</v>
      </c>
      <c r="Z13" s="1615">
        <f t="shared" ref="Z13:AJ13" si="5">(-0.163*(Z12^2)-0.59*Z12+7617)*(10^(-4))/Z11</f>
        <v>0.35593457943925233</v>
      </c>
      <c r="AA13" s="1615">
        <f t="shared" si="5"/>
        <v>0.35593457943925233</v>
      </c>
      <c r="AB13" s="1615">
        <f t="shared" si="5"/>
        <v>0.35593457943925233</v>
      </c>
      <c r="AC13" s="1615">
        <f t="shared" si="5"/>
        <v>0.35593457943925233</v>
      </c>
      <c r="AD13" s="1615">
        <f t="shared" si="5"/>
        <v>0.35593457943925233</v>
      </c>
      <c r="AE13" s="1615">
        <f t="shared" si="5"/>
        <v>0.35593457943925233</v>
      </c>
      <c r="AF13" s="1615">
        <f t="shared" si="5"/>
        <v>0.35593457943925233</v>
      </c>
      <c r="AG13" s="1615">
        <f t="shared" si="5"/>
        <v>0.35593457943925233</v>
      </c>
      <c r="AH13" s="1615">
        <f t="shared" si="5"/>
        <v>0.35593457943925233</v>
      </c>
      <c r="AI13" s="1615">
        <f t="shared" si="5"/>
        <v>0.35593457943925233</v>
      </c>
      <c r="AJ13" s="1615">
        <f t="shared" si="5"/>
        <v>0.35593457943925233</v>
      </c>
    </row>
    <row r="14" spans="1:36" ht="15">
      <c r="A14" s="3320"/>
      <c r="B14" s="2774"/>
      <c r="C14" s="2775"/>
      <c r="D14" s="2776"/>
      <c r="E14" s="2776"/>
      <c r="F14" s="2777"/>
      <c r="G14" s="2778" t="s">
        <v>2877</v>
      </c>
      <c r="H14" s="2779"/>
      <c r="I14" s="2780"/>
      <c r="J14" s="2781"/>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1"/>
      <c r="B15" s="2782" t="s">
        <v>2878</v>
      </c>
      <c r="C15" s="229">
        <f>IF(C14="有",1.1,1)</f>
        <v>1</v>
      </c>
      <c r="D15" s="229">
        <f>IF(D14="有",1.1,1)</f>
        <v>1</v>
      </c>
      <c r="E15" s="229">
        <f>IF(E14="有",1.1,1)</f>
        <v>1</v>
      </c>
      <c r="F15" s="229">
        <f>IF(F14="500米范围内",1.2,IF(F14="500-1000米",1.1,1))</f>
        <v>1</v>
      </c>
      <c r="G15" s="949">
        <v>1</v>
      </c>
      <c r="H15" s="949">
        <v>1</v>
      </c>
      <c r="I15" s="949">
        <v>1</v>
      </c>
      <c r="J15" s="950">
        <v>1</v>
      </c>
      <c r="K15" s="1373"/>
      <c r="L15" s="2783" t="s">
        <v>2814</v>
      </c>
      <c r="M15" s="920" t="s">
        <v>2879</v>
      </c>
      <c r="N15" s="920" t="s">
        <v>2880</v>
      </c>
      <c r="O15" s="920" t="s">
        <v>2881</v>
      </c>
      <c r="P15" s="2784" t="s">
        <v>2882</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18" t="s">
        <v>2883</v>
      </c>
      <c r="B16" s="2751" t="s">
        <v>2884</v>
      </c>
      <c r="C16" s="1803" t="e">
        <f>ROUND(SUM(G17:J17)/C17,0)</f>
        <v>#DIV/0!</v>
      </c>
      <c r="D16" s="2785" t="s">
        <v>2885</v>
      </c>
      <c r="E16" s="2786"/>
      <c r="F16" s="2787"/>
      <c r="G16" s="2788"/>
      <c r="H16" s="2788"/>
      <c r="I16" s="2788"/>
      <c r="J16" s="2789"/>
      <c r="K16" s="1373"/>
      <c r="L16" s="2790" t="s">
        <v>2886</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19"/>
      <c r="B17" s="2791" t="s">
        <v>2887</v>
      </c>
      <c r="C17" s="924">
        <f>SUMPRODUCT((修正!A2:A5=E2)*(修正!B1:M1=G2)*(修正!B2:M5))</f>
        <v>0</v>
      </c>
      <c r="D17" s="2792" t="s">
        <v>2888</v>
      </c>
      <c r="E17" s="923" t="str">
        <f>IF(OR(G2="八级",G2="九级",G2="十级",G2="十一级",G2="十二级"),"五通一平","七通一平")</f>
        <v>七通一平</v>
      </c>
      <c r="F17" s="924" t="s">
        <v>2889</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3" t="s">
        <v>2890</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4"/>
      <c r="AF17" s="2794"/>
      <c r="AG17" s="2726"/>
      <c r="AH17" s="2726"/>
      <c r="AI17" s="2726"/>
      <c r="AJ17" s="2726"/>
    </row>
    <row r="18" spans="1:37" s="2744" customFormat="1" ht="15.75" thickBot="1">
      <c r="A18" s="2795" t="s">
        <v>808</v>
      </c>
      <c r="B18" s="2796" t="s">
        <v>2891</v>
      </c>
      <c r="C18" s="926">
        <f>SUMIF(修正!C18:C39,E3,修正!E18:E39)</f>
        <v>0</v>
      </c>
      <c r="D18" s="2797"/>
      <c r="E18" s="2798"/>
      <c r="F18" s="2799"/>
      <c r="G18" s="2800"/>
      <c r="H18" s="2800"/>
      <c r="I18" s="2800"/>
      <c r="J18" s="2801"/>
      <c r="K18" s="1380"/>
      <c r="O18" s="1378"/>
      <c r="P18" s="1378"/>
      <c r="Q18" s="1379"/>
      <c r="R18" s="1379"/>
      <c r="S18" s="1379"/>
      <c r="T18" s="1374"/>
      <c r="U18" s="1374"/>
      <c r="V18" s="1374"/>
      <c r="W18" s="1373"/>
      <c r="X18" s="1373"/>
      <c r="Y18" s="1373"/>
      <c r="Z18" s="1380"/>
      <c r="AA18" s="1381"/>
      <c r="AB18" s="1381"/>
      <c r="AC18" s="1381"/>
      <c r="AD18" s="1381"/>
      <c r="AE18" s="1375"/>
      <c r="AF18" s="1375"/>
      <c r="AG18" s="2802"/>
      <c r="AH18" s="2802"/>
      <c r="AI18" s="2802"/>
    </row>
    <row r="19" spans="1:37" s="2744" customFormat="1" ht="27.75" thickBot="1">
      <c r="A19" s="2795" t="s">
        <v>809</v>
      </c>
      <c r="B19" s="2796" t="s">
        <v>2892</v>
      </c>
      <c r="C19" s="927" t="e">
        <f>ROUND(IF(H19="按公示增长率计算",SUMPRODUCT((地价!A3:A25=YEAR(G19)&amp;"-"&amp;ROUNDUP(MONTH(G19)/3,0))*(地价!X2:AB2=E2)*(地价!X3:AB25)),IF(H19="地价指数",M20/M19,(1+I19)^O19)),4)</f>
        <v>#DIV/0!</v>
      </c>
      <c r="D19" s="2803" t="s">
        <v>2893</v>
      </c>
      <c r="E19" s="928">
        <v>41640</v>
      </c>
      <c r="F19" s="2803" t="s">
        <v>2894</v>
      </c>
      <c r="G19" s="929">
        <f>'数据-取费表'!B2</f>
        <v>43689</v>
      </c>
      <c r="H19" s="2804" t="s">
        <v>2895</v>
      </c>
      <c r="I19" s="930" t="str">
        <f>IF(H19="季度增幅（自定义）",SUMIF(N21:N24,E2,O21:O24),"")</f>
        <v/>
      </c>
      <c r="J19" s="2801"/>
      <c r="K19" s="1380"/>
      <c r="L19" s="2805" t="s">
        <v>2896</v>
      </c>
      <c r="M19" s="1736">
        <f>ROUND(SUMIF(地价!B2:F2,E2,地价!B25:F25),0)</f>
        <v>0</v>
      </c>
      <c r="N19" s="2806" t="s">
        <v>2897</v>
      </c>
      <c r="O19" s="931">
        <f>ROUNDDOWN(DATEDIF(E19,G19,"M")/3,0)</f>
        <v>22</v>
      </c>
      <c r="P19" s="1377"/>
      <c r="Q19" s="1379"/>
      <c r="R19" s="1379"/>
      <c r="S19" s="1379"/>
      <c r="T19" s="1374"/>
      <c r="U19" s="1374"/>
      <c r="V19" s="1374"/>
      <c r="W19" s="1373"/>
      <c r="X19" s="1373"/>
      <c r="Y19" s="1373"/>
      <c r="Z19" s="1380"/>
      <c r="AA19" s="1381"/>
      <c r="AB19" s="1381"/>
      <c r="AC19" s="1381"/>
      <c r="AD19" s="1381"/>
      <c r="AE19" s="1381"/>
      <c r="AF19" s="2807"/>
      <c r="AG19" s="2808"/>
      <c r="AH19" s="2802"/>
      <c r="AI19" s="2809"/>
      <c r="AJ19" s="2809"/>
      <c r="AK19" s="2809"/>
    </row>
    <row r="20" spans="1:37" s="2744" customFormat="1" ht="27.75" thickBot="1">
      <c r="A20" s="2810" t="s">
        <v>810</v>
      </c>
      <c r="B20" s="2811" t="s">
        <v>2898</v>
      </c>
      <c r="C20" s="932" t="e">
        <f>ROUND(POWER(1+G20,J20-I20)*(POWER(1+G20,I20)-1)/(POWER(1+G20,J20)-1),4)</f>
        <v>#DIV/0!</v>
      </c>
      <c r="D20" s="2812" t="s">
        <v>2899</v>
      </c>
      <c r="E20" s="1770">
        <f ca="1">存贷款利率!D4/100</f>
        <v>4.3499999999999997E-2</v>
      </c>
      <c r="F20" s="2812" t="s">
        <v>2890</v>
      </c>
      <c r="G20" s="937">
        <f>SUMIF(M15:P15,E2,M17:P17)</f>
        <v>0</v>
      </c>
      <c r="H20" s="2812" t="s">
        <v>2900</v>
      </c>
      <c r="I20" s="938" t="e">
        <f>SUMIF('数据-取费表'!C6:C15,E2,'数据-取费表'!F6:F15)/COUNTIF('数据-取费表'!C6:C15,E2)</f>
        <v>#DIV/0!</v>
      </c>
      <c r="J20" s="939">
        <f>IF(E2="住宅",70,IF(E2="商业",40,50))</f>
        <v>50</v>
      </c>
      <c r="K20" s="1380"/>
      <c r="L20" s="2813" t="s">
        <v>2901</v>
      </c>
      <c r="M20" s="1737">
        <f>ROUND(SUMPRODUCT((地价!A4:A25=YEAR(G19)&amp;"-"&amp;ROUNDUP(MONTH(G19)/3,0))*(地价!B2:F2=E2)*(地价!B4:F25)),0)</f>
        <v>0</v>
      </c>
      <c r="N20" s="2814" t="s">
        <v>2902</v>
      </c>
      <c r="O20" s="2815" t="s">
        <v>2903</v>
      </c>
      <c r="P20" s="2816" t="s">
        <v>2904</v>
      </c>
      <c r="R20" s="1379"/>
      <c r="S20" s="1379"/>
      <c r="T20" s="1374"/>
      <c r="U20" s="1374"/>
      <c r="V20" s="1374"/>
      <c r="W20" s="1373"/>
      <c r="X20" s="1373"/>
      <c r="Y20" s="1373"/>
      <c r="Z20" s="1380"/>
      <c r="AA20" s="1381"/>
      <c r="AB20" s="1381"/>
      <c r="AC20" s="1381"/>
      <c r="AD20" s="1381"/>
      <c r="AE20" s="1381"/>
      <c r="AF20" s="1381"/>
    </row>
    <row r="21" spans="1:37" s="2744" customFormat="1" ht="15">
      <c r="A21" s="2817" t="s">
        <v>811</v>
      </c>
      <c r="B21" s="2818" t="s">
        <v>2905</v>
      </c>
      <c r="C21" s="940">
        <f>IF(B21="容积率修正",IF(G3&lt;=10,D22,J22),C23)</f>
        <v>0</v>
      </c>
      <c r="D21" s="2819"/>
      <c r="E21" s="2819"/>
      <c r="F21" s="2819"/>
      <c r="G21" s="2819"/>
      <c r="H21" s="2819"/>
      <c r="I21" s="2819"/>
      <c r="J21" s="2820"/>
      <c r="K21" s="1380"/>
      <c r="N21" s="2821" t="s">
        <v>2906</v>
      </c>
      <c r="O21" s="1564"/>
      <c r="P21" s="1565">
        <f>SUMPRODUCT((地价!A3:A25=YEAR(G19)&amp;"-"&amp;ROUNDUP(MONTH(G19)/3,0))*(地价!AD2:AH2=N21)*(地价!AD3:AH25))</f>
        <v>0</v>
      </c>
      <c r="R21" s="1379"/>
      <c r="S21" s="1379"/>
      <c r="T21" s="1374"/>
      <c r="U21" s="1374"/>
      <c r="V21" s="1374"/>
      <c r="W21" s="1373"/>
      <c r="X21" s="1373"/>
      <c r="Y21" s="1373"/>
      <c r="Z21" s="1380"/>
      <c r="AA21" s="1381"/>
      <c r="AB21" s="1381"/>
      <c r="AC21" s="1381"/>
      <c r="AD21" s="1381"/>
      <c r="AE21" s="1381"/>
      <c r="AF21" s="1381"/>
    </row>
    <row r="22" spans="1:37" s="2744" customFormat="1" ht="14.25">
      <c r="A22" s="2670" t="s">
        <v>2907</v>
      </c>
      <c r="B22" s="2822" t="s">
        <v>2908</v>
      </c>
      <c r="C22" s="1812" t="s">
        <v>2909</v>
      </c>
      <c r="D22" s="1812">
        <f>IF(E22=G22,F22,IF(G3&lt;=10,ROUND(F22+(H22-F22)*(G3-E22)/(G22-E22),4),"——"))</f>
        <v>0</v>
      </c>
      <c r="E22" s="916">
        <f>ROUNDDOWN(G3,1)</f>
        <v>2.1</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2.2000000000000002</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41" t="str">
        <f>IF(G3&gt;10,D113,"——")</f>
        <v>——</v>
      </c>
      <c r="K22" s="1380"/>
      <c r="N22" s="2821" t="s">
        <v>2910</v>
      </c>
      <c r="O22" s="1564"/>
      <c r="P22" s="1565">
        <f>SUMPRODUCT((地价!A3:A25=YEAR(G19)&amp;"-"&amp;ROUNDUP(MONTH(G19)/3,0))*(地价!AD2:AH2=N22)*(地价!AD3:AH25))</f>
        <v>0</v>
      </c>
      <c r="R22" s="1379"/>
      <c r="S22" s="1379"/>
      <c r="T22" s="1374"/>
      <c r="U22" s="1374"/>
      <c r="V22" s="1374"/>
      <c r="W22" s="1373"/>
      <c r="X22" s="1373"/>
      <c r="Y22" s="1373"/>
      <c r="Z22" s="1380"/>
      <c r="AA22" s="1381"/>
      <c r="AB22" s="1381"/>
      <c r="AC22" s="1381"/>
      <c r="AD22" s="1381"/>
      <c r="AE22" s="1381"/>
      <c r="AF22" s="1381"/>
    </row>
    <row r="23" spans="1:37" ht="27.75" thickBot="1">
      <c r="A23" s="2670" t="s">
        <v>2911</v>
      </c>
      <c r="B23" s="2823" t="s">
        <v>2912</v>
      </c>
      <c r="C23" s="1016">
        <f>ROUND(IF(G3&gt;1,IF(I3&lt;7,SUMPRODUCT((B93:B98=I3)*(C92:N92=G2)*(C93:N98)),SUMIF(C92:N92,G2,C100:N100)),IF(I3&lt;7,SUMPRODUCT((B102:B107=I3)*(C92:N92=G2)*(C102:N107)),SUMIF(C92:N92,G2,C109:N109))),4)</f>
        <v>0</v>
      </c>
      <c r="D23" s="2779"/>
      <c r="E23" s="2779"/>
      <c r="F23" s="2824"/>
      <c r="G23" s="2825"/>
      <c r="H23" s="2826"/>
      <c r="I23" s="2827"/>
      <c r="J23" s="2828"/>
      <c r="K23" s="1373"/>
      <c r="N23" s="2821" t="s">
        <v>2913</v>
      </c>
      <c r="O23" s="1564"/>
      <c r="P23" s="1565">
        <f>SUMPRODUCT((地价!A3:A25=YEAR(G19)&amp;"-"&amp;ROUNDUP(MONTH(G19)/3,0))*(地价!AD2:AH2=N23)*(地价!AD3:AH25))</f>
        <v>0</v>
      </c>
      <c r="R23" s="1379"/>
      <c r="S23" s="1379"/>
      <c r="T23" s="1374"/>
      <c r="U23" s="1374"/>
      <c r="V23" s="1374"/>
      <c r="W23" s="1373"/>
      <c r="X23" s="1373"/>
      <c r="Y23" s="1373"/>
      <c r="Z23" s="1380"/>
      <c r="AA23" s="1381"/>
      <c r="AB23" s="1381"/>
      <c r="AC23" s="1381"/>
      <c r="AD23" s="1381"/>
      <c r="AK23" s="2802"/>
    </row>
    <row r="24" spans="1:37" s="2744" customFormat="1" ht="15.75" thickBot="1">
      <c r="A24" s="2810" t="s">
        <v>812</v>
      </c>
      <c r="B24" s="2796" t="s">
        <v>2914</v>
      </c>
      <c r="C24" s="927">
        <f>SUMIF(A45:A88,E2,B45:B88)</f>
        <v>0</v>
      </c>
      <c r="D24" s="2799"/>
      <c r="E24" s="2829"/>
      <c r="F24" s="2829"/>
      <c r="G24" s="2829"/>
      <c r="H24" s="2829"/>
      <c r="I24" s="2829"/>
      <c r="J24" s="2830"/>
      <c r="K24" s="1380"/>
      <c r="N24" s="2831" t="s">
        <v>2915</v>
      </c>
      <c r="O24" s="1566"/>
      <c r="P24" s="1567">
        <f>SUMPRODUCT((地价!A3:A25=YEAR(G19)&amp;"-"&amp;ROUNDUP(MONTH(G19)/3,0))*(地价!AD2:AH2=N24)*(地价!AD3:AH25))</f>
        <v>0</v>
      </c>
      <c r="R24" s="1379"/>
      <c r="S24" s="1379"/>
      <c r="T24" s="1374"/>
      <c r="U24" s="1374"/>
      <c r="V24" s="1374"/>
      <c r="W24" s="1373"/>
      <c r="X24" s="1373"/>
      <c r="Y24" s="1373"/>
      <c r="Z24" s="1380"/>
      <c r="AA24" s="1381"/>
      <c r="AB24" s="1381"/>
      <c r="AC24" s="1381"/>
      <c r="AD24" s="1381"/>
      <c r="AE24" s="1381"/>
      <c r="AF24" s="1381"/>
    </row>
    <row r="25" spans="1:37" ht="15.75" thickBot="1">
      <c r="A25" s="2810" t="s">
        <v>813</v>
      </c>
      <c r="B25" s="2832" t="s">
        <v>2916</v>
      </c>
      <c r="C25" s="933"/>
      <c r="D25" s="2754"/>
      <c r="E25" s="2754"/>
      <c r="F25" s="2833"/>
      <c r="G25" s="2754"/>
      <c r="H25" s="2754"/>
      <c r="I25" s="2754"/>
      <c r="J25" s="2755"/>
      <c r="K25" s="1373"/>
      <c r="N25" s="2834" t="s">
        <v>2917</v>
      </c>
      <c r="O25" s="1568"/>
      <c r="P25" s="1567">
        <f>SUMPRODUCT((地价!A3:A25=YEAR(G19)&amp;"-"&amp;ROUNDUP(MONTH(G19)/3,0))*(地价!AD2:AH2=N25)*(地价!AD3:AH25))</f>
        <v>0</v>
      </c>
      <c r="R25" s="1379"/>
      <c r="S25" s="1379"/>
      <c r="T25" s="1374"/>
      <c r="U25" s="1374"/>
      <c r="V25" s="1374"/>
      <c r="W25" s="1373"/>
      <c r="X25" s="1373"/>
      <c r="Y25" s="1373"/>
      <c r="Z25" s="1380"/>
      <c r="AA25" s="1381"/>
      <c r="AB25" s="1381"/>
      <c r="AC25" s="1381"/>
      <c r="AD25" s="1381"/>
    </row>
    <row r="26" spans="1:37" ht="15">
      <c r="A26" s="2835"/>
      <c r="B26" s="2822" t="s">
        <v>2918</v>
      </c>
      <c r="C26" s="206" t="e">
        <f>E29+SUM(E33:E39)</f>
        <v>#DIV/0!</v>
      </c>
      <c r="D26" s="2836"/>
      <c r="E26" s="2779"/>
      <c r="F26" s="2837"/>
      <c r="G26" s="2779"/>
      <c r="H26" s="2779"/>
      <c r="I26" s="2779"/>
      <c r="J26" s="2838"/>
      <c r="K26" s="1373"/>
      <c r="R26" s="1379"/>
      <c r="S26" s="1379"/>
      <c r="T26" s="1374"/>
      <c r="U26" s="1374"/>
      <c r="V26" s="1374"/>
      <c r="W26" s="1373"/>
      <c r="X26" s="1373"/>
      <c r="Y26" s="1373"/>
      <c r="Z26" s="1380"/>
      <c r="AA26" s="1381"/>
      <c r="AB26" s="1381"/>
      <c r="AC26" s="1381"/>
      <c r="AD26" s="1381"/>
    </row>
    <row r="27" spans="1:37" ht="15.75" thickBot="1">
      <c r="A27" s="2835"/>
      <c r="B27" s="2839" t="s">
        <v>2919</v>
      </c>
      <c r="C27" s="934" t="e">
        <f>E30+SUM(I33:I39)</f>
        <v>#DIV/0!</v>
      </c>
      <c r="D27" s="2840"/>
      <c r="E27" s="2841"/>
      <c r="F27" s="2842"/>
      <c r="G27" s="2841"/>
      <c r="H27" s="2841"/>
      <c r="I27" s="2841"/>
      <c r="J27" s="2843"/>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4"/>
      <c r="B28" s="2845" t="s">
        <v>2920</v>
      </c>
      <c r="C28" s="2846" t="s">
        <v>2921</v>
      </c>
      <c r="D28" s="2846" t="s">
        <v>2922</v>
      </c>
      <c r="E28" s="2847" t="s">
        <v>2923</v>
      </c>
      <c r="F28" s="2848"/>
      <c r="G28" s="2767"/>
      <c r="H28" s="2767"/>
      <c r="I28" s="2767"/>
      <c r="J28" s="2768"/>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9"/>
      <c r="B29" s="2850" t="s">
        <v>2924</v>
      </c>
      <c r="C29" s="206" t="e">
        <f>ROUND(C5*C18*C19*C20*C21*C24,0)</f>
        <v>#DIV/0!</v>
      </c>
      <c r="D29" s="2851"/>
      <c r="E29" s="945" t="e">
        <f>ROUND(C29*D29/10000,0)</f>
        <v>#DIV/0!</v>
      </c>
      <c r="F29" s="2852" t="s">
        <v>2925</v>
      </c>
      <c r="G29" s="2853"/>
      <c r="H29" s="2853"/>
      <c r="I29" s="2853"/>
      <c r="J29" s="2854"/>
      <c r="K29" s="1373"/>
      <c r="L29" s="1373"/>
      <c r="M29" s="1373"/>
      <c r="N29" s="1373"/>
      <c r="O29" s="1378"/>
      <c r="P29" s="1378"/>
      <c r="Q29" s="1379"/>
      <c r="R29" s="1379"/>
      <c r="S29" s="1379"/>
      <c r="T29" s="1374"/>
      <c r="U29" s="1374"/>
      <c r="V29" s="1374"/>
      <c r="W29" s="1373"/>
      <c r="X29" s="1373"/>
      <c r="Y29" s="1373"/>
      <c r="Z29" s="1380"/>
      <c r="AA29" s="1381"/>
      <c r="AB29" s="1381"/>
      <c r="AC29" s="1381"/>
      <c r="AD29" s="1381"/>
      <c r="AE29" s="2794"/>
      <c r="AF29" s="2794"/>
      <c r="AG29" s="2726"/>
      <c r="AH29" s="2726"/>
      <c r="AI29" s="2726"/>
      <c r="AJ29" s="2726"/>
    </row>
    <row r="30" spans="1:37" ht="25.5" thickBot="1">
      <c r="A30" s="2855"/>
      <c r="B30" s="2856" t="s">
        <v>2926</v>
      </c>
      <c r="C30" s="229" t="e">
        <f>ROUND(IF(E2="工业",C29*M39,C29*M38),0)</f>
        <v>#DIV/0!</v>
      </c>
      <c r="D30" s="2857"/>
      <c r="E30" s="945" t="e">
        <f>ROUND(C30*D30/10000,0)</f>
        <v>#DIV/0!</v>
      </c>
      <c r="F30" s="2858" t="s">
        <v>2927</v>
      </c>
      <c r="G30" s="2859"/>
      <c r="H30" s="2859"/>
      <c r="I30" s="2859"/>
      <c r="J30" s="2860"/>
      <c r="K30" s="1373"/>
      <c r="L30" s="1373"/>
      <c r="M30" s="1373"/>
      <c r="N30" s="1373"/>
      <c r="O30" s="1378"/>
      <c r="P30" s="1378"/>
      <c r="Q30" s="1379"/>
      <c r="R30" s="1379"/>
      <c r="S30" s="1379"/>
      <c r="T30" s="1374"/>
      <c r="U30" s="1374"/>
      <c r="V30" s="1374"/>
      <c r="W30" s="1373"/>
      <c r="X30" s="1373"/>
      <c r="Y30" s="1373"/>
      <c r="Z30" s="1380"/>
      <c r="AA30" s="1381"/>
      <c r="AB30" s="1381"/>
      <c r="AC30" s="1381"/>
      <c r="AD30" s="1381"/>
      <c r="AE30" s="2794"/>
      <c r="AF30" s="2794"/>
      <c r="AG30" s="2726"/>
      <c r="AH30" s="2726"/>
      <c r="AI30" s="2726"/>
      <c r="AJ30" s="2726"/>
    </row>
    <row r="31" spans="1:37" ht="14.25">
      <c r="A31" s="2861"/>
      <c r="B31" s="2862" t="s">
        <v>2928</v>
      </c>
      <c r="C31" s="2863" t="s">
        <v>2929</v>
      </c>
      <c r="D31" s="2767"/>
      <c r="E31" s="2863"/>
      <c r="F31" s="2863"/>
      <c r="G31" s="2765" t="s">
        <v>2930</v>
      </c>
      <c r="H31" s="2767"/>
      <c r="I31" s="2864"/>
      <c r="J31" s="2768"/>
      <c r="K31" s="1373"/>
      <c r="L31" s="1373"/>
      <c r="M31" s="1373"/>
      <c r="N31" s="1373"/>
      <c r="O31" s="1378"/>
      <c r="P31" s="1378"/>
      <c r="Q31" s="1379"/>
      <c r="R31" s="1379"/>
      <c r="S31" s="1379"/>
      <c r="T31" s="1374"/>
      <c r="U31" s="1374"/>
      <c r="V31" s="1374"/>
      <c r="W31" s="1373"/>
      <c r="X31" s="1373"/>
      <c r="Y31" s="1373"/>
      <c r="Z31" s="1380"/>
      <c r="AA31" s="1381"/>
      <c r="AB31" s="1381"/>
      <c r="AC31" s="1381"/>
      <c r="AD31" s="1381"/>
      <c r="AE31" s="2794"/>
      <c r="AF31" s="2794"/>
      <c r="AG31" s="2726"/>
      <c r="AH31" s="2726"/>
      <c r="AI31" s="2726"/>
      <c r="AJ31" s="2726"/>
    </row>
    <row r="32" spans="1:37" ht="24">
      <c r="A32" s="2849"/>
      <c r="B32" s="2865"/>
      <c r="C32" s="501" t="s">
        <v>2921</v>
      </c>
      <c r="D32" s="498" t="s">
        <v>2922</v>
      </c>
      <c r="E32" s="498" t="s">
        <v>2923</v>
      </c>
      <c r="F32" s="388" t="s">
        <v>2931</v>
      </c>
      <c r="G32" s="2866" t="s">
        <v>2921</v>
      </c>
      <c r="H32" s="2866" t="s">
        <v>2922</v>
      </c>
      <c r="I32" s="2866" t="s">
        <v>2923</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4"/>
      <c r="AF32" s="2794"/>
      <c r="AG32" s="2726"/>
      <c r="AH32" s="2726"/>
      <c r="AI32" s="2726"/>
      <c r="AJ32" s="2726"/>
    </row>
    <row r="33" spans="1:37" ht="36" customHeight="1">
      <c r="A33" s="3328" t="s">
        <v>2932</v>
      </c>
      <c r="B33" s="2867" t="s">
        <v>2933</v>
      </c>
      <c r="C33" s="206" t="e">
        <f>ROUND(D5*C19*C20*C24*F33,0)</f>
        <v>#DIV/0!</v>
      </c>
      <c r="D33" s="2851"/>
      <c r="E33" s="200" t="e">
        <f>ROUND(C33*D33/10000,0)</f>
        <v>#DIV/0!</v>
      </c>
      <c r="F33" s="200">
        <f>SUMIF(修正!A45:A56,G2,修正!B45:B56)</f>
        <v>0</v>
      </c>
      <c r="G33" s="200" t="e">
        <f t="shared" ref="G33" si="6">ROUND(IF(E2="工业",C33*$M$39,C33*$M$38),0)</f>
        <v>#DIV/0!</v>
      </c>
      <c r="H33" s="200">
        <f>D33</f>
        <v>0</v>
      </c>
      <c r="I33" s="200" t="e">
        <f>ROUND(G33*H33/10000,0)</f>
        <v>#DIV/0!</v>
      </c>
      <c r="J33" s="2868"/>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329"/>
      <c r="B34" s="2771" t="s">
        <v>2934</v>
      </c>
      <c r="C34" s="206" t="e">
        <f>ROUND(D5*C19*C20*C24*F34,0)</f>
        <v>#DIV/0!</v>
      </c>
      <c r="D34" s="2851"/>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8"/>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329"/>
      <c r="B35" s="2771" t="s">
        <v>2935</v>
      </c>
      <c r="C35" s="206" t="e">
        <f>ROUND(D5*C19*C20*C24*F35,0)</f>
        <v>#DIV/0!</v>
      </c>
      <c r="D35" s="2851"/>
      <c r="E35" s="200" t="e">
        <f t="shared" si="7"/>
        <v>#DIV/0!</v>
      </c>
      <c r="F35" s="200">
        <f>SUMIF(修正!A45:A56,G2,修正!D45:D56)</f>
        <v>0</v>
      </c>
      <c r="G35" s="200" t="e">
        <f>ROUND(IF(E2="工业",C35*$M$39,C35*$M$38),0)</f>
        <v>#DIV/0!</v>
      </c>
      <c r="H35" s="200">
        <f t="shared" si="8"/>
        <v>0</v>
      </c>
      <c r="I35" s="200" t="e">
        <f t="shared" si="9"/>
        <v>#DIV/0!</v>
      </c>
      <c r="J35" s="2868"/>
      <c r="K35" s="1373"/>
      <c r="L35" s="1373"/>
      <c r="M35" s="1373"/>
      <c r="N35" s="1373"/>
      <c r="O35" s="1373"/>
      <c r="P35" s="1373"/>
      <c r="Q35" s="1373"/>
      <c r="R35" s="1373"/>
      <c r="S35" s="1373"/>
      <c r="T35" s="1373"/>
      <c r="U35" s="1373"/>
      <c r="V35" s="1373"/>
      <c r="W35" s="1373"/>
      <c r="X35" s="1373"/>
      <c r="Y35" s="1373"/>
      <c r="Z35" s="1374"/>
    </row>
    <row r="36" spans="1:37" ht="13.5" thickBot="1">
      <c r="A36" s="3330"/>
      <c r="B36" s="2771" t="s">
        <v>2936</v>
      </c>
      <c r="C36" s="206" t="e">
        <f>ROUND(D5*C19*C20*C24*F36,0)</f>
        <v>#DIV/0!</v>
      </c>
      <c r="D36" s="2851"/>
      <c r="E36" s="200" t="e">
        <f t="shared" si="7"/>
        <v>#DIV/0!</v>
      </c>
      <c r="F36" s="200">
        <f>SUMIF(修正!A45:A56,G2,修正!E45:E56)</f>
        <v>0</v>
      </c>
      <c r="G36" s="200" t="e">
        <f>ROUND(IF(E2="工业",C36*$M$39,C36*$M$38),0)</f>
        <v>#DIV/0!</v>
      </c>
      <c r="H36" s="200">
        <f t="shared" si="8"/>
        <v>0</v>
      </c>
      <c r="I36" s="200" t="e">
        <f t="shared" si="9"/>
        <v>#DIV/0!</v>
      </c>
      <c r="J36" s="2868"/>
      <c r="K36" s="1373"/>
      <c r="L36" s="2725"/>
      <c r="M36" s="2725"/>
      <c r="N36" s="1373"/>
      <c r="O36" s="1373"/>
      <c r="P36" s="1373"/>
      <c r="Q36" s="1373"/>
      <c r="R36" s="1373"/>
      <c r="S36" s="1373"/>
      <c r="T36" s="1373"/>
      <c r="U36" s="1373"/>
      <c r="V36" s="1373"/>
      <c r="W36" s="1373"/>
      <c r="X36" s="1373"/>
      <c r="Y36" s="1373"/>
      <c r="Z36" s="1374"/>
    </row>
    <row r="37" spans="1:37">
      <c r="A37" s="2869"/>
      <c r="B37" s="2771" t="s">
        <v>2937</v>
      </c>
      <c r="C37" s="200" t="e">
        <f>ROUND(D5*C19*C20*C24*F37,0)</f>
        <v>#DIV/0!</v>
      </c>
      <c r="D37" s="2851"/>
      <c r="E37" s="200" t="e">
        <f t="shared" si="7"/>
        <v>#DIV/0!</v>
      </c>
      <c r="F37" s="206">
        <f>SUMIF(修正!A45:A56,G2,修正!F45:F56)</f>
        <v>0</v>
      </c>
      <c r="G37" s="200" t="e">
        <f>ROUND(IF(E2="工业",C37*$M$39,C37*$M$38),0)</f>
        <v>#DIV/0!</v>
      </c>
      <c r="H37" s="200">
        <f t="shared" si="8"/>
        <v>0</v>
      </c>
      <c r="I37" s="200" t="e">
        <f t="shared" si="9"/>
        <v>#DIV/0!</v>
      </c>
      <c r="J37" s="2868"/>
      <c r="K37" s="1373"/>
      <c r="L37" s="2870" t="s">
        <v>2938</v>
      </c>
      <c r="M37" s="2871"/>
      <c r="N37" s="1373"/>
      <c r="O37" s="1373"/>
      <c r="P37" s="1373"/>
      <c r="Q37" s="1373"/>
      <c r="R37" s="1373"/>
      <c r="S37" s="1373"/>
      <c r="T37" s="1373"/>
      <c r="U37" s="1373"/>
      <c r="V37" s="1373"/>
      <c r="W37" s="1373"/>
      <c r="X37" s="1373"/>
      <c r="Y37" s="1373"/>
      <c r="Z37" s="1374"/>
    </row>
    <row r="38" spans="1:37">
      <c r="A38" s="2869"/>
      <c r="B38" s="2771" t="s">
        <v>2939</v>
      </c>
      <c r="C38" s="200" t="e">
        <f>ROUND(D5*C19*C41*C24*F38,0)</f>
        <v>#DIV/0!</v>
      </c>
      <c r="D38" s="2851"/>
      <c r="E38" s="200" t="e">
        <f t="shared" si="7"/>
        <v>#DIV/0!</v>
      </c>
      <c r="F38" s="206">
        <f>SUMIF(修正!A45:A56,G2,修正!G45:G56)</f>
        <v>0</v>
      </c>
      <c r="G38" s="200" t="e">
        <f>ROUND(IF(E2="工业",C38*$M$39,C38*$M$38),0)</f>
        <v>#DIV/0!</v>
      </c>
      <c r="H38" s="200">
        <f t="shared" si="8"/>
        <v>0</v>
      </c>
      <c r="I38" s="200" t="e">
        <f t="shared" si="9"/>
        <v>#DIV/0!</v>
      </c>
      <c r="J38" s="2868"/>
      <c r="K38" s="1373"/>
      <c r="L38" s="1889" t="s">
        <v>2940</v>
      </c>
      <c r="M38" s="2872">
        <v>0.25</v>
      </c>
      <c r="N38" s="1373"/>
      <c r="O38" s="1373"/>
      <c r="P38" s="1373"/>
      <c r="Q38" s="1373"/>
      <c r="R38" s="1373"/>
      <c r="S38" s="1373"/>
      <c r="T38" s="1373"/>
      <c r="U38" s="1373"/>
      <c r="V38" s="1373"/>
      <c r="W38" s="1373"/>
      <c r="X38" s="1373"/>
      <c r="Y38" s="1373"/>
      <c r="Z38" s="1374"/>
    </row>
    <row r="39" spans="1:37" ht="13.5" thickBot="1">
      <c r="A39" s="2855"/>
      <c r="B39" s="2873" t="s">
        <v>2941</v>
      </c>
      <c r="C39" s="229" t="e">
        <f>ROUND(D5*C19*C41*C24*F39,0)</f>
        <v>#DIV/0!</v>
      </c>
      <c r="D39" s="2857"/>
      <c r="E39" s="229" t="e">
        <f t="shared" si="7"/>
        <v>#DIV/0!</v>
      </c>
      <c r="F39" s="935">
        <f>SUMIF(修正!A45:A56,G2,修正!H45:H56)</f>
        <v>0</v>
      </c>
      <c r="G39" s="229" t="e">
        <f>ROUND(IF(E2="工业",C39*$M$39,C39*$M$38),0)</f>
        <v>#DIV/0!</v>
      </c>
      <c r="H39" s="229">
        <f t="shared" si="8"/>
        <v>0</v>
      </c>
      <c r="I39" s="229" t="e">
        <f t="shared" si="9"/>
        <v>#DIV/0!</v>
      </c>
      <c r="J39" s="2874"/>
      <c r="K39" s="1373"/>
      <c r="L39" s="2875" t="s">
        <v>2882</v>
      </c>
      <c r="M39" s="2876">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4" t="s">
        <v>3052</v>
      </c>
      <c r="C41" s="388" t="e">
        <f>ROUND(POWER(1+E41,H41-G41)*(POWER(1+E41,G41)-1)/(POWER(1+E41,H41)-1),4)</f>
        <v>#DIV/0!</v>
      </c>
      <c r="D41" s="200" t="s">
        <v>2890</v>
      </c>
      <c r="E41" s="2943">
        <f>G20</f>
        <v>0</v>
      </c>
      <c r="F41" s="200" t="s">
        <v>2900</v>
      </c>
      <c r="G41" s="218"/>
      <c r="H41" s="200">
        <v>50</v>
      </c>
      <c r="Z41" s="1374"/>
      <c r="AA41" s="1374"/>
      <c r="AB41" s="1374"/>
      <c r="AC41" s="1374"/>
      <c r="AD41" s="1374"/>
      <c r="AE41" s="1374"/>
      <c r="AF41" s="1374"/>
      <c r="AG41" s="1374"/>
      <c r="AH41" s="1374"/>
      <c r="AI41" s="1374"/>
      <c r="AJ41" s="1374"/>
    </row>
    <row r="42" spans="1:37" s="1373" customFormat="1">
      <c r="A42" s="1374"/>
      <c r="B42" s="2877"/>
      <c r="Z42" s="1374"/>
      <c r="AA42" s="1374"/>
      <c r="AB42" s="1374"/>
      <c r="AC42" s="1374"/>
      <c r="AD42" s="1374"/>
      <c r="AE42" s="1374"/>
      <c r="AF42" s="1374"/>
      <c r="AG42" s="1374"/>
      <c r="AH42" s="1374"/>
      <c r="AI42" s="1374"/>
      <c r="AJ42" s="1374"/>
    </row>
    <row r="43" spans="1:37" s="1373" customFormat="1">
      <c r="A43" s="1374"/>
      <c r="B43" s="2877"/>
      <c r="Z43" s="1374"/>
      <c r="AA43" s="1374"/>
      <c r="AB43" s="1374"/>
      <c r="AC43" s="1374"/>
      <c r="AD43" s="1374"/>
      <c r="AE43" s="1374"/>
      <c r="AF43" s="1374"/>
      <c r="AG43" s="1374"/>
      <c r="AH43" s="1374"/>
      <c r="AI43" s="1374"/>
      <c r="AJ43" s="1374"/>
    </row>
    <row r="44" spans="1:37" s="1373" customFormat="1">
      <c r="A44" s="1374"/>
      <c r="B44" s="2877"/>
      <c r="Z44" s="1374"/>
      <c r="AA44" s="1374"/>
      <c r="AB44" s="1374"/>
      <c r="AC44" s="1374"/>
      <c r="AD44" s="1374"/>
      <c r="AE44" s="1374"/>
      <c r="AF44" s="1374"/>
      <c r="AG44" s="1374"/>
      <c r="AH44" s="1374"/>
      <c r="AI44" s="1374"/>
      <c r="AJ44" s="1374"/>
    </row>
    <row r="45" spans="1:37" s="1373" customFormat="1" ht="15.75" thickBot="1">
      <c r="A45" s="2878" t="s">
        <v>2942</v>
      </c>
      <c r="B45" s="2879"/>
      <c r="C45" s="7"/>
      <c r="D45" s="7"/>
      <c r="E45" s="7"/>
      <c r="F45" s="6"/>
      <c r="G45" s="6"/>
      <c r="H45" s="6"/>
      <c r="I45" s="7"/>
      <c r="J45" s="7"/>
      <c r="K45" s="7"/>
      <c r="L45" s="7"/>
      <c r="M45" s="7"/>
      <c r="N45" s="2794"/>
      <c r="Z45" s="1374"/>
      <c r="AA45" s="1374"/>
      <c r="AB45" s="1374"/>
      <c r="AC45" s="1374"/>
      <c r="AD45" s="1374"/>
      <c r="AE45" s="1374"/>
      <c r="AF45" s="1374"/>
      <c r="AG45" s="1374"/>
      <c r="AH45" s="1374"/>
      <c r="AI45" s="1374"/>
      <c r="AJ45" s="1374"/>
    </row>
    <row r="46" spans="1:37" s="1373" customFormat="1" ht="15">
      <c r="A46" s="2880" t="s">
        <v>2943</v>
      </c>
      <c r="B46" s="2881">
        <f>1+E48</f>
        <v>1</v>
      </c>
      <c r="C46" s="2882"/>
      <c r="D46" s="814"/>
      <c r="E46" s="815"/>
      <c r="F46" s="2883"/>
      <c r="G46" s="6"/>
      <c r="H46" s="7"/>
      <c r="I46" s="7"/>
      <c r="J46" s="7"/>
      <c r="K46" s="7"/>
      <c r="L46" s="7"/>
      <c r="M46" s="7"/>
      <c r="N46" s="2794"/>
      <c r="Z46" s="1374"/>
      <c r="AA46" s="1374"/>
      <c r="AB46" s="1374"/>
      <c r="AC46" s="1374"/>
      <c r="AD46" s="1374"/>
      <c r="AE46" s="1374"/>
      <c r="AF46" s="1374"/>
      <c r="AG46" s="1374"/>
      <c r="AH46" s="1374"/>
      <c r="AI46" s="1374"/>
      <c r="AJ46" s="1374"/>
    </row>
    <row r="47" spans="1:37" s="1373" customFormat="1" ht="24.75">
      <c r="A47" s="2884" t="s">
        <v>2944</v>
      </c>
      <c r="B47" s="1811" t="s">
        <v>2945</v>
      </c>
      <c r="C47" s="1811" t="s">
        <v>2946</v>
      </c>
      <c r="D47" s="1811" t="s">
        <v>2947</v>
      </c>
      <c r="E47" s="819" t="s">
        <v>2948</v>
      </c>
      <c r="F47" s="2885" t="s">
        <v>2949</v>
      </c>
      <c r="G47" s="1811" t="s">
        <v>754</v>
      </c>
      <c r="H47" s="2886" t="s">
        <v>2950</v>
      </c>
      <c r="I47" s="1811" t="s">
        <v>2951</v>
      </c>
      <c r="J47" s="603" t="s">
        <v>2597</v>
      </c>
      <c r="K47" s="603" t="s">
        <v>2598</v>
      </c>
      <c r="L47" s="603" t="s">
        <v>2599</v>
      </c>
      <c r="M47" s="603" t="s">
        <v>2600</v>
      </c>
      <c r="N47" s="603" t="s">
        <v>2601</v>
      </c>
      <c r="AA47" s="1374"/>
      <c r="AB47" s="1374"/>
      <c r="AC47" s="1374"/>
      <c r="AD47" s="1374"/>
      <c r="AE47" s="1374"/>
      <c r="AF47" s="1374"/>
      <c r="AG47" s="1374"/>
      <c r="AH47" s="1374"/>
      <c r="AI47" s="1374"/>
      <c r="AJ47" s="1374"/>
      <c r="AK47" s="1374"/>
    </row>
    <row r="48" spans="1:37" s="1373" customFormat="1" ht="38.25">
      <c r="A48" s="2884" t="s">
        <v>2952</v>
      </c>
      <c r="B48" s="2887" t="str">
        <f>估价对象房地状况!C4</f>
        <v>估价对象位于XX商圈，周边商业氛围成熟，人流量大，商业繁华度好</v>
      </c>
      <c r="C48" s="2776"/>
      <c r="D48" s="1289">
        <f t="shared" ref="D48:D56" si="10">SUMIF($J$47:$N$47,C48,J48:N48)</f>
        <v>0</v>
      </c>
      <c r="E48" s="821">
        <f>ROUND(SUM(D48:D56),4)</f>
        <v>0</v>
      </c>
      <c r="F48" s="2507"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4" t="s">
        <v>2953</v>
      </c>
      <c r="B49" s="2888" t="str">
        <f>估价对象房地状况!C18</f>
        <v>估价对象周边道路状况、公共交通通达情况、停车便捷程度，综合评价交通便捷度较好</v>
      </c>
      <c r="C49" s="2776"/>
      <c r="D49" s="1289">
        <f t="shared" si="10"/>
        <v>0</v>
      </c>
      <c r="E49" s="822"/>
      <c r="F49" s="2507"/>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4" t="s">
        <v>2954</v>
      </c>
      <c r="B50" s="2888">
        <f>估价对象房地状况!C19</f>
        <v>0</v>
      </c>
      <c r="C50" s="2776"/>
      <c r="D50" s="1289">
        <f t="shared" si="10"/>
        <v>0</v>
      </c>
      <c r="E50" s="822"/>
      <c r="F50" s="2507"/>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4" t="s">
        <v>2955</v>
      </c>
      <c r="B51" s="2889" t="s">
        <v>2956</v>
      </c>
      <c r="C51" s="2776"/>
      <c r="D51" s="1289">
        <f t="shared" si="10"/>
        <v>0</v>
      </c>
      <c r="E51" s="822"/>
      <c r="F51" s="2507"/>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4" t="s">
        <v>2957</v>
      </c>
      <c r="B52" s="2888">
        <f>估价对象房地状况!C24</f>
        <v>0</v>
      </c>
      <c r="C52" s="2776"/>
      <c r="D52" s="1289">
        <f t="shared" si="10"/>
        <v>0</v>
      </c>
      <c r="E52" s="822"/>
      <c r="F52" s="2507"/>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4" t="s">
        <v>2958</v>
      </c>
      <c r="B53" s="2890" t="s">
        <v>2959</v>
      </c>
      <c r="C53" s="2776"/>
      <c r="D53" s="1289">
        <f t="shared" si="10"/>
        <v>0</v>
      </c>
      <c r="E53" s="822"/>
      <c r="F53" s="2507"/>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91" t="s">
        <v>2960</v>
      </c>
      <c r="B54" s="1727" t="str">
        <f>估价对象房地状况!C21</f>
        <v>估价对象所在区域公共配套设施齐备情况</v>
      </c>
      <c r="C54" s="2776"/>
      <c r="D54" s="1289">
        <f t="shared" si="10"/>
        <v>0</v>
      </c>
      <c r="E54" s="822"/>
      <c r="F54" s="2507"/>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91" t="s">
        <v>2961</v>
      </c>
      <c r="B55" s="2888" t="str">
        <f>估价对象房地状况!C22</f>
        <v>估价对象所在区域基础设施水平</v>
      </c>
      <c r="C55" s="2776"/>
      <c r="D55" s="1289">
        <f t="shared" si="10"/>
        <v>0</v>
      </c>
      <c r="E55" s="822"/>
      <c r="F55" s="2507"/>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2" t="s">
        <v>2962</v>
      </c>
      <c r="B56" s="2893" t="str">
        <f>估价对象房地状况!C20</f>
        <v>区域自然环境：；人文环境；综合评价环境状况一般</v>
      </c>
      <c r="C56" s="2776"/>
      <c r="D56" s="1289">
        <f t="shared" si="10"/>
        <v>0</v>
      </c>
      <c r="E56" s="825"/>
      <c r="F56" s="2507"/>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80" t="s">
        <v>2963</v>
      </c>
      <c r="B57" s="2881">
        <f>1+E59</f>
        <v>1</v>
      </c>
      <c r="C57" s="814"/>
      <c r="D57" s="814"/>
      <c r="E57" s="815"/>
      <c r="F57" s="2883"/>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4" t="s">
        <v>2944</v>
      </c>
      <c r="B58" s="1811"/>
      <c r="C58" s="1811" t="s">
        <v>2946</v>
      </c>
      <c r="D58" s="1811" t="s">
        <v>2947</v>
      </c>
      <c r="E58" s="819" t="s">
        <v>2948</v>
      </c>
      <c r="F58" s="2885" t="s">
        <v>2964</v>
      </c>
      <c r="G58" s="1811" t="s">
        <v>754</v>
      </c>
      <c r="H58" s="2886" t="s">
        <v>2950</v>
      </c>
      <c r="I58" s="1811" t="s">
        <v>2951</v>
      </c>
      <c r="J58" s="603" t="s">
        <v>2597</v>
      </c>
      <c r="K58" s="603" t="s">
        <v>2598</v>
      </c>
      <c r="L58" s="603" t="s">
        <v>2599</v>
      </c>
      <c r="M58" s="603" t="s">
        <v>2600</v>
      </c>
      <c r="N58" s="603" t="s">
        <v>2601</v>
      </c>
      <c r="AA58" s="1374"/>
      <c r="AB58" s="1374"/>
      <c r="AC58" s="1374"/>
      <c r="AD58" s="1374"/>
      <c r="AE58" s="1374"/>
      <c r="AF58" s="1374"/>
      <c r="AG58" s="1374"/>
      <c r="AH58" s="1374"/>
      <c r="AI58" s="1374"/>
      <c r="AJ58" s="1374"/>
      <c r="AK58" s="1374"/>
    </row>
    <row r="59" spans="1:37" s="1373" customFormat="1" ht="38.25">
      <c r="A59" s="2884" t="s">
        <v>2965</v>
      </c>
      <c r="B59" s="2887" t="str">
        <f>估价对象房地状况!C17</f>
        <v>估价对象位于XX商圈，周边办公楼项目较多，入驻率高，办公集聚程度较好</v>
      </c>
      <c r="C59" s="2776"/>
      <c r="D59" s="1289">
        <f t="shared" ref="D59:D67" si="15">SUMIF($J$58:$N$58,C59,J59:N59)</f>
        <v>0</v>
      </c>
      <c r="E59" s="821">
        <f>ROUND(SUM(D59:D67),4)</f>
        <v>0</v>
      </c>
      <c r="F59" s="2507"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4" t="s">
        <v>2953</v>
      </c>
      <c r="B60" s="2888" t="str">
        <f>估价对象房地状况!C18</f>
        <v>估价对象周边道路状况、公共交通通达情况、停车便捷程度，综合评价交通便捷度较好</v>
      </c>
      <c r="C60" s="2776"/>
      <c r="D60" s="1289">
        <f t="shared" si="15"/>
        <v>0</v>
      </c>
      <c r="E60" s="822"/>
      <c r="F60" s="2507"/>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4" t="s">
        <v>2954</v>
      </c>
      <c r="B61" s="2888">
        <f>估价对象房地状况!C19</f>
        <v>0</v>
      </c>
      <c r="C61" s="2776"/>
      <c r="D61" s="1289">
        <f t="shared" si="15"/>
        <v>0</v>
      </c>
      <c r="E61" s="822"/>
      <c r="F61" s="2507"/>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4" t="s">
        <v>2955</v>
      </c>
      <c r="B62" s="2889" t="s">
        <v>2956</v>
      </c>
      <c r="C62" s="2776"/>
      <c r="D62" s="1289">
        <f t="shared" si="15"/>
        <v>0</v>
      </c>
      <c r="E62" s="822"/>
      <c r="F62" s="2507"/>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4" t="s">
        <v>2957</v>
      </c>
      <c r="B63" s="2888">
        <f>估价对象房地状况!C24</f>
        <v>0</v>
      </c>
      <c r="C63" s="2776"/>
      <c r="D63" s="1289">
        <f t="shared" si="15"/>
        <v>0</v>
      </c>
      <c r="E63" s="822"/>
      <c r="F63" s="2507"/>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4" t="s">
        <v>2958</v>
      </c>
      <c r="B64" s="2890" t="s">
        <v>2959</v>
      </c>
      <c r="C64" s="2776"/>
      <c r="D64" s="1289">
        <f t="shared" si="15"/>
        <v>0</v>
      </c>
      <c r="E64" s="822"/>
      <c r="F64" s="2507"/>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4" t="s">
        <v>2960</v>
      </c>
      <c r="B65" s="1727" t="str">
        <f>估价对象房地状况!C21</f>
        <v>估价对象所在区域公共配套设施齐备情况</v>
      </c>
      <c r="C65" s="2776"/>
      <c r="D65" s="1289">
        <f t="shared" si="15"/>
        <v>0</v>
      </c>
      <c r="E65" s="822"/>
      <c r="F65" s="2507"/>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4" t="s">
        <v>2961</v>
      </c>
      <c r="B66" s="1727" t="str">
        <f>估价对象房地状况!C22</f>
        <v>估价对象所在区域基础设施水平</v>
      </c>
      <c r="C66" s="2776"/>
      <c r="D66" s="1289">
        <f t="shared" si="15"/>
        <v>0</v>
      </c>
      <c r="E66" s="822"/>
      <c r="F66" s="2507"/>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2" t="s">
        <v>2962</v>
      </c>
      <c r="B67" s="2894" t="str">
        <f>估价对象房地状况!C20</f>
        <v>区域自然环境：；人文环境；综合评价环境状况一般</v>
      </c>
      <c r="C67" s="2776"/>
      <c r="D67" s="1289">
        <f t="shared" si="15"/>
        <v>0</v>
      </c>
      <c r="E67" s="825"/>
      <c r="F67" s="2507"/>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80" t="s">
        <v>2966</v>
      </c>
      <c r="B68" s="2881">
        <f>1+E70</f>
        <v>1</v>
      </c>
      <c r="C68" s="814"/>
      <c r="D68" s="814"/>
      <c r="E68" s="815"/>
      <c r="F68" s="2883"/>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4" t="s">
        <v>2944</v>
      </c>
      <c r="B69" s="1811"/>
      <c r="C69" s="1811" t="s">
        <v>2946</v>
      </c>
      <c r="D69" s="1811" t="s">
        <v>2947</v>
      </c>
      <c r="E69" s="819" t="s">
        <v>2948</v>
      </c>
      <c r="F69" s="2885" t="s">
        <v>2964</v>
      </c>
      <c r="G69" s="1811" t="s">
        <v>754</v>
      </c>
      <c r="H69" s="2886" t="s">
        <v>2950</v>
      </c>
      <c r="I69" s="1811" t="s">
        <v>2951</v>
      </c>
      <c r="J69" s="603" t="s">
        <v>2597</v>
      </c>
      <c r="K69" s="603" t="s">
        <v>2598</v>
      </c>
      <c r="L69" s="603" t="s">
        <v>2599</v>
      </c>
      <c r="M69" s="603" t="s">
        <v>2600</v>
      </c>
      <c r="N69" s="603" t="s">
        <v>2601</v>
      </c>
      <c r="AA69" s="1374"/>
      <c r="AB69" s="1374"/>
      <c r="AC69" s="1374"/>
      <c r="AD69" s="1374"/>
      <c r="AE69" s="1374"/>
      <c r="AF69" s="1374"/>
      <c r="AG69" s="1374"/>
      <c r="AH69" s="1374"/>
      <c r="AI69" s="1374"/>
      <c r="AJ69" s="1374"/>
      <c r="AK69" s="1374"/>
    </row>
    <row r="70" spans="1:37" s="1373" customFormat="1" ht="51">
      <c r="A70" s="2884" t="s">
        <v>2967</v>
      </c>
      <c r="B70" s="2887" t="str">
        <f>估价对象房地状况!C15</f>
        <v>估价对象周边居住用地比例、居住小区规模和社区发展完善程度，综合评价居住社区成熟度一般</v>
      </c>
      <c r="C70" s="2776"/>
      <c r="D70" s="1289">
        <f t="shared" ref="D70:D78" si="20">SUMIF($J$69:$N$69,C70,J70:N70)</f>
        <v>0</v>
      </c>
      <c r="E70" s="821">
        <f>ROUND(SUM(D70:D78),4)</f>
        <v>0</v>
      </c>
      <c r="F70" s="2507"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4" t="s">
        <v>2953</v>
      </c>
      <c r="B71" s="2888" t="str">
        <f>估价对象房地状况!C18</f>
        <v>估价对象周边道路状况、公共交通通达情况、停车便捷程度，综合评价交通便捷度较好</v>
      </c>
      <c r="C71" s="2776"/>
      <c r="D71" s="1289">
        <f t="shared" si="20"/>
        <v>0</v>
      </c>
      <c r="E71" s="826"/>
      <c r="F71" s="2507"/>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4" t="s">
        <v>2954</v>
      </c>
      <c r="B72" s="2888">
        <f>估价对象房地状况!C19</f>
        <v>0</v>
      </c>
      <c r="C72" s="2776"/>
      <c r="D72" s="1289">
        <f t="shared" si="20"/>
        <v>0</v>
      </c>
      <c r="E72" s="826"/>
      <c r="F72" s="2507"/>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4" t="s">
        <v>2968</v>
      </c>
      <c r="B73" s="2888">
        <f>估价对象房地状况!C24</f>
        <v>0</v>
      </c>
      <c r="C73" s="2776"/>
      <c r="D73" s="1289">
        <f t="shared" si="20"/>
        <v>0</v>
      </c>
      <c r="E73" s="826"/>
      <c r="F73" s="2507"/>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4" t="s">
        <v>2960</v>
      </c>
      <c r="B74" s="1727" t="str">
        <f>估价对象房地状况!C21</f>
        <v>估价对象所在区域公共配套设施齐备情况</v>
      </c>
      <c r="C74" s="2776"/>
      <c r="D74" s="1289">
        <f t="shared" si="20"/>
        <v>0</v>
      </c>
      <c r="E74" s="826"/>
      <c r="F74" s="2507"/>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4" t="s">
        <v>2961</v>
      </c>
      <c r="B75" s="1727" t="str">
        <f>估价对象房地状况!C22</f>
        <v>估价对象所在区域基础设施水平</v>
      </c>
      <c r="C75" s="2776"/>
      <c r="D75" s="1289">
        <f t="shared" si="20"/>
        <v>0</v>
      </c>
      <c r="E75" s="826"/>
      <c r="F75" s="2507"/>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5" customFormat="1" ht="24">
      <c r="A76" s="2884" t="s">
        <v>2958</v>
      </c>
      <c r="B76" s="2890" t="s">
        <v>2959</v>
      </c>
      <c r="C76" s="2776"/>
      <c r="D76" s="1289">
        <f t="shared" si="20"/>
        <v>0</v>
      </c>
      <c r="E76" s="826"/>
      <c r="F76" s="2507"/>
      <c r="G76" s="1287"/>
      <c r="H76" s="1291" t="str">
        <f t="shared" si="21"/>
        <v>——</v>
      </c>
      <c r="I76" s="820">
        <v>0.05</v>
      </c>
      <c r="J76" s="1288">
        <f t="shared" si="22"/>
        <v>0</v>
      </c>
      <c r="K76" s="1288">
        <f t="shared" si="23"/>
        <v>0</v>
      </c>
      <c r="L76" s="1288">
        <v>0</v>
      </c>
      <c r="M76" s="1288">
        <f t="shared" si="24"/>
        <v>0</v>
      </c>
      <c r="N76" s="1288">
        <f t="shared" si="24"/>
        <v>0</v>
      </c>
      <c r="AA76" s="2895"/>
      <c r="AB76" s="1374"/>
      <c r="AC76" s="1374"/>
      <c r="AD76" s="1374"/>
      <c r="AE76" s="1374"/>
      <c r="AF76" s="1374"/>
      <c r="AG76" s="1374"/>
      <c r="AH76" s="2895"/>
      <c r="AI76" s="2895"/>
      <c r="AJ76" s="2895"/>
      <c r="AK76" s="2895"/>
    </row>
    <row r="77" spans="1:37" ht="38.25">
      <c r="A77" s="2884" t="s">
        <v>2962</v>
      </c>
      <c r="B77" s="2887" t="str">
        <f>估价对象房地状况!C20</f>
        <v>区域自然环境：；人文环境；综合评价环境状况一般</v>
      </c>
      <c r="C77" s="2776"/>
      <c r="D77" s="1289">
        <f t="shared" si="20"/>
        <v>0</v>
      </c>
      <c r="E77" s="826"/>
      <c r="F77" s="2507"/>
      <c r="G77" s="1287"/>
      <c r="H77" s="1291" t="str">
        <f t="shared" si="21"/>
        <v>——</v>
      </c>
      <c r="I77" s="820">
        <v>0.15</v>
      </c>
      <c r="J77" s="1288">
        <f t="shared" si="22"/>
        <v>0</v>
      </c>
      <c r="K77" s="1288">
        <f t="shared" si="23"/>
        <v>0</v>
      </c>
      <c r="L77" s="1288">
        <v>0</v>
      </c>
      <c r="M77" s="1288">
        <f t="shared" si="24"/>
        <v>0</v>
      </c>
      <c r="N77" s="1288">
        <f t="shared" si="24"/>
        <v>0</v>
      </c>
      <c r="Z77" s="2726"/>
      <c r="AA77" s="2802"/>
      <c r="AG77" s="1375"/>
      <c r="AK77" s="2802"/>
    </row>
    <row r="78" spans="1:37" ht="24.75" thickBot="1">
      <c r="A78" s="2892" t="s">
        <v>2969</v>
      </c>
      <c r="B78" s="2896"/>
      <c r="C78" s="2776"/>
      <c r="D78" s="1289">
        <f t="shared" si="20"/>
        <v>0</v>
      </c>
      <c r="E78" s="827"/>
      <c r="F78" s="2507"/>
      <c r="G78" s="1287"/>
      <c r="H78" s="1291" t="str">
        <f t="shared" si="21"/>
        <v>——</v>
      </c>
      <c r="I78" s="824">
        <v>0.04</v>
      </c>
      <c r="J78" s="1288">
        <f t="shared" si="22"/>
        <v>0</v>
      </c>
      <c r="K78" s="1288">
        <f t="shared" si="23"/>
        <v>0</v>
      </c>
      <c r="L78" s="1288">
        <v>0</v>
      </c>
      <c r="M78" s="1288">
        <f t="shared" si="24"/>
        <v>0</v>
      </c>
      <c r="N78" s="1288">
        <f t="shared" si="24"/>
        <v>0</v>
      </c>
      <c r="Z78" s="2726"/>
      <c r="AA78" s="2802"/>
      <c r="AG78" s="1375"/>
      <c r="AK78" s="2802"/>
    </row>
    <row r="79" spans="1:37" ht="15">
      <c r="A79" s="2880" t="s">
        <v>2970</v>
      </c>
      <c r="B79" s="2881">
        <f>1+E81</f>
        <v>1</v>
      </c>
      <c r="C79" s="814"/>
      <c r="D79" s="814"/>
      <c r="E79" s="815"/>
      <c r="F79" s="2883"/>
      <c r="G79" s="6"/>
      <c r="H79" s="6"/>
      <c r="I79" s="6"/>
      <c r="J79" s="7"/>
      <c r="K79" s="7"/>
      <c r="L79" s="7"/>
      <c r="M79" s="7"/>
      <c r="N79" s="7"/>
      <c r="Z79" s="2726"/>
      <c r="AA79" s="2802"/>
      <c r="AG79" s="1375"/>
      <c r="AK79" s="2802"/>
    </row>
    <row r="80" spans="1:37" ht="24.75">
      <c r="A80" s="2884" t="s">
        <v>2944</v>
      </c>
      <c r="B80" s="1811"/>
      <c r="C80" s="1811" t="s">
        <v>2946</v>
      </c>
      <c r="D80" s="1811" t="s">
        <v>2947</v>
      </c>
      <c r="E80" s="819" t="s">
        <v>2948</v>
      </c>
      <c r="F80" s="2885" t="s">
        <v>2964</v>
      </c>
      <c r="G80" s="1811" t="s">
        <v>754</v>
      </c>
      <c r="H80" s="2886" t="s">
        <v>2950</v>
      </c>
      <c r="I80" s="1811" t="s">
        <v>2951</v>
      </c>
      <c r="J80" s="603" t="s">
        <v>2597</v>
      </c>
      <c r="K80" s="603" t="s">
        <v>2598</v>
      </c>
      <c r="L80" s="603" t="s">
        <v>2599</v>
      </c>
      <c r="M80" s="603" t="s">
        <v>2600</v>
      </c>
      <c r="N80" s="603" t="s">
        <v>2601</v>
      </c>
      <c r="Z80" s="2726"/>
      <c r="AA80" s="2802"/>
      <c r="AG80" s="1375"/>
      <c r="AK80" s="2802"/>
    </row>
    <row r="81" spans="1:37" ht="38.25">
      <c r="A81" s="2884" t="s">
        <v>2971</v>
      </c>
      <c r="B81" s="2888" t="str">
        <f>估价对象房地状况!G15</f>
        <v>估价对象位于XX开发区，园区建设成熟度XX，产业集聚程度XX</v>
      </c>
      <c r="C81" s="2776"/>
      <c r="D81" s="1289">
        <f t="shared" ref="D81:D88" si="25">SUMIF($J$80:$N$80,C81,J81:N81)</f>
        <v>0</v>
      </c>
      <c r="E81" s="821">
        <f>ROUND(SUM(D81:D88),4)</f>
        <v>0</v>
      </c>
      <c r="F81" s="2507"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6"/>
      <c r="AA81" s="2802"/>
      <c r="AG81" s="1375"/>
      <c r="AK81" s="2802"/>
    </row>
    <row r="82" spans="1:37" ht="51">
      <c r="A82" s="2884" t="s">
        <v>2953</v>
      </c>
      <c r="B82" s="2888" t="str">
        <f>估价对象房地状况!G16</f>
        <v>估价对象周边道路状况、公共交通通达情况、停车便捷程度，综合评价交通便捷度较好</v>
      </c>
      <c r="C82" s="2776"/>
      <c r="D82" s="1289">
        <f t="shared" si="25"/>
        <v>0</v>
      </c>
      <c r="E82" s="826"/>
      <c r="F82" s="2507"/>
      <c r="G82" s="1287"/>
      <c r="H82" s="1291" t="str">
        <f t="shared" si="26"/>
        <v>——</v>
      </c>
      <c r="I82" s="820">
        <v>0.33</v>
      </c>
      <c r="J82" s="1288">
        <f t="shared" si="27"/>
        <v>0</v>
      </c>
      <c r="K82" s="1288">
        <f t="shared" si="28"/>
        <v>0</v>
      </c>
      <c r="L82" s="1288">
        <v>0</v>
      </c>
      <c r="M82" s="1288">
        <f t="shared" si="29"/>
        <v>0</v>
      </c>
      <c r="N82" s="1288">
        <f t="shared" si="29"/>
        <v>0</v>
      </c>
      <c r="Z82" s="2726"/>
      <c r="AA82" s="2802"/>
      <c r="AG82" s="1375"/>
      <c r="AK82" s="2802"/>
    </row>
    <row r="83" spans="1:37" ht="24">
      <c r="A83" s="2884" t="s">
        <v>2954</v>
      </c>
      <c r="B83" s="2888">
        <f>估价对象房地状况!G17</f>
        <v>0</v>
      </c>
      <c r="C83" s="2776"/>
      <c r="D83" s="1289">
        <f t="shared" si="25"/>
        <v>0</v>
      </c>
      <c r="E83" s="826"/>
      <c r="F83" s="2507"/>
      <c r="G83" s="1287"/>
      <c r="H83" s="1291" t="str">
        <f t="shared" si="26"/>
        <v>——</v>
      </c>
      <c r="I83" s="820">
        <v>0.05</v>
      </c>
      <c r="J83" s="1288">
        <f t="shared" si="27"/>
        <v>0</v>
      </c>
      <c r="K83" s="1288">
        <f t="shared" si="28"/>
        <v>0</v>
      </c>
      <c r="L83" s="1288">
        <v>0</v>
      </c>
      <c r="M83" s="1288">
        <f t="shared" si="29"/>
        <v>0</v>
      </c>
      <c r="N83" s="1288">
        <f t="shared" si="29"/>
        <v>0</v>
      </c>
      <c r="Z83" s="2726"/>
      <c r="AA83" s="2802"/>
      <c r="AG83" s="1375"/>
      <c r="AK83" s="2802"/>
    </row>
    <row r="84" spans="1:37" ht="14.25">
      <c r="A84" s="2884" t="s">
        <v>2968</v>
      </c>
      <c r="B84" s="2888">
        <f>估价对象房地状况!G22</f>
        <v>0</v>
      </c>
      <c r="C84" s="2776"/>
      <c r="D84" s="1289">
        <f t="shared" si="25"/>
        <v>0</v>
      </c>
      <c r="E84" s="826"/>
      <c r="F84" s="2507"/>
      <c r="G84" s="1287"/>
      <c r="H84" s="1291" t="str">
        <f t="shared" si="26"/>
        <v>——</v>
      </c>
      <c r="I84" s="820">
        <v>0.04</v>
      </c>
      <c r="J84" s="1288">
        <f t="shared" si="27"/>
        <v>0</v>
      </c>
      <c r="K84" s="1288">
        <f t="shared" si="28"/>
        <v>0</v>
      </c>
      <c r="L84" s="1288">
        <v>0</v>
      </c>
      <c r="M84" s="1288">
        <f t="shared" si="29"/>
        <v>0</v>
      </c>
      <c r="N84" s="1288">
        <f t="shared" si="29"/>
        <v>0</v>
      </c>
      <c r="Z84" s="2726"/>
      <c r="AA84" s="2802"/>
      <c r="AG84" s="1375"/>
      <c r="AK84" s="2802"/>
    </row>
    <row r="85" spans="1:37" ht="25.5">
      <c r="A85" s="2884" t="s">
        <v>2960</v>
      </c>
      <c r="B85" s="1727" t="str">
        <f>估价对象房地状况!G19</f>
        <v>估价对象所在区域公共配套设施齐备情况</v>
      </c>
      <c r="C85" s="2776"/>
      <c r="D85" s="1289">
        <f t="shared" si="25"/>
        <v>0</v>
      </c>
      <c r="E85" s="826"/>
      <c r="F85" s="2507"/>
      <c r="G85" s="1287"/>
      <c r="H85" s="1291" t="str">
        <f t="shared" si="26"/>
        <v>——</v>
      </c>
      <c r="I85" s="820">
        <v>0.06</v>
      </c>
      <c r="J85" s="1288">
        <f t="shared" si="27"/>
        <v>0</v>
      </c>
      <c r="K85" s="1288">
        <f t="shared" si="28"/>
        <v>0</v>
      </c>
      <c r="L85" s="1288">
        <v>0</v>
      </c>
      <c r="M85" s="1288">
        <f t="shared" si="29"/>
        <v>0</v>
      </c>
      <c r="N85" s="1288">
        <f t="shared" si="29"/>
        <v>0</v>
      </c>
      <c r="Z85" s="2726"/>
      <c r="AA85" s="2802"/>
      <c r="AG85" s="1375"/>
      <c r="AK85" s="2802"/>
    </row>
    <row r="86" spans="1:37" ht="25.5">
      <c r="A86" s="2884" t="s">
        <v>2961</v>
      </c>
      <c r="B86" s="1727" t="str">
        <f>估价对象房地状况!G20</f>
        <v>估价对象所在区域基础设施水平</v>
      </c>
      <c r="C86" s="2776"/>
      <c r="D86" s="1289">
        <f t="shared" si="25"/>
        <v>0</v>
      </c>
      <c r="E86" s="826"/>
      <c r="F86" s="2507"/>
      <c r="G86" s="1287"/>
      <c r="H86" s="1291" t="str">
        <f t="shared" si="26"/>
        <v>——</v>
      </c>
      <c r="I86" s="820">
        <v>0.15</v>
      </c>
      <c r="J86" s="1288">
        <f t="shared" si="27"/>
        <v>0</v>
      </c>
      <c r="K86" s="1288">
        <f t="shared" si="28"/>
        <v>0</v>
      </c>
      <c r="L86" s="1288">
        <v>0</v>
      </c>
      <c r="M86" s="1288">
        <f t="shared" si="29"/>
        <v>0</v>
      </c>
      <c r="N86" s="1288">
        <f t="shared" si="29"/>
        <v>0</v>
      </c>
      <c r="Z86" s="2726"/>
      <c r="AA86" s="2802"/>
      <c r="AG86" s="1375"/>
      <c r="AK86" s="2802"/>
    </row>
    <row r="87" spans="1:37" ht="24">
      <c r="A87" s="2884" t="s">
        <v>2958</v>
      </c>
      <c r="B87" s="2890" t="s">
        <v>2972</v>
      </c>
      <c r="C87" s="2776"/>
      <c r="D87" s="1289">
        <f t="shared" si="25"/>
        <v>0</v>
      </c>
      <c r="E87" s="826"/>
      <c r="F87" s="2507"/>
      <c r="G87" s="1287"/>
      <c r="H87" s="1291" t="str">
        <f t="shared" si="26"/>
        <v>——</v>
      </c>
      <c r="I87" s="820">
        <v>0.05</v>
      </c>
      <c r="J87" s="1288">
        <f t="shared" si="27"/>
        <v>0</v>
      </c>
      <c r="K87" s="1288">
        <f t="shared" si="28"/>
        <v>0</v>
      </c>
      <c r="L87" s="1288">
        <v>0</v>
      </c>
      <c r="M87" s="1288">
        <f t="shared" si="29"/>
        <v>0</v>
      </c>
      <c r="N87" s="1288">
        <f t="shared" si="29"/>
        <v>0</v>
      </c>
      <c r="Z87" s="2726"/>
      <c r="AA87" s="2802"/>
      <c r="AG87" s="1375"/>
      <c r="AK87" s="2802"/>
    </row>
    <row r="88" spans="1:37" ht="39" thickBot="1">
      <c r="A88" s="2892" t="s">
        <v>2973</v>
      </c>
      <c r="B88" s="2897" t="str">
        <f>估价对象房地状况!G18</f>
        <v>该园区内是否有污染型企业，绿化情况，卫生条件，整体环境状况判断</v>
      </c>
      <c r="C88" s="2776"/>
      <c r="D88" s="1289">
        <f t="shared" si="25"/>
        <v>0</v>
      </c>
      <c r="E88" s="827"/>
      <c r="F88" s="2507"/>
      <c r="G88" s="1287"/>
      <c r="H88" s="1291" t="str">
        <f t="shared" si="26"/>
        <v>——</v>
      </c>
      <c r="I88" s="824">
        <v>0.06</v>
      </c>
      <c r="J88" s="1288">
        <f t="shared" si="27"/>
        <v>0</v>
      </c>
      <c r="K88" s="1288">
        <f t="shared" si="28"/>
        <v>0</v>
      </c>
      <c r="L88" s="1288">
        <v>0</v>
      </c>
      <c r="M88" s="1288">
        <f t="shared" si="29"/>
        <v>0</v>
      </c>
      <c r="N88" s="1288">
        <f t="shared" si="29"/>
        <v>0</v>
      </c>
      <c r="Z88" s="2726"/>
      <c r="AA88" s="2802"/>
      <c r="AG88" s="1375"/>
      <c r="AK88" s="2802"/>
    </row>
    <row r="90" spans="1:37">
      <c r="A90" s="3322" t="s">
        <v>2974</v>
      </c>
      <c r="B90" s="3322"/>
      <c r="C90" s="3322"/>
      <c r="D90" s="3322"/>
      <c r="E90" s="3322"/>
      <c r="F90" s="3322"/>
      <c r="G90" s="3322"/>
      <c r="H90" s="3322"/>
      <c r="I90" s="3322"/>
      <c r="J90" s="3322"/>
      <c r="K90" s="2898"/>
      <c r="L90" s="2898"/>
      <c r="M90" s="2898"/>
      <c r="N90" s="2898"/>
    </row>
    <row r="91" spans="1:37">
      <c r="A91" s="3324" t="s">
        <v>2975</v>
      </c>
      <c r="B91" s="3324" t="s">
        <v>2976</v>
      </c>
      <c r="C91" s="2852" t="s">
        <v>2977</v>
      </c>
      <c r="D91" s="2853"/>
      <c r="E91" s="2853"/>
      <c r="F91" s="2853"/>
      <c r="G91" s="2853"/>
      <c r="H91" s="2853"/>
      <c r="I91" s="2853"/>
      <c r="J91" s="2899"/>
      <c r="K91" s="2900"/>
      <c r="L91" s="2900"/>
      <c r="M91" s="2900"/>
      <c r="N91" s="2900"/>
    </row>
    <row r="92" spans="1:37">
      <c r="A92" s="3324"/>
      <c r="B92" s="3324"/>
      <c r="C92" s="945" t="s">
        <v>2841</v>
      </c>
      <c r="D92" s="945" t="s">
        <v>2842</v>
      </c>
      <c r="E92" s="945" t="s">
        <v>2843</v>
      </c>
      <c r="F92" s="945" t="s">
        <v>2844</v>
      </c>
      <c r="G92" s="945" t="s">
        <v>2845</v>
      </c>
      <c r="H92" s="945" t="s">
        <v>2846</v>
      </c>
      <c r="I92" s="945" t="s">
        <v>2847</v>
      </c>
      <c r="J92" s="945" t="s">
        <v>2848</v>
      </c>
      <c r="K92" s="945" t="s">
        <v>2849</v>
      </c>
      <c r="L92" s="945" t="s">
        <v>2850</v>
      </c>
      <c r="M92" s="945" t="s">
        <v>2851</v>
      </c>
      <c r="N92" s="945" t="s">
        <v>2852</v>
      </c>
    </row>
    <row r="93" spans="1:37">
      <c r="A93" s="3325" t="s">
        <v>2978</v>
      </c>
      <c r="B93" s="2901">
        <v>1</v>
      </c>
      <c r="C93" s="2902">
        <v>1.9361999999999999</v>
      </c>
      <c r="D93" s="2902">
        <v>1.9361999999999999</v>
      </c>
      <c r="E93" s="2902">
        <v>1.8629</v>
      </c>
      <c r="F93" s="2902">
        <v>1.8629</v>
      </c>
      <c r="G93" s="2902">
        <v>1.8629</v>
      </c>
      <c r="H93" s="2902">
        <v>1.8629</v>
      </c>
      <c r="I93" s="2902">
        <v>1.8629</v>
      </c>
      <c r="J93" s="2902">
        <v>1.9419999999999999</v>
      </c>
      <c r="K93" s="2902">
        <v>1.9419999999999999</v>
      </c>
      <c r="L93" s="2902">
        <v>1.9419999999999999</v>
      </c>
      <c r="M93" s="2902">
        <v>1.9419999999999999</v>
      </c>
      <c r="N93" s="2902">
        <v>1.9419999999999999</v>
      </c>
    </row>
    <row r="94" spans="1:37">
      <c r="A94" s="3326"/>
      <c r="B94" s="2901">
        <v>2</v>
      </c>
      <c r="C94" s="2902">
        <v>1.4198</v>
      </c>
      <c r="D94" s="2902">
        <v>1.4198</v>
      </c>
      <c r="E94" s="2902">
        <v>1.3371999999999999</v>
      </c>
      <c r="F94" s="2902">
        <v>1.3371999999999999</v>
      </c>
      <c r="G94" s="2902">
        <v>1.3371999999999999</v>
      </c>
      <c r="H94" s="2902">
        <v>1.3371999999999999</v>
      </c>
      <c r="I94" s="2902">
        <v>1.3371999999999999</v>
      </c>
      <c r="J94" s="2902">
        <v>1.2799</v>
      </c>
      <c r="K94" s="2902">
        <v>1.2799</v>
      </c>
      <c r="L94" s="2902">
        <v>1.2799</v>
      </c>
      <c r="M94" s="2902">
        <v>1.2799</v>
      </c>
      <c r="N94" s="2902">
        <v>1.2799</v>
      </c>
    </row>
    <row r="95" spans="1:37">
      <c r="A95" s="3326"/>
      <c r="B95" s="2901">
        <v>3</v>
      </c>
      <c r="C95" s="2902">
        <v>1.1594</v>
      </c>
      <c r="D95" s="2902">
        <v>1.1594</v>
      </c>
      <c r="E95" s="2902">
        <v>1.0788</v>
      </c>
      <c r="F95" s="2902">
        <v>1.0788</v>
      </c>
      <c r="G95" s="2902">
        <v>1.0788</v>
      </c>
      <c r="H95" s="2902">
        <v>1.0788</v>
      </c>
      <c r="I95" s="2902">
        <v>1.0788</v>
      </c>
      <c r="J95" s="2902">
        <v>1.0072000000000001</v>
      </c>
      <c r="K95" s="2902">
        <v>1.0072000000000001</v>
      </c>
      <c r="L95" s="2902">
        <v>1.0072000000000001</v>
      </c>
      <c r="M95" s="2902">
        <v>1.0072000000000001</v>
      </c>
      <c r="N95" s="2902">
        <v>1.0072000000000001</v>
      </c>
    </row>
    <row r="96" spans="1:37">
      <c r="A96" s="3326"/>
      <c r="B96" s="2901">
        <v>4</v>
      </c>
      <c r="C96" s="2902">
        <v>0.96220000000000006</v>
      </c>
      <c r="D96" s="2902">
        <v>0.96220000000000006</v>
      </c>
      <c r="E96" s="2902">
        <v>0.86560000000000004</v>
      </c>
      <c r="F96" s="2902">
        <v>0.86560000000000004</v>
      </c>
      <c r="G96" s="2902">
        <v>0.86560000000000004</v>
      </c>
      <c r="H96" s="2902">
        <v>0.86560000000000004</v>
      </c>
      <c r="I96" s="2902">
        <v>0.86560000000000004</v>
      </c>
      <c r="J96" s="2902">
        <v>0.75249999999999995</v>
      </c>
      <c r="K96" s="2902">
        <v>0.75249999999999995</v>
      </c>
      <c r="L96" s="2902">
        <v>0.75249999999999995</v>
      </c>
      <c r="M96" s="2902">
        <v>0.75249999999999995</v>
      </c>
      <c r="N96" s="2902">
        <v>0.75249999999999995</v>
      </c>
    </row>
    <row r="97" spans="1:14">
      <c r="A97" s="3326"/>
      <c r="B97" s="2901">
        <v>5</v>
      </c>
      <c r="C97" s="2902">
        <v>0.8417</v>
      </c>
      <c r="D97" s="2902">
        <v>0.8417</v>
      </c>
      <c r="E97" s="2902">
        <v>0.73709999999999998</v>
      </c>
      <c r="F97" s="2902">
        <v>0.73709999999999998</v>
      </c>
      <c r="G97" s="2902">
        <v>0.73709999999999998</v>
      </c>
      <c r="H97" s="2902">
        <v>0.73709999999999998</v>
      </c>
      <c r="I97" s="2902">
        <v>0.73709999999999998</v>
      </c>
      <c r="J97" s="2902">
        <v>0.56589999999999996</v>
      </c>
      <c r="K97" s="2902">
        <v>0.56589999999999996</v>
      </c>
      <c r="L97" s="2902">
        <v>0.56589999999999996</v>
      </c>
      <c r="M97" s="2902">
        <v>0.56589999999999996</v>
      </c>
      <c r="N97" s="2902">
        <v>0.56589999999999996</v>
      </c>
    </row>
    <row r="98" spans="1:14">
      <c r="A98" s="3326"/>
      <c r="B98" s="2901">
        <v>6</v>
      </c>
      <c r="C98" s="2902">
        <v>0.76080000000000003</v>
      </c>
      <c r="D98" s="2902">
        <v>0.76080000000000003</v>
      </c>
      <c r="E98" s="2902">
        <v>0.6482</v>
      </c>
      <c r="F98" s="2902">
        <v>0.6482</v>
      </c>
      <c r="G98" s="2902">
        <v>0.6482</v>
      </c>
      <c r="H98" s="2902">
        <v>0.6482</v>
      </c>
      <c r="I98" s="2902">
        <v>0.6482</v>
      </c>
      <c r="J98" s="2902">
        <v>0.45250000000000001</v>
      </c>
      <c r="K98" s="2902">
        <v>0.45250000000000001</v>
      </c>
      <c r="L98" s="2902">
        <v>0.45250000000000001</v>
      </c>
      <c r="M98" s="2902">
        <v>0.45250000000000001</v>
      </c>
      <c r="N98" s="2902">
        <v>0.45250000000000001</v>
      </c>
    </row>
    <row r="99" spans="1:14">
      <c r="A99" s="3326"/>
      <c r="B99" s="2901" t="s">
        <v>2857</v>
      </c>
      <c r="C99" s="2903">
        <f>$I$3</f>
        <v>0</v>
      </c>
      <c r="D99" s="2903">
        <f t="shared" ref="D99:M99" si="30">$I$3</f>
        <v>0</v>
      </c>
      <c r="E99" s="2903">
        <f t="shared" si="30"/>
        <v>0</v>
      </c>
      <c r="F99" s="2903">
        <f t="shared" si="30"/>
        <v>0</v>
      </c>
      <c r="G99" s="2903">
        <f t="shared" si="30"/>
        <v>0</v>
      </c>
      <c r="H99" s="2903">
        <f t="shared" si="30"/>
        <v>0</v>
      </c>
      <c r="I99" s="2903">
        <f t="shared" si="30"/>
        <v>0</v>
      </c>
      <c r="J99" s="2903">
        <f t="shared" si="30"/>
        <v>0</v>
      </c>
      <c r="K99" s="2903">
        <f t="shared" si="30"/>
        <v>0</v>
      </c>
      <c r="L99" s="2903">
        <f t="shared" si="30"/>
        <v>0</v>
      </c>
      <c r="M99" s="2903">
        <f t="shared" si="30"/>
        <v>0</v>
      </c>
      <c r="N99" s="2903">
        <f>$I$3</f>
        <v>0</v>
      </c>
    </row>
    <row r="100" spans="1:14">
      <c r="A100" s="3327"/>
      <c r="B100" s="2901">
        <v>7</v>
      </c>
      <c r="C100" s="2904">
        <f>(-0.163*(C99^2)-0.59*C99+7617)*(10^(-4))</f>
        <v>0.76170000000000004</v>
      </c>
      <c r="D100" s="2904">
        <f>(-0.163*(D99^2)-0.59*D99+7617)*(10^(-4))</f>
        <v>0.76170000000000004</v>
      </c>
      <c r="E100" s="2904">
        <f>(-0.161*(E99^2)-7.509*E99+6533)*(10^(-4))</f>
        <v>0.65329999999999999</v>
      </c>
      <c r="F100" s="2904">
        <f>(-0.161*(F99^2)-7.509*F99+6533)*(10^(-4))</f>
        <v>0.65329999999999999</v>
      </c>
      <c r="G100" s="2904">
        <f>(-0.161*(G99^2)-7.509*G99+6533)*(10^(-4))</f>
        <v>0.65329999999999999</v>
      </c>
      <c r="H100" s="2904">
        <f>(-0.161*(H99^2)-7.509*H99+6533)*(10^(-4))</f>
        <v>0.65329999999999999</v>
      </c>
      <c r="I100" s="2904">
        <f>(-0.161*(I99^2)-7.509*I99+6533)*(10^(-4))</f>
        <v>0.65329999999999999</v>
      </c>
      <c r="J100" s="2904">
        <f>(-0.214*(J99^2)-21.991*J99+4665)*(10^(-4))</f>
        <v>0.46650000000000003</v>
      </c>
      <c r="K100" s="2904">
        <f>(-0.214*(K99^2)-21.991*K99+4665)*(10^(-4))</f>
        <v>0.46650000000000003</v>
      </c>
      <c r="L100" s="2904">
        <f>(-0.214*(L99^2)-21.991*L99+4665)*(10^(-4))</f>
        <v>0.46650000000000003</v>
      </c>
      <c r="M100" s="2904">
        <f>(-0.214*(M99^2)-21.991*M99+4665)*(10^(-4))</f>
        <v>0.46650000000000003</v>
      </c>
      <c r="N100" s="2904">
        <f>(-0.214*(N99^2)-21.991*N99+4665)*(10^(-4))</f>
        <v>0.46650000000000003</v>
      </c>
    </row>
    <row r="101" spans="1:14">
      <c r="A101" s="3325" t="s">
        <v>2979</v>
      </c>
      <c r="B101" s="2905" t="s">
        <v>2980</v>
      </c>
      <c r="C101" s="2906">
        <f>$G$3</f>
        <v>2.14</v>
      </c>
      <c r="D101" s="2906">
        <f t="shared" ref="D101:N101" si="31">$G$3</f>
        <v>2.14</v>
      </c>
      <c r="E101" s="2906">
        <f t="shared" si="31"/>
        <v>2.14</v>
      </c>
      <c r="F101" s="2906">
        <f t="shared" si="31"/>
        <v>2.14</v>
      </c>
      <c r="G101" s="2906">
        <f t="shared" si="31"/>
        <v>2.14</v>
      </c>
      <c r="H101" s="2906">
        <f t="shared" si="31"/>
        <v>2.14</v>
      </c>
      <c r="I101" s="2906">
        <f t="shared" si="31"/>
        <v>2.14</v>
      </c>
      <c r="J101" s="2906">
        <f t="shared" si="31"/>
        <v>2.14</v>
      </c>
      <c r="K101" s="2906">
        <f t="shared" si="31"/>
        <v>2.14</v>
      </c>
      <c r="L101" s="2906">
        <f t="shared" si="31"/>
        <v>2.14</v>
      </c>
      <c r="M101" s="2906">
        <f t="shared" si="31"/>
        <v>2.14</v>
      </c>
      <c r="N101" s="2906">
        <f t="shared" si="31"/>
        <v>2.14</v>
      </c>
    </row>
    <row r="102" spans="1:14">
      <c r="A102" s="3326"/>
      <c r="B102" s="2901">
        <v>1</v>
      </c>
      <c r="C102" s="2902">
        <f>1.9362/C101</f>
        <v>0.90476635514018677</v>
      </c>
      <c r="D102" s="2902">
        <f>1.9362/D101</f>
        <v>0.90476635514018677</v>
      </c>
      <c r="E102" s="2902">
        <f>1.8629/E101</f>
        <v>0.87051401869158873</v>
      </c>
      <c r="F102" s="2902">
        <f>1.8629/F101</f>
        <v>0.87051401869158873</v>
      </c>
      <c r="G102" s="2902">
        <f>1.8629/G101</f>
        <v>0.87051401869158873</v>
      </c>
      <c r="H102" s="2902">
        <f>1.8629/H101</f>
        <v>0.87051401869158873</v>
      </c>
      <c r="I102" s="2902">
        <f>1.8629/I101</f>
        <v>0.87051401869158873</v>
      </c>
      <c r="J102" s="2902">
        <f>1.942/J101</f>
        <v>0.90747663551401858</v>
      </c>
      <c r="K102" s="2902">
        <f>1.942/K101</f>
        <v>0.90747663551401858</v>
      </c>
      <c r="L102" s="2902">
        <f>1.942/L101</f>
        <v>0.90747663551401858</v>
      </c>
      <c r="M102" s="2902">
        <f>1.942/M101</f>
        <v>0.90747663551401858</v>
      </c>
      <c r="N102" s="2902">
        <f>1.942/N101</f>
        <v>0.90747663551401858</v>
      </c>
    </row>
    <row r="103" spans="1:14">
      <c r="A103" s="3326"/>
      <c r="B103" s="2901">
        <v>2</v>
      </c>
      <c r="C103" s="2902">
        <f>1.4198/C101</f>
        <v>0.66345794392523361</v>
      </c>
      <c r="D103" s="2902">
        <f>1.4198/D101</f>
        <v>0.66345794392523361</v>
      </c>
      <c r="E103" s="2902">
        <f>1.3372/E101</f>
        <v>0.62485981308411209</v>
      </c>
      <c r="F103" s="2902">
        <f>1.3372/F101</f>
        <v>0.62485981308411209</v>
      </c>
      <c r="G103" s="2902">
        <f>1.3372/G101</f>
        <v>0.62485981308411209</v>
      </c>
      <c r="H103" s="2902">
        <f>1.3372/H101</f>
        <v>0.62485981308411209</v>
      </c>
      <c r="I103" s="2902">
        <f>1.3372/I101</f>
        <v>0.62485981308411209</v>
      </c>
      <c r="J103" s="2902">
        <f>1.2799/J101</f>
        <v>0.59808411214953272</v>
      </c>
      <c r="K103" s="2902">
        <f>1.2799/K101</f>
        <v>0.59808411214953272</v>
      </c>
      <c r="L103" s="2902">
        <f>1.2799/L101</f>
        <v>0.59808411214953272</v>
      </c>
      <c r="M103" s="2902">
        <f>1.2799/M101</f>
        <v>0.59808411214953272</v>
      </c>
      <c r="N103" s="2902">
        <f>1.2799/N101</f>
        <v>0.59808411214953272</v>
      </c>
    </row>
    <row r="104" spans="1:14">
      <c r="A104" s="3326"/>
      <c r="B104" s="2901">
        <v>3</v>
      </c>
      <c r="C104" s="2902">
        <f>1.1594/C101</f>
        <v>0.54177570093457939</v>
      </c>
      <c r="D104" s="2902">
        <f>1.1594/D101</f>
        <v>0.54177570093457939</v>
      </c>
      <c r="E104" s="2902">
        <f>1.0788/E101</f>
        <v>0.50411214953271022</v>
      </c>
      <c r="F104" s="2902">
        <f>1.0788/F101</f>
        <v>0.50411214953271022</v>
      </c>
      <c r="G104" s="2902">
        <f>1.0788/G101</f>
        <v>0.50411214953271022</v>
      </c>
      <c r="H104" s="2902">
        <f>1.0788/H101</f>
        <v>0.50411214953271022</v>
      </c>
      <c r="I104" s="2902">
        <f>1.0788/I101</f>
        <v>0.50411214953271022</v>
      </c>
      <c r="J104" s="2902">
        <f>1.0072/J101</f>
        <v>0.47065420560747667</v>
      </c>
      <c r="K104" s="2902">
        <f>1.0072/K101</f>
        <v>0.47065420560747667</v>
      </c>
      <c r="L104" s="2902">
        <f>1.0072/L101</f>
        <v>0.47065420560747667</v>
      </c>
      <c r="M104" s="2902">
        <f>1.0072/M101</f>
        <v>0.47065420560747667</v>
      </c>
      <c r="N104" s="2902">
        <f>1.0072/N101</f>
        <v>0.47065420560747667</v>
      </c>
    </row>
    <row r="105" spans="1:14">
      <c r="A105" s="3326"/>
      <c r="B105" s="2901">
        <v>4</v>
      </c>
      <c r="C105" s="2902">
        <f>0.9622/C101</f>
        <v>0.44962616822429907</v>
      </c>
      <c r="D105" s="2902">
        <f>0.9622/D101</f>
        <v>0.44962616822429907</v>
      </c>
      <c r="E105" s="2902">
        <f>0.8656/E101</f>
        <v>0.40448598130841124</v>
      </c>
      <c r="F105" s="2902">
        <f>0.8656/F101</f>
        <v>0.40448598130841124</v>
      </c>
      <c r="G105" s="2902">
        <f>0.8656/G101</f>
        <v>0.40448598130841124</v>
      </c>
      <c r="H105" s="2902">
        <f>0.8656/H101</f>
        <v>0.40448598130841124</v>
      </c>
      <c r="I105" s="2902">
        <f>0.8656/I101</f>
        <v>0.40448598130841124</v>
      </c>
      <c r="J105" s="2902">
        <f>0.7525/J101</f>
        <v>0.35163551401869153</v>
      </c>
      <c r="K105" s="2902">
        <f>0.7525/K101</f>
        <v>0.35163551401869153</v>
      </c>
      <c r="L105" s="2902">
        <f>0.7525/L101</f>
        <v>0.35163551401869153</v>
      </c>
      <c r="M105" s="2902">
        <f>0.7525/M101</f>
        <v>0.35163551401869153</v>
      </c>
      <c r="N105" s="2902">
        <f>0.7525/N101</f>
        <v>0.35163551401869153</v>
      </c>
    </row>
    <row r="106" spans="1:14">
      <c r="A106" s="3326"/>
      <c r="B106" s="2901">
        <v>5</v>
      </c>
      <c r="C106" s="2902">
        <f>0.8417/C101</f>
        <v>0.39331775700934579</v>
      </c>
      <c r="D106" s="2902">
        <f>0.8417/D101</f>
        <v>0.39331775700934579</v>
      </c>
      <c r="E106" s="2902">
        <f>0.7371/E101</f>
        <v>0.34443925233644856</v>
      </c>
      <c r="F106" s="2902">
        <f>0.7371/F101</f>
        <v>0.34443925233644856</v>
      </c>
      <c r="G106" s="2902">
        <f>0.7371/G101</f>
        <v>0.34443925233644856</v>
      </c>
      <c r="H106" s="2902">
        <f>0.7371/H101</f>
        <v>0.34443925233644856</v>
      </c>
      <c r="I106" s="2902">
        <f>0.7371/I101</f>
        <v>0.34443925233644856</v>
      </c>
      <c r="J106" s="2902">
        <f>0.5659/J101</f>
        <v>0.26443925233644855</v>
      </c>
      <c r="K106" s="2902">
        <f>0.5659/K101</f>
        <v>0.26443925233644855</v>
      </c>
      <c r="L106" s="2902">
        <f>0.5659/L101</f>
        <v>0.26443925233644855</v>
      </c>
      <c r="M106" s="2902">
        <f>0.5659/M101</f>
        <v>0.26443925233644855</v>
      </c>
      <c r="N106" s="2902">
        <f>0.5659/N101</f>
        <v>0.26443925233644855</v>
      </c>
    </row>
    <row r="107" spans="1:14">
      <c r="A107" s="3326"/>
      <c r="B107" s="2901">
        <v>6</v>
      </c>
      <c r="C107" s="2902">
        <f>0.7608/C101</f>
        <v>0.35551401869158877</v>
      </c>
      <c r="D107" s="2902">
        <f>0.7608/D101</f>
        <v>0.35551401869158877</v>
      </c>
      <c r="E107" s="2902">
        <f>0.6482/E101</f>
        <v>0.30289719626168221</v>
      </c>
      <c r="F107" s="2902">
        <f>0.6482/F101</f>
        <v>0.30289719626168221</v>
      </c>
      <c r="G107" s="2902">
        <f>0.6482/G101</f>
        <v>0.30289719626168221</v>
      </c>
      <c r="H107" s="2902">
        <f>0.6482/H101</f>
        <v>0.30289719626168221</v>
      </c>
      <c r="I107" s="2902">
        <f>0.6482/I101</f>
        <v>0.30289719626168221</v>
      </c>
      <c r="J107" s="2902">
        <f>0.4525/J101</f>
        <v>0.2114485981308411</v>
      </c>
      <c r="K107" s="2902">
        <f>0.4525/K101</f>
        <v>0.2114485981308411</v>
      </c>
      <c r="L107" s="2902">
        <f>0.4525/L101</f>
        <v>0.2114485981308411</v>
      </c>
      <c r="M107" s="2902">
        <f>0.4525/M101</f>
        <v>0.2114485981308411</v>
      </c>
      <c r="N107" s="2902">
        <f>0.4525/N101</f>
        <v>0.2114485981308411</v>
      </c>
    </row>
    <row r="108" spans="1:14">
      <c r="A108" s="3326"/>
      <c r="B108" s="3180" t="s">
        <v>2981</v>
      </c>
      <c r="C108" s="2903">
        <f>C99</f>
        <v>0</v>
      </c>
      <c r="D108" s="2903">
        <f t="shared" ref="D108:N108" si="32">D99</f>
        <v>0</v>
      </c>
      <c r="E108" s="2903">
        <f t="shared" si="32"/>
        <v>0</v>
      </c>
      <c r="F108" s="2903">
        <f t="shared" si="32"/>
        <v>0</v>
      </c>
      <c r="G108" s="2903">
        <f t="shared" si="32"/>
        <v>0</v>
      </c>
      <c r="H108" s="2903">
        <f t="shared" si="32"/>
        <v>0</v>
      </c>
      <c r="I108" s="2903">
        <f t="shared" si="32"/>
        <v>0</v>
      </c>
      <c r="J108" s="2903">
        <f t="shared" si="32"/>
        <v>0</v>
      </c>
      <c r="K108" s="2903">
        <f t="shared" si="32"/>
        <v>0</v>
      </c>
      <c r="L108" s="2903">
        <f t="shared" si="32"/>
        <v>0</v>
      </c>
      <c r="M108" s="2903">
        <f t="shared" si="32"/>
        <v>0</v>
      </c>
      <c r="N108" s="2903">
        <f t="shared" si="32"/>
        <v>0</v>
      </c>
    </row>
    <row r="109" spans="1:14">
      <c r="A109" s="3327"/>
      <c r="B109" s="3181"/>
      <c r="C109" s="2904">
        <f>(-0.163*(C108^2)-0.59*C108+7617)*(10^(-4))/C101</f>
        <v>0.35593457943925233</v>
      </c>
      <c r="D109" s="2904">
        <f>(-0.163*(D108^2)-0.59*D108+7617)*(10^(-4))/D101</f>
        <v>0.35593457943925233</v>
      </c>
      <c r="E109" s="2904">
        <f>(-0.161*(E108^2)-7.509*E108+6533)*(10^(-4))/E101</f>
        <v>0.3052803738317757</v>
      </c>
      <c r="F109" s="2904">
        <f>(-0.161*(F108^2)-7.509*F108+6533)*(10^(-4))/F101</f>
        <v>0.3052803738317757</v>
      </c>
      <c r="G109" s="2904">
        <f>(-0.161*(G108^2)-7.509*G108+6533)*(10^(-4))/G101</f>
        <v>0.3052803738317757</v>
      </c>
      <c r="H109" s="2904">
        <f>(-0.161*(H108^2)-7.509*H108+6533)*(10^(-4))/H101</f>
        <v>0.3052803738317757</v>
      </c>
      <c r="I109" s="2904">
        <f>(-0.161*(I108^2)-7.509*I108+6533)*(10^(-4))/I101</f>
        <v>0.3052803738317757</v>
      </c>
      <c r="J109" s="2904">
        <f>(-0.214*(J108^2)-21.991*J108+4665)*(10^(-4))/J101</f>
        <v>0.21799065420560748</v>
      </c>
      <c r="K109" s="2904">
        <f>(-0.214*(K108^2)-21.991*K108+4665)*(10^(-4))/K101</f>
        <v>0.21799065420560748</v>
      </c>
      <c r="L109" s="2904">
        <f>(-0.214*(L108^2)-21.991*L108+4665)*(10^(-4))/L101</f>
        <v>0.21799065420560748</v>
      </c>
      <c r="M109" s="2904">
        <f>(-0.214*(M108^2)-21.991*M108+4665)*(10^(-4))/M101</f>
        <v>0.21799065420560748</v>
      </c>
      <c r="N109" s="2904">
        <f>(-0.214*(N108^2)-21.991*N108+4665)*(10^(-4))/N101</f>
        <v>0.21799065420560748</v>
      </c>
    </row>
    <row r="110" spans="1:14">
      <c r="A110" s="3323" t="s">
        <v>2982</v>
      </c>
      <c r="B110" s="3323"/>
      <c r="C110" s="3323"/>
      <c r="D110" s="3323"/>
      <c r="E110" s="3323"/>
      <c r="F110" s="3323"/>
      <c r="G110" s="3323"/>
      <c r="H110" s="3323"/>
      <c r="I110" s="3323"/>
      <c r="J110" s="3323"/>
      <c r="K110" s="2907"/>
      <c r="L110" s="2907"/>
      <c r="M110" s="2907"/>
      <c r="N110" s="2907"/>
    </row>
    <row r="112" spans="1:14" ht="13.5" thickBot="1"/>
    <row r="113" spans="1:13" ht="25.5" thickBot="1">
      <c r="A113" s="903" t="s">
        <v>2983</v>
      </c>
      <c r="B113" s="1290">
        <f>G3</f>
        <v>2.14</v>
      </c>
      <c r="C113" s="904" t="s">
        <v>2984</v>
      </c>
      <c r="D113" s="905">
        <f>SUMPRODUCT((A115:A118=F113)*(B114:M114=H113)*B115:M118)</f>
        <v>0</v>
      </c>
      <c r="E113" s="2730" t="s">
        <v>2814</v>
      </c>
      <c r="F113" s="2909">
        <f>E2</f>
        <v>0</v>
      </c>
      <c r="G113" s="2730" t="s">
        <v>2815</v>
      </c>
      <c r="H113" s="2909">
        <f>G2</f>
        <v>0</v>
      </c>
      <c r="I113" s="2730"/>
      <c r="J113" s="2910"/>
      <c r="K113" s="2910"/>
      <c r="L113" s="2910"/>
      <c r="M113" s="2910"/>
    </row>
    <row r="114" spans="1:13">
      <c r="A114" s="908"/>
      <c r="B114" s="2911" t="s">
        <v>2985</v>
      </c>
      <c r="C114" s="2911" t="s">
        <v>2986</v>
      </c>
      <c r="D114" s="2911" t="s">
        <v>2987</v>
      </c>
      <c r="E114" s="2912" t="s">
        <v>2988</v>
      </c>
      <c r="F114" s="2912" t="s">
        <v>2989</v>
      </c>
      <c r="G114" s="2912" t="s">
        <v>2990</v>
      </c>
      <c r="H114" s="2913" t="s">
        <v>2991</v>
      </c>
      <c r="I114" s="2913" t="s">
        <v>2992</v>
      </c>
      <c r="J114" s="2914" t="s">
        <v>2993</v>
      </c>
      <c r="K114" s="2914" t="s">
        <v>2994</v>
      </c>
      <c r="L114" s="2914" t="s">
        <v>2995</v>
      </c>
      <c r="M114" s="2915" t="s">
        <v>2996</v>
      </c>
    </row>
    <row r="115" spans="1:13">
      <c r="A115" s="909" t="s">
        <v>2879</v>
      </c>
      <c r="B115" s="910">
        <f>ROUND(0.9335-0.0094*B113,4)</f>
        <v>0.91339999999999999</v>
      </c>
      <c r="C115" s="910">
        <f>B115</f>
        <v>0.91339999999999999</v>
      </c>
      <c r="D115" s="910">
        <f>ROUND(0.8331-0.0109*B113,4)</f>
        <v>0.80979999999999996</v>
      </c>
      <c r="E115" s="910">
        <f>D115</f>
        <v>0.80979999999999996</v>
      </c>
      <c r="F115" s="910">
        <f>E115</f>
        <v>0.80979999999999996</v>
      </c>
      <c r="G115" s="910">
        <f>F115</f>
        <v>0.80979999999999996</v>
      </c>
      <c r="H115" s="910">
        <f>G115</f>
        <v>0.80979999999999996</v>
      </c>
      <c r="I115" s="910">
        <f>ROUND(0.689-0.0155*B113,4)</f>
        <v>0.65580000000000005</v>
      </c>
      <c r="J115" s="910">
        <f t="shared" ref="J115:M118" si="33">I115</f>
        <v>0.65580000000000005</v>
      </c>
      <c r="K115" s="910">
        <f t="shared" si="33"/>
        <v>0.65580000000000005</v>
      </c>
      <c r="L115" s="910">
        <f t="shared" si="33"/>
        <v>0.65580000000000005</v>
      </c>
      <c r="M115" s="911">
        <f t="shared" si="33"/>
        <v>0.65580000000000005</v>
      </c>
    </row>
    <row r="116" spans="1:13">
      <c r="A116" s="909" t="s">
        <v>2880</v>
      </c>
      <c r="B116" s="910">
        <f>ROUND(0.949-0.012*B113,4)</f>
        <v>0.92330000000000001</v>
      </c>
      <c r="C116" s="910">
        <f>B116</f>
        <v>0.92330000000000001</v>
      </c>
      <c r="D116" s="910">
        <f>ROUND(0.8567-0.013*B113,4)</f>
        <v>0.82889999999999997</v>
      </c>
      <c r="E116" s="910">
        <f t="shared" ref="E116:H117" si="34">D116</f>
        <v>0.82889999999999997</v>
      </c>
      <c r="F116" s="910">
        <f t="shared" si="34"/>
        <v>0.82889999999999997</v>
      </c>
      <c r="G116" s="910">
        <f t="shared" si="34"/>
        <v>0.82889999999999997</v>
      </c>
      <c r="H116" s="910">
        <f t="shared" si="34"/>
        <v>0.82889999999999997</v>
      </c>
      <c r="I116" s="910">
        <f>ROUND(0.7694-0.014*B113,4)</f>
        <v>0.73939999999999995</v>
      </c>
      <c r="J116" s="910">
        <f t="shared" si="33"/>
        <v>0.73939999999999995</v>
      </c>
      <c r="K116" s="910">
        <f t="shared" si="33"/>
        <v>0.73939999999999995</v>
      </c>
      <c r="L116" s="910">
        <f t="shared" si="33"/>
        <v>0.73939999999999995</v>
      </c>
      <c r="M116" s="911">
        <f t="shared" si="33"/>
        <v>0.73939999999999995</v>
      </c>
    </row>
    <row r="117" spans="1:13">
      <c r="A117" s="909" t="s">
        <v>2881</v>
      </c>
      <c r="B117" s="910">
        <f>ROUND(0.8808-0.006*B113,4)</f>
        <v>0.86799999999999999</v>
      </c>
      <c r="C117" s="910">
        <f>B117</f>
        <v>0.86799999999999999</v>
      </c>
      <c r="D117" s="910">
        <f>ROUND(0.8748-0.008*B113,4)</f>
        <v>0.85770000000000002</v>
      </c>
      <c r="E117" s="910">
        <f t="shared" si="34"/>
        <v>0.85770000000000002</v>
      </c>
      <c r="F117" s="910">
        <f t="shared" si="34"/>
        <v>0.85770000000000002</v>
      </c>
      <c r="G117" s="910">
        <f t="shared" si="34"/>
        <v>0.85770000000000002</v>
      </c>
      <c r="H117" s="910">
        <f t="shared" si="34"/>
        <v>0.85770000000000002</v>
      </c>
      <c r="I117" s="910">
        <f>ROUND(0.7412-0.0095*B113,4)</f>
        <v>0.72089999999999999</v>
      </c>
      <c r="J117" s="910">
        <f t="shared" si="33"/>
        <v>0.72089999999999999</v>
      </c>
      <c r="K117" s="910">
        <f t="shared" si="33"/>
        <v>0.72089999999999999</v>
      </c>
      <c r="L117" s="910">
        <f t="shared" si="33"/>
        <v>0.72089999999999999</v>
      </c>
      <c r="M117" s="911">
        <f t="shared" si="33"/>
        <v>0.72089999999999999</v>
      </c>
    </row>
    <row r="118" spans="1:13" ht="13.5" thickBot="1">
      <c r="A118" s="714" t="s">
        <v>2882</v>
      </c>
      <c r="B118" s="912">
        <f>ROUND(0.7275-0.01*B113,4)</f>
        <v>0.70609999999999995</v>
      </c>
      <c r="C118" s="912">
        <f>B118</f>
        <v>0.70609999999999995</v>
      </c>
      <c r="D118" s="912">
        <f>ROUND(0.7043-0.012*B113,4)</f>
        <v>0.67859999999999998</v>
      </c>
      <c r="E118" s="912">
        <f>D118</f>
        <v>0.67859999999999998</v>
      </c>
      <c r="F118" s="912">
        <f>E118</f>
        <v>0.67859999999999998</v>
      </c>
      <c r="G118" s="912">
        <f>ROUND(0.6299-0.0122*B113,4)</f>
        <v>0.6038</v>
      </c>
      <c r="H118" s="912">
        <f>G118</f>
        <v>0.6038</v>
      </c>
      <c r="I118" s="912">
        <f>ROUND(0.5667-0.0136*B113,4)</f>
        <v>0.53759999999999997</v>
      </c>
      <c r="J118" s="912">
        <f t="shared" si="33"/>
        <v>0.53759999999999997</v>
      </c>
      <c r="K118" s="912">
        <f t="shared" si="33"/>
        <v>0.53759999999999997</v>
      </c>
      <c r="L118" s="912">
        <f t="shared" si="33"/>
        <v>0.53759999999999997</v>
      </c>
      <c r="M118" s="913">
        <f t="shared" si="33"/>
        <v>0.53759999999999997</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331" t="s">
        <v>183</v>
      </c>
      <c r="B18" s="882" t="s">
        <v>560</v>
      </c>
      <c r="C18" s="883" t="s">
        <v>561</v>
      </c>
      <c r="D18" s="884"/>
      <c r="E18" s="882">
        <v>1</v>
      </c>
      <c r="F18" s="885" t="s">
        <v>562</v>
      </c>
      <c r="G18" s="886"/>
      <c r="H18" s="878"/>
      <c r="I18" s="878"/>
    </row>
    <row r="19" spans="1:9" s="887" customFormat="1" ht="19.5" customHeight="1">
      <c r="A19" s="3331"/>
      <c r="B19" s="3331" t="s">
        <v>563</v>
      </c>
      <c r="C19" s="883" t="s">
        <v>564</v>
      </c>
      <c r="D19" s="884"/>
      <c r="E19" s="882">
        <v>0.9</v>
      </c>
      <c r="F19" s="885" t="s">
        <v>565</v>
      </c>
      <c r="G19" s="886"/>
      <c r="H19" s="878"/>
      <c r="I19" s="878"/>
    </row>
    <row r="20" spans="1:9" s="887" customFormat="1" ht="19.5" customHeight="1">
      <c r="A20" s="3331"/>
      <c r="B20" s="3331"/>
      <c r="C20" s="883" t="s">
        <v>566</v>
      </c>
      <c r="D20" s="884"/>
      <c r="E20" s="882">
        <v>1.1000000000000001</v>
      </c>
      <c r="F20" s="885" t="s">
        <v>567</v>
      </c>
      <c r="G20" s="886"/>
      <c r="H20" s="878"/>
      <c r="I20" s="878"/>
    </row>
    <row r="21" spans="1:9" s="887" customFormat="1" ht="19.5" customHeight="1">
      <c r="A21" s="3331"/>
      <c r="B21" s="3331"/>
      <c r="C21" s="883" t="s">
        <v>568</v>
      </c>
      <c r="D21" s="884"/>
      <c r="E21" s="882">
        <v>0.8</v>
      </c>
      <c r="F21" s="885" t="s">
        <v>569</v>
      </c>
      <c r="G21" s="886"/>
      <c r="H21" s="878"/>
      <c r="I21" s="878"/>
    </row>
    <row r="22" spans="1:9" s="887" customFormat="1" ht="19.5" customHeight="1">
      <c r="A22" s="3331"/>
      <c r="B22" s="3331"/>
      <c r="C22" s="883" t="s">
        <v>570</v>
      </c>
      <c r="D22" s="884"/>
      <c r="E22" s="882">
        <v>0.5</v>
      </c>
      <c r="F22" s="885"/>
      <c r="G22" s="886"/>
      <c r="H22" s="878"/>
      <c r="I22" s="878"/>
    </row>
    <row r="23" spans="1:9" s="887" customFormat="1" ht="19.5" customHeight="1">
      <c r="A23" s="3331" t="s">
        <v>184</v>
      </c>
      <c r="B23" s="882" t="s">
        <v>560</v>
      </c>
      <c r="C23" s="883" t="s">
        <v>571</v>
      </c>
      <c r="D23" s="884"/>
      <c r="E23" s="882">
        <v>1</v>
      </c>
      <c r="F23" s="885" t="s">
        <v>572</v>
      </c>
      <c r="G23" s="886"/>
      <c r="H23" s="878"/>
      <c r="I23" s="878"/>
    </row>
    <row r="24" spans="1:9" s="887" customFormat="1" ht="19.5" customHeight="1">
      <c r="A24" s="3331"/>
      <c r="B24" s="3331" t="s">
        <v>563</v>
      </c>
      <c r="C24" s="883" t="s">
        <v>573</v>
      </c>
      <c r="D24" s="884"/>
      <c r="E24" s="882">
        <v>0.5</v>
      </c>
      <c r="F24" s="885"/>
      <c r="G24" s="886"/>
      <c r="H24" s="878"/>
      <c r="I24" s="878"/>
    </row>
    <row r="25" spans="1:9" s="887" customFormat="1" ht="19.5" customHeight="1">
      <c r="A25" s="3331"/>
      <c r="B25" s="3331"/>
      <c r="C25" s="883" t="s">
        <v>574</v>
      </c>
      <c r="D25" s="884"/>
      <c r="E25" s="882">
        <v>1.1000000000000001</v>
      </c>
      <c r="F25" s="885"/>
      <c r="G25" s="886"/>
      <c r="H25" s="878"/>
      <c r="I25" s="878"/>
    </row>
    <row r="26" spans="1:9" s="887" customFormat="1" ht="19.5" customHeight="1">
      <c r="A26" s="3331"/>
      <c r="B26" s="3331"/>
      <c r="C26" s="883" t="s">
        <v>575</v>
      </c>
      <c r="D26" s="884"/>
      <c r="E26" s="882">
        <v>1.1000000000000001</v>
      </c>
      <c r="F26" s="885"/>
      <c r="G26" s="886"/>
      <c r="H26" s="878"/>
      <c r="I26" s="878"/>
    </row>
    <row r="27" spans="1:9" s="887" customFormat="1" ht="19.5" customHeight="1">
      <c r="A27" s="3331"/>
      <c r="B27" s="3331"/>
      <c r="C27" s="883" t="s">
        <v>576</v>
      </c>
      <c r="D27" s="884"/>
      <c r="E27" s="882">
        <v>0.9</v>
      </c>
      <c r="F27" s="885" t="s">
        <v>577</v>
      </c>
      <c r="G27" s="886"/>
      <c r="H27" s="878"/>
      <c r="I27" s="878"/>
    </row>
    <row r="28" spans="1:9" s="887" customFormat="1" ht="19.5" customHeight="1">
      <c r="A28" s="3331"/>
      <c r="B28" s="3331"/>
      <c r="C28" s="883" t="s">
        <v>578</v>
      </c>
      <c r="D28" s="884"/>
      <c r="E28" s="882">
        <v>0.9</v>
      </c>
      <c r="F28" s="885" t="s">
        <v>579</v>
      </c>
      <c r="G28" s="886"/>
      <c r="H28" s="878"/>
      <c r="I28" s="878"/>
    </row>
    <row r="29" spans="1:9" s="887" customFormat="1" ht="19.5" customHeight="1">
      <c r="A29" s="3331"/>
      <c r="B29" s="3331"/>
      <c r="C29" s="883" t="s">
        <v>580</v>
      </c>
      <c r="D29" s="884"/>
      <c r="E29" s="882">
        <v>0.9</v>
      </c>
      <c r="F29" s="885" t="s">
        <v>581</v>
      </c>
      <c r="G29" s="886"/>
      <c r="H29" s="878"/>
      <c r="I29" s="878"/>
    </row>
    <row r="30" spans="1:9" s="887" customFormat="1" ht="19.5" customHeight="1">
      <c r="A30" s="3331"/>
      <c r="B30" s="3331"/>
      <c r="C30" s="883" t="s">
        <v>582</v>
      </c>
      <c r="D30" s="884"/>
      <c r="E30" s="882">
        <v>0.9</v>
      </c>
      <c r="F30" s="885" t="s">
        <v>583</v>
      </c>
      <c r="G30" s="886"/>
      <c r="H30" s="878"/>
      <c r="I30" s="878"/>
    </row>
    <row r="31" spans="1:9" s="887" customFormat="1" ht="19.5" customHeight="1">
      <c r="A31" s="3331"/>
      <c r="B31" s="3331"/>
      <c r="C31" s="883" t="s">
        <v>584</v>
      </c>
      <c r="D31" s="884"/>
      <c r="E31" s="882">
        <v>0.8</v>
      </c>
      <c r="F31" s="885" t="s">
        <v>585</v>
      </c>
      <c r="G31" s="886"/>
      <c r="H31" s="878"/>
      <c r="I31" s="878"/>
    </row>
    <row r="32" spans="1:9" s="887" customFormat="1" ht="19.5" customHeight="1">
      <c r="A32" s="3331"/>
      <c r="B32" s="3331"/>
      <c r="C32" s="883" t="s">
        <v>586</v>
      </c>
      <c r="D32" s="884"/>
      <c r="E32" s="882">
        <v>0.8</v>
      </c>
      <c r="F32" s="885" t="s">
        <v>587</v>
      </c>
      <c r="G32" s="886"/>
      <c r="H32" s="878"/>
      <c r="I32" s="878"/>
    </row>
    <row r="33" spans="1:9" s="887" customFormat="1" ht="19.5" customHeight="1">
      <c r="A33" s="3331" t="s">
        <v>185</v>
      </c>
      <c r="B33" s="882" t="s">
        <v>560</v>
      </c>
      <c r="C33" s="883" t="s">
        <v>588</v>
      </c>
      <c r="D33" s="884"/>
      <c r="E33" s="882">
        <v>1</v>
      </c>
      <c r="F33" s="885" t="s">
        <v>589</v>
      </c>
      <c r="G33" s="886"/>
      <c r="H33" s="878"/>
      <c r="I33" s="878"/>
    </row>
    <row r="34" spans="1:9" s="887" customFormat="1" ht="19.5" customHeight="1">
      <c r="A34" s="3331"/>
      <c r="B34" s="882" t="s">
        <v>563</v>
      </c>
      <c r="C34" s="883" t="s">
        <v>590</v>
      </c>
      <c r="D34" s="884"/>
      <c r="E34" s="882">
        <v>1.5</v>
      </c>
      <c r="F34" s="885" t="s">
        <v>591</v>
      </c>
      <c r="G34" s="886"/>
      <c r="H34" s="878"/>
      <c r="I34" s="878"/>
    </row>
    <row r="35" spans="1:9" s="887" customFormat="1" ht="19.5" customHeight="1">
      <c r="A35" s="3331" t="s">
        <v>186</v>
      </c>
      <c r="B35" s="882" t="s">
        <v>560</v>
      </c>
      <c r="C35" s="883" t="s">
        <v>592</v>
      </c>
      <c r="D35" s="884"/>
      <c r="E35" s="882">
        <v>1</v>
      </c>
      <c r="F35" s="885" t="s">
        <v>593</v>
      </c>
      <c r="G35" s="886"/>
      <c r="H35" s="878"/>
      <c r="I35" s="878"/>
    </row>
    <row r="36" spans="1:9" s="887" customFormat="1" ht="19.5" customHeight="1">
      <c r="A36" s="3331"/>
      <c r="B36" s="3331" t="s">
        <v>563</v>
      </c>
      <c r="C36" s="883" t="s">
        <v>594</v>
      </c>
      <c r="D36" s="884"/>
      <c r="E36" s="882">
        <v>1</v>
      </c>
      <c r="F36" s="885" t="s">
        <v>595</v>
      </c>
      <c r="G36" s="886"/>
      <c r="H36" s="878"/>
      <c r="I36" s="878"/>
    </row>
    <row r="37" spans="1:9" s="887" customFormat="1" ht="19.5" customHeight="1">
      <c r="A37" s="3331"/>
      <c r="B37" s="3331"/>
      <c r="C37" s="883" t="s">
        <v>596</v>
      </c>
      <c r="D37" s="884"/>
      <c r="E37" s="882">
        <v>1.5</v>
      </c>
      <c r="F37" s="885" t="s">
        <v>597</v>
      </c>
      <c r="G37" s="886"/>
      <c r="H37" s="878"/>
      <c r="I37" s="878"/>
    </row>
    <row r="38" spans="1:9" s="887" customFormat="1" ht="19.5" customHeight="1">
      <c r="A38" s="3331"/>
      <c r="B38" s="3331"/>
      <c r="C38" s="883" t="s">
        <v>598</v>
      </c>
      <c r="D38" s="884"/>
      <c r="E38" s="882">
        <v>1</v>
      </c>
      <c r="F38" s="885" t="s">
        <v>599</v>
      </c>
      <c r="G38" s="886"/>
      <c r="H38" s="878"/>
      <c r="I38" s="878"/>
    </row>
    <row r="39" spans="1:9" s="887" customFormat="1" ht="19.5" customHeight="1">
      <c r="A39" s="3331"/>
      <c r="B39" s="3331"/>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331" t="s">
        <v>614</v>
      </c>
      <c r="C61" s="818" t="s">
        <v>615</v>
      </c>
      <c r="D61" s="818" t="s">
        <v>616</v>
      </c>
      <c r="E61" s="895">
        <v>0.5</v>
      </c>
      <c r="F61" s="882">
        <v>80</v>
      </c>
    </row>
    <row r="62" spans="1:8" s="878" customFormat="1" ht="24">
      <c r="A62" s="882">
        <v>2</v>
      </c>
      <c r="B62" s="3331"/>
      <c r="C62" s="818" t="s">
        <v>617</v>
      </c>
      <c r="D62" s="818" t="s">
        <v>618</v>
      </c>
      <c r="E62" s="895">
        <v>0.5</v>
      </c>
      <c r="F62" s="882">
        <v>80</v>
      </c>
    </row>
    <row r="63" spans="1:8" s="878" customFormat="1" ht="36">
      <c r="A63" s="882">
        <v>3</v>
      </c>
      <c r="B63" s="3331"/>
      <c r="C63" s="818" t="s">
        <v>619</v>
      </c>
      <c r="D63" s="818" t="s">
        <v>620</v>
      </c>
      <c r="E63" s="895">
        <v>0.5</v>
      </c>
      <c r="F63" s="882">
        <v>80</v>
      </c>
    </row>
    <row r="64" spans="1:8" s="878" customFormat="1" ht="36">
      <c r="A64" s="882">
        <v>4</v>
      </c>
      <c r="B64" s="3331"/>
      <c r="C64" s="818" t="s">
        <v>621</v>
      </c>
      <c r="D64" s="818" t="s">
        <v>622</v>
      </c>
      <c r="E64" s="895">
        <v>0.4</v>
      </c>
      <c r="F64" s="882">
        <v>60</v>
      </c>
    </row>
    <row r="65" spans="1:6" s="878" customFormat="1" ht="36">
      <c r="A65" s="882">
        <v>5</v>
      </c>
      <c r="B65" s="3331"/>
      <c r="C65" s="818" t="s">
        <v>623</v>
      </c>
      <c r="D65" s="818" t="s">
        <v>624</v>
      </c>
      <c r="E65" s="895">
        <v>0.2</v>
      </c>
      <c r="F65" s="882">
        <v>30</v>
      </c>
    </row>
    <row r="66" spans="1:6" s="878" customFormat="1" ht="36">
      <c r="A66" s="882">
        <v>6</v>
      </c>
      <c r="B66" s="3331"/>
      <c r="C66" s="818" t="s">
        <v>625</v>
      </c>
      <c r="D66" s="818" t="s">
        <v>626</v>
      </c>
      <c r="E66" s="895">
        <v>0.3</v>
      </c>
      <c r="F66" s="882">
        <v>50</v>
      </c>
    </row>
    <row r="67" spans="1:6" s="878" customFormat="1" ht="36">
      <c r="A67" s="882">
        <v>7</v>
      </c>
      <c r="B67" s="3331"/>
      <c r="C67" s="818" t="s">
        <v>627</v>
      </c>
      <c r="D67" s="818" t="s">
        <v>628</v>
      </c>
      <c r="E67" s="895">
        <v>0.2</v>
      </c>
      <c r="F67" s="882">
        <v>30</v>
      </c>
    </row>
    <row r="68" spans="1:6" s="878" customFormat="1" ht="36">
      <c r="A68" s="882">
        <v>8</v>
      </c>
      <c r="B68" s="3331"/>
      <c r="C68" s="818" t="s">
        <v>629</v>
      </c>
      <c r="D68" s="818" t="s">
        <v>630</v>
      </c>
      <c r="E68" s="895">
        <v>0.2</v>
      </c>
      <c r="F68" s="882">
        <v>30</v>
      </c>
    </row>
    <row r="69" spans="1:6" s="878" customFormat="1" ht="36">
      <c r="A69" s="882">
        <v>9</v>
      </c>
      <c r="B69" s="3331"/>
      <c r="C69" s="818" t="s">
        <v>631</v>
      </c>
      <c r="D69" s="818" t="s">
        <v>632</v>
      </c>
      <c r="E69" s="895">
        <v>0.2</v>
      </c>
      <c r="F69" s="882">
        <v>30</v>
      </c>
    </row>
    <row r="70" spans="1:6" s="878" customFormat="1" ht="48">
      <c r="A70" s="882">
        <v>10</v>
      </c>
      <c r="B70" s="3331"/>
      <c r="C70" s="818" t="s">
        <v>633</v>
      </c>
      <c r="D70" s="818" t="s">
        <v>634</v>
      </c>
      <c r="E70" s="895">
        <v>0.2</v>
      </c>
      <c r="F70" s="882">
        <v>30</v>
      </c>
    </row>
    <row r="71" spans="1:6" s="878" customFormat="1" ht="48">
      <c r="A71" s="882">
        <v>11</v>
      </c>
      <c r="B71" s="3331"/>
      <c r="C71" s="818" t="s">
        <v>635</v>
      </c>
      <c r="D71" s="818" t="s">
        <v>636</v>
      </c>
      <c r="E71" s="895">
        <v>0.2</v>
      </c>
      <c r="F71" s="882">
        <v>30</v>
      </c>
    </row>
    <row r="72" spans="1:6" s="878" customFormat="1" ht="36">
      <c r="A72" s="882">
        <v>12</v>
      </c>
      <c r="B72" s="3331"/>
      <c r="C72" s="818" t="s">
        <v>637</v>
      </c>
      <c r="D72" s="818" t="s">
        <v>638</v>
      </c>
      <c r="E72" s="895">
        <v>0.5</v>
      </c>
      <c r="F72" s="882">
        <v>80</v>
      </c>
    </row>
    <row r="73" spans="1:6" s="878" customFormat="1" ht="24">
      <c r="A73" s="882">
        <v>13</v>
      </c>
      <c r="B73" s="3331"/>
      <c r="C73" s="818" t="s">
        <v>639</v>
      </c>
      <c r="D73" s="818" t="s">
        <v>640</v>
      </c>
      <c r="E73" s="895">
        <v>0.4</v>
      </c>
      <c r="F73" s="882">
        <v>60</v>
      </c>
    </row>
    <row r="74" spans="1:6" s="878" customFormat="1" ht="24">
      <c r="A74" s="882">
        <v>14</v>
      </c>
      <c r="B74" s="3331"/>
      <c r="C74" s="818" t="s">
        <v>641</v>
      </c>
      <c r="D74" s="818" t="s">
        <v>642</v>
      </c>
      <c r="E74" s="895">
        <v>0.2</v>
      </c>
      <c r="F74" s="882">
        <v>30</v>
      </c>
    </row>
    <row r="75" spans="1:6" s="878" customFormat="1" ht="24">
      <c r="A75" s="882">
        <v>15</v>
      </c>
      <c r="B75" s="3331"/>
      <c r="C75" s="818" t="s">
        <v>643</v>
      </c>
      <c r="D75" s="818" t="s">
        <v>644</v>
      </c>
      <c r="E75" s="895">
        <v>0.2</v>
      </c>
      <c r="F75" s="882">
        <v>30</v>
      </c>
    </row>
    <row r="76" spans="1:6" s="878" customFormat="1" ht="24">
      <c r="A76" s="882">
        <v>16</v>
      </c>
      <c r="B76" s="3331" t="s">
        <v>645</v>
      </c>
      <c r="C76" s="818" t="s">
        <v>646</v>
      </c>
      <c r="D76" s="818" t="s">
        <v>647</v>
      </c>
      <c r="E76" s="895">
        <v>0.5</v>
      </c>
      <c r="F76" s="882">
        <v>80</v>
      </c>
    </row>
    <row r="77" spans="1:6" s="878" customFormat="1" ht="24">
      <c r="A77" s="882">
        <v>17</v>
      </c>
      <c r="B77" s="3331"/>
      <c r="C77" s="818" t="s">
        <v>648</v>
      </c>
      <c r="D77" s="818" t="s">
        <v>649</v>
      </c>
      <c r="E77" s="895">
        <v>0.5</v>
      </c>
      <c r="F77" s="882">
        <v>80</v>
      </c>
    </row>
    <row r="78" spans="1:6" s="878" customFormat="1" ht="24">
      <c r="A78" s="882">
        <v>18</v>
      </c>
      <c r="B78" s="3331"/>
      <c r="C78" s="818" t="s">
        <v>650</v>
      </c>
      <c r="D78" s="818" t="s">
        <v>651</v>
      </c>
      <c r="E78" s="895">
        <v>0.2</v>
      </c>
      <c r="F78" s="882">
        <v>30</v>
      </c>
    </row>
    <row r="79" spans="1:6" s="878" customFormat="1" ht="24">
      <c r="A79" s="882">
        <v>19</v>
      </c>
      <c r="B79" s="3331"/>
      <c r="C79" s="818" t="s">
        <v>652</v>
      </c>
      <c r="D79" s="818" t="s">
        <v>653</v>
      </c>
      <c r="E79" s="895">
        <v>0.5</v>
      </c>
      <c r="F79" s="882">
        <v>80</v>
      </c>
    </row>
    <row r="80" spans="1:6" s="878" customFormat="1" ht="36">
      <c r="A80" s="882">
        <v>20</v>
      </c>
      <c r="B80" s="3331"/>
      <c r="C80" s="818" t="s">
        <v>654</v>
      </c>
      <c r="D80" s="818" t="s">
        <v>655</v>
      </c>
      <c r="E80" s="895">
        <v>0.2</v>
      </c>
      <c r="F80" s="882">
        <v>30</v>
      </c>
    </row>
    <row r="81" spans="1:6" s="878" customFormat="1" ht="36">
      <c r="A81" s="882">
        <v>21</v>
      </c>
      <c r="B81" s="3331"/>
      <c r="C81" s="818" t="s">
        <v>656</v>
      </c>
      <c r="D81" s="818" t="s">
        <v>657</v>
      </c>
      <c r="E81" s="895">
        <v>0.2</v>
      </c>
      <c r="F81" s="882">
        <v>30</v>
      </c>
    </row>
    <row r="82" spans="1:6" s="878" customFormat="1" ht="48">
      <c r="A82" s="882">
        <v>22</v>
      </c>
      <c r="B82" s="3331"/>
      <c r="C82" s="818" t="s">
        <v>658</v>
      </c>
      <c r="D82" s="818" t="s">
        <v>659</v>
      </c>
      <c r="E82" s="895">
        <v>0.2</v>
      </c>
      <c r="F82" s="882">
        <v>30</v>
      </c>
    </row>
    <row r="83" spans="1:6" s="878" customFormat="1" ht="48">
      <c r="A83" s="882">
        <v>23</v>
      </c>
      <c r="B83" s="3331"/>
      <c r="C83" s="818" t="s">
        <v>660</v>
      </c>
      <c r="D83" s="818" t="s">
        <v>661</v>
      </c>
      <c r="E83" s="895">
        <v>0.2</v>
      </c>
      <c r="F83" s="882">
        <v>30</v>
      </c>
    </row>
    <row r="84" spans="1:6" s="878" customFormat="1" ht="36">
      <c r="A84" s="882">
        <v>24</v>
      </c>
      <c r="B84" s="3331"/>
      <c r="C84" s="818" t="s">
        <v>662</v>
      </c>
      <c r="D84" s="818" t="s">
        <v>663</v>
      </c>
      <c r="E84" s="895">
        <v>0.2</v>
      </c>
      <c r="F84" s="882">
        <v>30</v>
      </c>
    </row>
    <row r="85" spans="1:6" s="878" customFormat="1" ht="36">
      <c r="A85" s="882">
        <v>25</v>
      </c>
      <c r="B85" s="3331"/>
      <c r="C85" s="818" t="s">
        <v>664</v>
      </c>
      <c r="D85" s="818" t="s">
        <v>665</v>
      </c>
      <c r="E85" s="895">
        <v>0.5</v>
      </c>
      <c r="F85" s="882">
        <v>80</v>
      </c>
    </row>
    <row r="86" spans="1:6" s="878" customFormat="1" ht="36">
      <c r="A86" s="882">
        <v>26</v>
      </c>
      <c r="B86" s="3331"/>
      <c r="C86" s="818" t="s">
        <v>666</v>
      </c>
      <c r="D86" s="818" t="s">
        <v>667</v>
      </c>
      <c r="E86" s="895">
        <v>0.2</v>
      </c>
      <c r="F86" s="882">
        <v>30</v>
      </c>
    </row>
    <row r="87" spans="1:6" s="878" customFormat="1" ht="36">
      <c r="A87" s="882">
        <v>27</v>
      </c>
      <c r="B87" s="3331"/>
      <c r="C87" s="818" t="s">
        <v>668</v>
      </c>
      <c r="D87" s="818" t="s">
        <v>669</v>
      </c>
      <c r="E87" s="895">
        <v>0.2</v>
      </c>
      <c r="F87" s="882">
        <v>30</v>
      </c>
    </row>
    <row r="88" spans="1:6" s="878" customFormat="1" ht="36">
      <c r="A88" s="882">
        <v>28</v>
      </c>
      <c r="B88" s="3331"/>
      <c r="C88" s="818" t="s">
        <v>670</v>
      </c>
      <c r="D88" s="818" t="s">
        <v>671</v>
      </c>
      <c r="E88" s="895">
        <v>0.2</v>
      </c>
      <c r="F88" s="882">
        <v>30</v>
      </c>
    </row>
    <row r="89" spans="1:6" s="878" customFormat="1" ht="24">
      <c r="A89" s="882">
        <v>29</v>
      </c>
      <c r="B89" s="3331"/>
      <c r="C89" s="818" t="s">
        <v>672</v>
      </c>
      <c r="D89" s="818" t="s">
        <v>673</v>
      </c>
      <c r="E89" s="895">
        <v>0.2</v>
      </c>
      <c r="F89" s="882">
        <v>30</v>
      </c>
    </row>
    <row r="90" spans="1:6" s="878" customFormat="1" ht="24">
      <c r="A90" s="882">
        <v>30</v>
      </c>
      <c r="B90" s="3331"/>
      <c r="C90" s="818" t="s">
        <v>674</v>
      </c>
      <c r="D90" s="818" t="s">
        <v>675</v>
      </c>
      <c r="E90" s="895">
        <v>0.2</v>
      </c>
      <c r="F90" s="882">
        <v>30</v>
      </c>
    </row>
    <row r="91" spans="1:6" s="878" customFormat="1" ht="36">
      <c r="A91" s="882">
        <v>31</v>
      </c>
      <c r="B91" s="3331"/>
      <c r="C91" s="818" t="s">
        <v>676</v>
      </c>
      <c r="D91" s="818" t="s">
        <v>677</v>
      </c>
      <c r="E91" s="895">
        <v>0.2</v>
      </c>
      <c r="F91" s="882">
        <v>30</v>
      </c>
    </row>
    <row r="92" spans="1:6" s="878" customFormat="1" ht="24">
      <c r="A92" s="882">
        <v>32</v>
      </c>
      <c r="B92" s="3331" t="s">
        <v>678</v>
      </c>
      <c r="C92" s="882" t="s">
        <v>679</v>
      </c>
      <c r="D92" s="818" t="s">
        <v>680</v>
      </c>
      <c r="E92" s="895">
        <v>0.2</v>
      </c>
      <c r="F92" s="882">
        <v>30</v>
      </c>
    </row>
    <row r="93" spans="1:6" s="878" customFormat="1" ht="36">
      <c r="A93" s="882">
        <v>33</v>
      </c>
      <c r="B93" s="3331"/>
      <c r="C93" s="882" t="s">
        <v>681</v>
      </c>
      <c r="D93" s="818" t="s">
        <v>682</v>
      </c>
      <c r="E93" s="895">
        <v>0.2</v>
      </c>
      <c r="F93" s="882">
        <v>30</v>
      </c>
    </row>
    <row r="94" spans="1:6" s="878" customFormat="1" ht="48">
      <c r="A94" s="882">
        <v>34</v>
      </c>
      <c r="B94" s="3331"/>
      <c r="C94" s="882" t="s">
        <v>683</v>
      </c>
      <c r="D94" s="818" t="s">
        <v>684</v>
      </c>
      <c r="E94" s="895">
        <v>0.2</v>
      </c>
      <c r="F94" s="882">
        <v>30</v>
      </c>
    </row>
    <row r="95" spans="1:6" s="878" customFormat="1" ht="36">
      <c r="A95" s="882">
        <v>35</v>
      </c>
      <c r="B95" s="3331"/>
      <c r="C95" s="882" t="s">
        <v>685</v>
      </c>
      <c r="D95" s="818" t="s">
        <v>686</v>
      </c>
      <c r="E95" s="895">
        <v>0.2</v>
      </c>
      <c r="F95" s="882">
        <v>30</v>
      </c>
    </row>
    <row r="96" spans="1:6" s="878" customFormat="1" ht="48">
      <c r="A96" s="882">
        <v>36</v>
      </c>
      <c r="B96" s="3331"/>
      <c r="C96" s="818" t="s">
        <v>687</v>
      </c>
      <c r="D96" s="818" t="s">
        <v>688</v>
      </c>
      <c r="E96" s="895">
        <v>0.2</v>
      </c>
      <c r="F96" s="882">
        <v>30</v>
      </c>
    </row>
    <row r="97" spans="1:6" s="878" customFormat="1" ht="36">
      <c r="A97" s="882">
        <v>37</v>
      </c>
      <c r="B97" s="3331"/>
      <c r="C97" s="882" t="s">
        <v>689</v>
      </c>
      <c r="D97" s="818" t="s">
        <v>690</v>
      </c>
      <c r="E97" s="895">
        <v>0.2</v>
      </c>
      <c r="F97" s="882">
        <v>30</v>
      </c>
    </row>
    <row r="98" spans="1:6" s="878" customFormat="1" ht="36">
      <c r="A98" s="882">
        <v>38</v>
      </c>
      <c r="B98" s="3331"/>
      <c r="C98" s="882" t="s">
        <v>691</v>
      </c>
      <c r="D98" s="818" t="s">
        <v>692</v>
      </c>
      <c r="E98" s="895">
        <v>0.2</v>
      </c>
      <c r="F98" s="882">
        <v>30</v>
      </c>
    </row>
    <row r="99" spans="1:6" s="878" customFormat="1" ht="36">
      <c r="A99" s="882">
        <v>39</v>
      </c>
      <c r="B99" s="3331" t="s">
        <v>693</v>
      </c>
      <c r="C99" s="882" t="s">
        <v>694</v>
      </c>
      <c r="D99" s="818" t="s">
        <v>695</v>
      </c>
      <c r="E99" s="895">
        <v>0.3</v>
      </c>
      <c r="F99" s="882">
        <v>50</v>
      </c>
    </row>
    <row r="100" spans="1:6" s="878" customFormat="1" ht="24">
      <c r="A100" s="882">
        <v>40</v>
      </c>
      <c r="B100" s="3331"/>
      <c r="C100" s="882" t="s">
        <v>696</v>
      </c>
      <c r="D100" s="818" t="s">
        <v>697</v>
      </c>
      <c r="E100" s="895">
        <v>0.2</v>
      </c>
      <c r="F100" s="882">
        <v>30</v>
      </c>
    </row>
    <row r="101" spans="1:6" s="878" customFormat="1" ht="36">
      <c r="A101" s="882">
        <v>41</v>
      </c>
      <c r="B101" s="3331"/>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331" t="s">
        <v>708</v>
      </c>
      <c r="C105" s="882" t="s">
        <v>709</v>
      </c>
      <c r="D105" s="818" t="s">
        <v>710</v>
      </c>
      <c r="E105" s="895">
        <v>0.2</v>
      </c>
      <c r="F105" s="882">
        <v>30</v>
      </c>
    </row>
    <row r="106" spans="1:6" s="878" customFormat="1" ht="36">
      <c r="A106" s="882">
        <v>46</v>
      </c>
      <c r="B106" s="3331"/>
      <c r="C106" s="882" t="s">
        <v>711</v>
      </c>
      <c r="D106" s="818" t="s">
        <v>712</v>
      </c>
      <c r="E106" s="895">
        <v>0.2</v>
      </c>
      <c r="F106" s="882">
        <v>30</v>
      </c>
    </row>
    <row r="107" spans="1:6" s="878" customFormat="1" ht="36">
      <c r="A107" s="882">
        <v>47</v>
      </c>
      <c r="B107" s="3331" t="s">
        <v>713</v>
      </c>
      <c r="C107" s="882" t="s">
        <v>714</v>
      </c>
      <c r="D107" s="818" t="s">
        <v>715</v>
      </c>
      <c r="E107" s="895">
        <v>0.3</v>
      </c>
      <c r="F107" s="882">
        <v>50</v>
      </c>
    </row>
    <row r="108" spans="1:6" s="878" customFormat="1" ht="36">
      <c r="A108" s="882">
        <v>48</v>
      </c>
      <c r="B108" s="3331"/>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331" t="s">
        <v>724</v>
      </c>
      <c r="C111" s="882" t="s">
        <v>725</v>
      </c>
      <c r="D111" s="818" t="s">
        <v>726</v>
      </c>
      <c r="E111" s="895">
        <v>0.2</v>
      </c>
      <c r="F111" s="882">
        <v>30</v>
      </c>
    </row>
    <row r="112" spans="1:6" s="878" customFormat="1" ht="24">
      <c r="A112" s="882">
        <v>52</v>
      </c>
      <c r="B112" s="3331"/>
      <c r="C112" s="882" t="s">
        <v>727</v>
      </c>
      <c r="D112" s="818" t="s">
        <v>728</v>
      </c>
      <c r="E112" s="895">
        <v>0.2</v>
      </c>
      <c r="F112" s="882">
        <v>30</v>
      </c>
    </row>
    <row r="113" spans="1:6" s="878" customFormat="1" ht="24">
      <c r="A113" s="882">
        <v>53</v>
      </c>
      <c r="B113" s="3331"/>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331" t="s">
        <v>737</v>
      </c>
      <c r="C116" s="882" t="s">
        <v>738</v>
      </c>
      <c r="D116" s="818" t="s">
        <v>739</v>
      </c>
      <c r="E116" s="895">
        <v>0.2</v>
      </c>
      <c r="F116" s="882">
        <v>30</v>
      </c>
    </row>
    <row r="117" spans="1:6" ht="36">
      <c r="A117" s="882">
        <v>57</v>
      </c>
      <c r="B117" s="3331"/>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1617</v>
      </c>
      <c r="B1" s="1961"/>
      <c r="C1" s="1961"/>
      <c r="D1" s="1961"/>
      <c r="E1" s="1961"/>
    </row>
    <row r="2" spans="1:5" ht="78" customHeight="1">
      <c r="A2" s="30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25"/>
      <c r="C2" s="3025"/>
      <c r="D2" s="3025"/>
      <c r="E2" s="3025"/>
    </row>
    <row r="3" spans="1:5" ht="18">
      <c r="A3" s="3026" t="str">
        <f>IF(项目基本情况!B9="房地产市场价值","估价结果一览表（市场价值不需“结果表-1”）","估价结果一览表")</f>
        <v>估价结果一览表</v>
      </c>
      <c r="B3" s="3026"/>
      <c r="C3" s="3026"/>
      <c r="D3" s="3026"/>
      <c r="E3" s="3026"/>
    </row>
    <row r="4" spans="1:5" ht="19.5" thickBot="1">
      <c r="A4" s="1963"/>
      <c r="B4" s="3024" t="s">
        <v>1626</v>
      </c>
      <c r="C4" s="3024"/>
      <c r="D4" s="3024"/>
      <c r="E4" s="1963"/>
    </row>
    <row r="5" spans="1:5" ht="16.5" thickTop="1">
      <c r="A5" s="1961"/>
      <c r="B5" s="3022" t="s">
        <v>1618</v>
      </c>
      <c r="C5" s="1964" t="s">
        <v>1619</v>
      </c>
      <c r="D5" s="1043">
        <f ca="1">结果表!H101</f>
        <v>50596</v>
      </c>
      <c r="E5" s="1961"/>
    </row>
    <row r="6" spans="1:5" ht="15.75">
      <c r="A6" s="1961"/>
      <c r="B6" s="3022"/>
      <c r="C6" s="1964" t="s">
        <v>1620</v>
      </c>
      <c r="D6" s="1043" t="str">
        <f ca="1">NUMBERSTRING(INT(D5*10000),2)&amp;"元整"</f>
        <v>伍亿零伍佰玖拾陆万元整</v>
      </c>
      <c r="E6" s="1961"/>
    </row>
    <row r="7" spans="1:5" ht="15.75">
      <c r="A7" s="1961"/>
      <c r="B7" s="3027"/>
      <c r="C7" s="1965" t="s">
        <v>1621</v>
      </c>
      <c r="D7" s="1044">
        <f ca="1">结果表!H102</f>
        <v>14735</v>
      </c>
      <c r="E7" s="1961"/>
    </row>
    <row r="8" spans="1:5" ht="15.75">
      <c r="A8" s="1961"/>
      <c r="B8" s="3028" t="str">
        <f>结果表!E103</f>
        <v>2.估价师知悉的法定优先受偿款</v>
      </c>
      <c r="C8" s="1966" t="s">
        <v>1622</v>
      </c>
      <c r="D8" s="1044">
        <f>结果表!H103</f>
        <v>0</v>
      </c>
      <c r="E8" s="1961"/>
    </row>
    <row r="9" spans="1:5" ht="15.75">
      <c r="A9" s="1961"/>
      <c r="B9" s="3030"/>
      <c r="C9" s="1964" t="s">
        <v>1620</v>
      </c>
      <c r="D9" s="1043" t="str">
        <f>NUMBERSTRING(INT(D8*10000),2)&amp;"元整"</f>
        <v>零元整</v>
      </c>
      <c r="E9" s="1961"/>
    </row>
    <row r="10" spans="1:5" ht="15">
      <c r="A10" s="1961"/>
      <c r="B10" s="1967" t="s">
        <v>1625</v>
      </c>
      <c r="C10" s="1968" t="s">
        <v>1623</v>
      </c>
      <c r="D10" s="1045">
        <f>结果表!H104</f>
        <v>0</v>
      </c>
      <c r="E10" s="1961"/>
    </row>
    <row r="11" spans="1:5" ht="15">
      <c r="A11" s="1961"/>
      <c r="B11" s="1967" t="s">
        <v>1627</v>
      </c>
      <c r="C11" s="1968" t="s">
        <v>1628</v>
      </c>
      <c r="D11" s="1045">
        <f>结果表!H105</f>
        <v>0</v>
      </c>
      <c r="E11" s="1961"/>
    </row>
    <row r="12" spans="1:5" ht="15">
      <c r="A12" s="1961"/>
      <c r="B12" s="1967" t="s">
        <v>1629</v>
      </c>
      <c r="C12" s="1968" t="s">
        <v>1628</v>
      </c>
      <c r="D12" s="1045">
        <f>结果表!H106</f>
        <v>0</v>
      </c>
      <c r="E12" s="1961"/>
    </row>
    <row r="13" spans="1:5" ht="15.75">
      <c r="A13" s="1961"/>
      <c r="B13" s="3021" t="str">
        <f>结果表!E107</f>
        <v>3.房地产抵押价值</v>
      </c>
      <c r="C13" s="1969" t="s">
        <v>1619</v>
      </c>
      <c r="D13" s="1046">
        <f ca="1">结果表!H107</f>
        <v>50596</v>
      </c>
      <c r="E13" s="1961"/>
    </row>
    <row r="14" spans="1:5" ht="15.75">
      <c r="A14" s="1961"/>
      <c r="B14" s="3022"/>
      <c r="C14" s="1964" t="s">
        <v>1620</v>
      </c>
      <c r="D14" s="1043" t="str">
        <f ca="1">NUMBERSTRING(INT(D13*10000),2)&amp;"元整"</f>
        <v>伍亿零伍佰玖拾陆万元整</v>
      </c>
      <c r="E14" s="1961"/>
    </row>
    <row r="15" spans="1:5" ht="15">
      <c r="A15" s="1961"/>
      <c r="B15" s="3027"/>
      <c r="C15" s="1965" t="s">
        <v>1630</v>
      </c>
      <c r="D15" s="1055">
        <f ca="1">结果表!H108</f>
        <v>14735</v>
      </c>
      <c r="E15" s="1961"/>
    </row>
    <row r="16" spans="1:5" ht="15">
      <c r="A16" s="1961"/>
      <c r="B16" s="3028" t="str">
        <f>结果表!E109</f>
        <v>——</v>
      </c>
      <c r="C16" s="1969" t="s">
        <v>1631</v>
      </c>
      <c r="D16" s="1970" t="str">
        <f>结果表!H109</f>
        <v>——</v>
      </c>
      <c r="E16" s="1961"/>
    </row>
    <row r="17" spans="1:5" ht="15.75">
      <c r="A17" s="1961"/>
      <c r="B17" s="3029"/>
      <c r="C17" s="1964" t="s">
        <v>1632</v>
      </c>
      <c r="D17" s="1043" t="e">
        <f>NUMBERSTRING(INT(D16*10000),2)&amp;"元整"</f>
        <v>#VALUE!</v>
      </c>
      <c r="E17" s="1961"/>
    </row>
    <row r="18" spans="1:5" ht="15">
      <c r="A18" s="1961"/>
      <c r="B18" s="3030"/>
      <c r="C18" s="1965" t="s">
        <v>1621</v>
      </c>
      <c r="D18" s="1055" t="str">
        <f>结果表!H110</f>
        <v>——</v>
      </c>
      <c r="E18" s="1961"/>
    </row>
    <row r="19" spans="1:5" ht="15.75">
      <c r="A19" s="1961"/>
      <c r="B19" s="3021" t="str">
        <f>结果表!E111</f>
        <v>——</v>
      </c>
      <c r="C19" s="1969" t="s">
        <v>1619</v>
      </c>
      <c r="D19" s="1044" t="str">
        <f>结果表!H111</f>
        <v>——</v>
      </c>
      <c r="E19" s="1961"/>
    </row>
    <row r="20" spans="1:5" ht="15.75">
      <c r="A20" s="1961"/>
      <c r="B20" s="3022"/>
      <c r="C20" s="1964" t="s">
        <v>1632</v>
      </c>
      <c r="D20" s="1043" t="e">
        <f>NUMBERSTRING(INT(D19*10000),2)&amp;"元整"</f>
        <v>#VALUE!</v>
      </c>
      <c r="E20" s="1961"/>
    </row>
    <row r="21" spans="1:5" ht="15.75" thickBot="1">
      <c r="A21" s="1961"/>
      <c r="B21" s="3023"/>
      <c r="C21" s="1971" t="s">
        <v>1630</v>
      </c>
      <c r="D21" s="1056" t="str">
        <f>结果表!H112</f>
        <v>——</v>
      </c>
      <c r="E21" s="1961"/>
    </row>
    <row r="22" spans="1:5" ht="15" thickTop="1">
      <c r="A22" s="1961"/>
      <c r="B22" s="1972" t="s">
        <v>1633</v>
      </c>
      <c r="C22" s="1961"/>
      <c r="D22" s="1961"/>
      <c r="E22" s="1961"/>
    </row>
    <row r="23" spans="1:5">
      <c r="A23" s="1961"/>
      <c r="B23" s="1961"/>
      <c r="C23" s="1961"/>
      <c r="D23" s="1961"/>
      <c r="E23" s="1961"/>
    </row>
    <row r="24" spans="1:5" ht="18.75">
      <c r="A24" s="1973"/>
      <c r="B24" s="1974" t="s">
        <v>1624</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J53" sqref="J53"/>
    </sheetView>
  </sheetViews>
  <sheetFormatPr defaultColWidth="9"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7" t="s">
        <v>3005</v>
      </c>
    </row>
    <row r="2" spans="1:5" ht="15.75">
      <c r="A2" s="2916" t="s">
        <v>2997</v>
      </c>
      <c r="B2" s="2917" t="e">
        <f ca="1">SUMIF(B6:B13,"&lt;&gt;#ref!",B6:B13)</f>
        <v>#DIV/0!</v>
      </c>
      <c r="C2" s="2916" t="s">
        <v>2998</v>
      </c>
      <c r="D2" s="2916" t="s">
        <v>2999</v>
      </c>
      <c r="E2" s="2917">
        <f ca="1">SUMIF(E6:E13,"&lt;&gt;#ref!",E6:E13)</f>
        <v>0</v>
      </c>
    </row>
    <row r="3" spans="1:5" ht="15.75">
      <c r="A3" s="2916" t="s">
        <v>3000</v>
      </c>
      <c r="B3" s="2917" t="e">
        <f ca="1">ROUND(B2*10000/E2,0)</f>
        <v>#DIV/0!</v>
      </c>
      <c r="C3" s="2916" t="s">
        <v>3006</v>
      </c>
      <c r="D3" s="2918"/>
      <c r="E3" s="2918"/>
    </row>
    <row r="4" spans="1:5" ht="15.75">
      <c r="A4" s="2919"/>
      <c r="B4" s="2918"/>
      <c r="C4" s="2918"/>
      <c r="D4" s="2918"/>
      <c r="E4" s="2918"/>
    </row>
    <row r="5" spans="1:5" ht="28.5">
      <c r="A5" s="2920" t="s">
        <v>3001</v>
      </c>
      <c r="B5" s="2916" t="s">
        <v>3002</v>
      </c>
      <c r="C5" s="2917"/>
      <c r="D5" s="2918"/>
      <c r="E5" s="2916" t="s">
        <v>3003</v>
      </c>
    </row>
    <row r="6" spans="1:5" ht="15.75">
      <c r="A6" s="2921" t="s">
        <v>3004</v>
      </c>
      <c r="B6" s="2917" t="e">
        <f ca="1">SUMIF(INDIRECT("'"&amp;A6&amp;"'"&amp;"!A:A"),"总价",INDIRECT("'"&amp;A6&amp;"'"&amp;"!B:B"))</f>
        <v>#DIV/0!</v>
      </c>
      <c r="C6" s="2916" t="s">
        <v>2998</v>
      </c>
      <c r="D6" s="2918"/>
      <c r="E6" s="2581">
        <f ca="1">SUMIF(INDIRECT("'"&amp;A6&amp;"'"&amp;"!C:C"),"建筑面积",INDIRECT("'"&amp;A6&amp;"'"&amp;"!D:D"))</f>
        <v>0</v>
      </c>
    </row>
    <row r="7" spans="1:5" ht="15.75">
      <c r="A7" s="2921"/>
      <c r="B7" s="2917" t="e">
        <f ca="1">SUMIF(INDIRECT("'"&amp;A7&amp;"'"&amp;"!A:A"),"总价",INDIRECT("'"&amp;A7&amp;"'"&amp;"!B:B"))</f>
        <v>#REF!</v>
      </c>
      <c r="C7" s="2916" t="s">
        <v>2998</v>
      </c>
      <c r="D7" s="2918"/>
      <c r="E7" s="2581" t="e">
        <f t="shared" ref="E7:E13" ca="1" si="0">SUMIF(INDIRECT("'"&amp;A7&amp;"'"&amp;"!C:C"),"建筑面积",INDIRECT("'"&amp;A7&amp;"'"&amp;"!D:D"))</f>
        <v>#REF!</v>
      </c>
    </row>
    <row r="8" spans="1:5" ht="15.75">
      <c r="A8" s="2921"/>
      <c r="B8" s="2917" t="e">
        <f t="shared" ref="B8:B13" ca="1" si="1">SUMIF(INDIRECT("'"&amp;A8&amp;"'"&amp;"!A:A"),"总价",INDIRECT("'"&amp;A8&amp;"'"&amp;"!B:B"))</f>
        <v>#REF!</v>
      </c>
      <c r="C8" s="2916" t="s">
        <v>2998</v>
      </c>
      <c r="D8" s="2918"/>
      <c r="E8" s="2581" t="e">
        <f t="shared" ca="1" si="0"/>
        <v>#REF!</v>
      </c>
    </row>
    <row r="9" spans="1:5" ht="15.75">
      <c r="A9" s="2921"/>
      <c r="B9" s="2917" t="e">
        <f t="shared" ca="1" si="1"/>
        <v>#REF!</v>
      </c>
      <c r="C9" s="2916" t="s">
        <v>2998</v>
      </c>
      <c r="D9" s="2918"/>
      <c r="E9" s="2581" t="e">
        <f t="shared" ca="1" si="0"/>
        <v>#REF!</v>
      </c>
    </row>
    <row r="10" spans="1:5" ht="15.75">
      <c r="A10" s="2921"/>
      <c r="B10" s="2917" t="e">
        <f t="shared" ca="1" si="1"/>
        <v>#REF!</v>
      </c>
      <c r="C10" s="2916" t="s">
        <v>2998</v>
      </c>
      <c r="D10" s="2918"/>
      <c r="E10" s="2581" t="e">
        <f t="shared" ca="1" si="0"/>
        <v>#REF!</v>
      </c>
    </row>
    <row r="11" spans="1:5" ht="15.75">
      <c r="A11" s="2921"/>
      <c r="B11" s="2917" t="e">
        <f t="shared" ca="1" si="1"/>
        <v>#REF!</v>
      </c>
      <c r="C11" s="2916" t="s">
        <v>2998</v>
      </c>
      <c r="D11" s="2918"/>
      <c r="E11" s="2581" t="e">
        <f t="shared" ca="1" si="0"/>
        <v>#REF!</v>
      </c>
    </row>
    <row r="12" spans="1:5" ht="15.75">
      <c r="A12" s="2921"/>
      <c r="B12" s="2917" t="e">
        <f t="shared" ca="1" si="1"/>
        <v>#REF!</v>
      </c>
      <c r="C12" s="2916" t="s">
        <v>2998</v>
      </c>
      <c r="D12" s="2918"/>
      <c r="E12" s="2581" t="e">
        <f t="shared" ca="1" si="0"/>
        <v>#REF!</v>
      </c>
    </row>
    <row r="13" spans="1:5" ht="15.75">
      <c r="A13" s="2921"/>
      <c r="B13" s="2917" t="e">
        <f t="shared" ca="1" si="1"/>
        <v>#REF!</v>
      </c>
      <c r="C13" s="2916" t="s">
        <v>2998</v>
      </c>
      <c r="D13" s="2918"/>
      <c r="E13" s="2581"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J53" sqref="J53"/>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337" t="s">
        <v>1146</v>
      </c>
      <c r="C1" s="3337"/>
      <c r="D1" s="3337"/>
      <c r="E1" s="3337"/>
      <c r="F1" s="3337"/>
      <c r="G1" s="3336" t="s">
        <v>1147</v>
      </c>
      <c r="H1" s="3336"/>
      <c r="I1" s="3336"/>
      <c r="J1" s="3336"/>
      <c r="K1" s="3336"/>
      <c r="L1" s="3336"/>
      <c r="N1" s="3336" t="s">
        <v>1148</v>
      </c>
      <c r="O1" s="3336"/>
      <c r="P1" s="3336"/>
      <c r="Q1" s="3336"/>
      <c r="R1" s="1449"/>
      <c r="S1" s="3336" t="s">
        <v>1149</v>
      </c>
      <c r="T1" s="3336"/>
      <c r="U1" s="3336"/>
      <c r="V1" s="3336"/>
      <c r="X1" s="3335" t="s">
        <v>1150</v>
      </c>
      <c r="Y1" s="3336"/>
      <c r="Z1" s="3336"/>
      <c r="AA1" s="3336"/>
      <c r="AB1" s="3336"/>
      <c r="AD1" s="3335" t="s">
        <v>1151</v>
      </c>
      <c r="AE1" s="3336"/>
      <c r="AF1" s="3336"/>
      <c r="AG1" s="3336"/>
      <c r="AH1" s="3336"/>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2" customFormat="1" ht="14.25">
      <c r="A3" s="2941" t="s">
        <v>3040</v>
      </c>
      <c r="B3" s="2933"/>
      <c r="C3" s="2933"/>
      <c r="D3" s="2934"/>
      <c r="E3" s="2934"/>
      <c r="F3" s="2933"/>
      <c r="G3" s="2935"/>
      <c r="H3" s="2936"/>
      <c r="I3" s="2937">
        <f>ROUND(AVERAGE($I4:$I25),2)</f>
        <v>2.13</v>
      </c>
      <c r="J3" s="2937">
        <f>ROUND(AVERAGE($J4:$J25),2)</f>
        <v>1.51</v>
      </c>
      <c r="K3" s="2937">
        <f>ROUND(AVERAGE($K4:$K25),2)</f>
        <v>2.34</v>
      </c>
      <c r="L3" s="2937">
        <f>ROUND(AVERAGE($L4:$L25),2)</f>
        <v>1.42</v>
      </c>
      <c r="N3" s="2935"/>
      <c r="O3" s="2938"/>
      <c r="P3" s="2938"/>
      <c r="Q3" s="2938"/>
      <c r="R3" s="2938"/>
      <c r="S3" s="2935"/>
      <c r="T3" s="2938"/>
      <c r="U3" s="2938"/>
      <c r="V3" s="2938"/>
      <c r="W3" s="2930"/>
      <c r="X3" s="2939">
        <f>ROUND(SUMPRODUCT(PRODUCT(1+N3:N$24)),4)</f>
        <v>1.5099</v>
      </c>
      <c r="Y3" s="2939">
        <f>ROUND(SUMPRODUCT(PRODUCT(1+O3:O$24)),4)</f>
        <v>1.3372999999999999</v>
      </c>
      <c r="Z3" s="2939">
        <f t="shared" ref="Z3:Z22" si="0">Y3</f>
        <v>1.3372999999999999</v>
      </c>
      <c r="AA3" s="2939">
        <f>ROUND(SUMPRODUCT(PRODUCT(1+P3:P$24)),4)</f>
        <v>1.5683</v>
      </c>
      <c r="AB3" s="2939">
        <f>ROUND(SUMPRODUCT(PRODUCT(1+Q3:Q$24)),4)</f>
        <v>1.3255999999999999</v>
      </c>
      <c r="AD3" s="2940">
        <f>ROUND(AVERAGE(I3:I$25)/100,4)</f>
        <v>2.1299999999999999E-2</v>
      </c>
      <c r="AE3" s="2940">
        <f>ROUND(AVERAGE(J3:J$25)/100,4)</f>
        <v>1.5100000000000001E-2</v>
      </c>
      <c r="AF3" s="2940">
        <f t="shared" ref="AF3:AF23" si="1">AE3</f>
        <v>1.5100000000000001E-2</v>
      </c>
      <c r="AG3" s="2940">
        <f>ROUND(AVERAGE(K3:K$25)/100,4)</f>
        <v>2.3400000000000001E-2</v>
      </c>
      <c r="AH3" s="2940">
        <f>ROUND(AVERAGE(L3:L$25)/100,4)</f>
        <v>1.4200000000000001E-2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3053</v>
      </c>
      <c r="B5" s="1793">
        <f t="shared" ref="B5" si="2">B6*(1+N5)</f>
        <v>464.37293017158942</v>
      </c>
      <c r="C5" s="1793">
        <f t="shared" ref="C5" si="3">C6*(1+O5)</f>
        <v>344.73679941385956</v>
      </c>
      <c r="D5" s="1793">
        <f t="shared" ref="D5" si="4">C5</f>
        <v>344.73679941385956</v>
      </c>
      <c r="E5" s="1793">
        <f t="shared" ref="E5" si="5">E6*(1+P5)</f>
        <v>663.2377795103107</v>
      </c>
      <c r="F5" s="1793">
        <f t="shared" ref="F5" si="6">F6*(1+Q5)</f>
        <v>304.75936311478398</v>
      </c>
      <c r="G5" s="2945">
        <v>2019</v>
      </c>
      <c r="H5" s="1732">
        <v>1</v>
      </c>
      <c r="I5" s="2928">
        <v>0</v>
      </c>
      <c r="J5" s="2928">
        <v>0</v>
      </c>
      <c r="K5" s="2928">
        <v>0</v>
      </c>
      <c r="L5" s="2928">
        <v>0</v>
      </c>
      <c r="N5" s="1470">
        <f>I5/100</f>
        <v>0</v>
      </c>
      <c r="O5" s="1470">
        <f t="shared" ref="O5" si="7">J5/100</f>
        <v>0</v>
      </c>
      <c r="P5" s="1470">
        <f t="shared" ref="P5" si="8">K5/100</f>
        <v>0</v>
      </c>
      <c r="Q5" s="1470">
        <f t="shared" ref="Q5" si="9">L5/100</f>
        <v>0</v>
      </c>
      <c r="R5" s="1734"/>
      <c r="S5" s="1735"/>
      <c r="T5" s="1734"/>
      <c r="U5" s="1734"/>
      <c r="V5" s="1734"/>
      <c r="W5" s="2931" t="s">
        <v>3041</v>
      </c>
      <c r="X5" s="1728">
        <f>ROUND(IF(项目基本情况!B8="出让",SUMPRODUCT(PRODUCT(1+N5:N$25)),SUMPRODUCT(PRODUCT(1+N5:N$24))),4)</f>
        <v>1.5099</v>
      </c>
      <c r="Y5" s="1728">
        <f>ROUND(IF(项目基本情况!B8="出让",SUMPRODUCT(PRODUCT(1+O5:O$25)),SUMPRODUCT(PRODUCT(1+O5:O$24))),4)</f>
        <v>1.3372999999999999</v>
      </c>
      <c r="Z5" s="1728">
        <f t="shared" ref="Z5" si="10">Y5</f>
        <v>1.3372999999999999</v>
      </c>
      <c r="AA5" s="1728">
        <f>ROUND(IF(项目基本情况!B8="出让",SUMPRODUCT(PRODUCT(1+P5:P$25)),SUMPRODUCT(PRODUCT(1+P5:P$24))),4)</f>
        <v>1.5683</v>
      </c>
      <c r="AB5" s="1728">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3054</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333">
        <v>2018</v>
      </c>
      <c r="H6" s="1467">
        <v>4</v>
      </c>
      <c r="I6" s="2946">
        <v>0.96</v>
      </c>
      <c r="J6" s="2946">
        <v>1.03</v>
      </c>
      <c r="K6" s="2946">
        <v>0.92</v>
      </c>
      <c r="L6" s="2947">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2"/>
      <c r="X6" s="1790">
        <f>ROUND(SUMPRODUCT(PRODUCT(1+N6:N$24)),4)</f>
        <v>1.5099</v>
      </c>
      <c r="Y6" s="1790">
        <f>ROUND(SUMPRODUCT(PRODUCT(1+O6:O$24)),4)</f>
        <v>1.3372999999999999</v>
      </c>
      <c r="Z6" s="1790">
        <f t="shared" ref="Z6" si="20">Y6</f>
        <v>1.3372999999999999</v>
      </c>
      <c r="AA6" s="1790">
        <f>ROUND(SUMPRODUCT(PRODUCT(1+P6:P$24)),4)</f>
        <v>1.5683</v>
      </c>
      <c r="AB6" s="1790">
        <f>ROUND(SUMPRODUCT(PRODUCT(1+Q6:Q$24)),4)</f>
        <v>1.3255999999999999</v>
      </c>
      <c r="AC6" s="1792"/>
      <c r="AD6" s="1791">
        <f>ROUND(AVERAGE(I6:I$25)/100,4)</f>
        <v>2.24E-2</v>
      </c>
      <c r="AE6" s="1791">
        <f>ROUND(AVERAGE(J6:J$25)/100,4)</f>
        <v>1.5800000000000002E-2</v>
      </c>
      <c r="AF6" s="1791">
        <f t="shared" ref="AF6" si="21">AE6</f>
        <v>1.5800000000000002E-2</v>
      </c>
      <c r="AG6" s="1791">
        <f>ROUND(AVERAGE(K6:K$25)/100,4)</f>
        <v>2.4500000000000001E-2</v>
      </c>
      <c r="AH6" s="1791">
        <f>ROUND(AVERAGE(L6:L$25)/100,4)</f>
        <v>1.49E-2</v>
      </c>
    </row>
    <row r="7" spans="1:34" s="1469" customFormat="1" ht="14.45" customHeight="1">
      <c r="A7" s="1464" t="s">
        <v>3047</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333"/>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2"/>
      <c r="X7" s="1790">
        <f>ROUND(SUMPRODUCT(PRODUCT(1+N7:N$24)),4)</f>
        <v>1.4956</v>
      </c>
      <c r="Y7" s="1790">
        <f>ROUND(SUMPRODUCT(PRODUCT(1+O7:O$24)),4)</f>
        <v>1.3237000000000001</v>
      </c>
      <c r="Z7" s="1790">
        <f t="shared" ref="Z7" si="30">Y7</f>
        <v>1.3237000000000001</v>
      </c>
      <c r="AA7" s="1790">
        <f>ROUND(SUMPRODUCT(PRODUCT(1+P7:P$24)),4)</f>
        <v>1.554</v>
      </c>
      <c r="AB7" s="1790">
        <f>ROUND(SUMPRODUCT(PRODUCT(1+Q7:Q$24)),4)</f>
        <v>1.3087</v>
      </c>
      <c r="AC7" s="1792"/>
      <c r="AD7" s="1791">
        <f>ROUND(AVERAGE(I7:I$25)/100,4)</f>
        <v>2.3099999999999999E-2</v>
      </c>
      <c r="AE7" s="1791">
        <f>ROUND(AVERAGE(J7:J$25)/100,4)</f>
        <v>1.61E-2</v>
      </c>
      <c r="AF7" s="1791">
        <f t="shared" ref="AF7" si="31">AE7</f>
        <v>1.61E-2</v>
      </c>
      <c r="AG7" s="1791">
        <f>ROUND(AVERAGE(K7:K$25)/100,4)</f>
        <v>2.53E-2</v>
      </c>
      <c r="AH7" s="1791">
        <f>ROUND(AVERAGE(L7:L$25)/100,4)</f>
        <v>1.4999999999999999E-2</v>
      </c>
    </row>
    <row r="8" spans="1:34" s="1469" customFormat="1" ht="14.45" customHeight="1">
      <c r="A8" s="1464" t="s">
        <v>3046</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333"/>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2"/>
      <c r="X8" s="1790">
        <f>ROUND(SUMPRODUCT(PRODUCT(1+N8:N$24)),4)</f>
        <v>1.4733000000000001</v>
      </c>
      <c r="Y8" s="1790">
        <f>ROUND(SUMPRODUCT(PRODUCT(1+O8:O$24)),4)</f>
        <v>1.3052999999999999</v>
      </c>
      <c r="Z8" s="1790">
        <f t="shared" ref="Z8" si="41">Y8</f>
        <v>1.3052999999999999</v>
      </c>
      <c r="AA8" s="1790">
        <f>ROUND(SUMPRODUCT(PRODUCT(1+P8:P$24)),4)</f>
        <v>1.5306999999999999</v>
      </c>
      <c r="AB8" s="1790">
        <f>ROUND(SUMPRODUCT(PRODUCT(1+Q8:Q$24)),4)</f>
        <v>1.2863</v>
      </c>
      <c r="AC8" s="1792"/>
      <c r="AD8" s="1791">
        <f>ROUND(AVERAGE(I8:I$25)/100,4)</f>
        <v>2.35E-2</v>
      </c>
      <c r="AE8" s="1791">
        <f>ROUND(AVERAGE(J8:J$25)/100,4)</f>
        <v>1.6199999999999999E-2</v>
      </c>
      <c r="AF8" s="1791">
        <f t="shared" ref="AF8" si="42">AE8</f>
        <v>1.6199999999999999E-2</v>
      </c>
      <c r="AG8" s="1791">
        <f>ROUND(AVERAGE(K8:K$25)/100,4)</f>
        <v>2.5899999999999999E-2</v>
      </c>
      <c r="AH8" s="1791">
        <f>ROUND(AVERAGE(L8:L$25)/100,4)</f>
        <v>1.49E-2</v>
      </c>
    </row>
    <row r="9" spans="1:34" s="1469" customFormat="1" ht="15" customHeight="1" thickBot="1">
      <c r="A9" s="1464" t="s">
        <v>3039</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34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2"/>
      <c r="X9" s="1790">
        <f>ROUND(SUMPRODUCT(PRODUCT(1+N9:N$24)),4)</f>
        <v>1.4517</v>
      </c>
      <c r="Y9" s="1790">
        <f>ROUND(SUMPRODUCT(PRODUCT(1+O9:O$24)),4)</f>
        <v>1.2928999999999999</v>
      </c>
      <c r="Z9" s="1790">
        <f t="shared" ref="Z9" si="55">Y9</f>
        <v>1.2928999999999999</v>
      </c>
      <c r="AA9" s="1790">
        <f>ROUND(SUMPRODUCT(PRODUCT(1+P9:P$24)),4)</f>
        <v>1.5068999999999999</v>
      </c>
      <c r="AB9" s="1790">
        <f>ROUND(SUMPRODUCT(PRODUCT(1+Q9:Q$24)),4)</f>
        <v>1.2557</v>
      </c>
      <c r="AC9" s="1792"/>
      <c r="AD9" s="1791">
        <f>ROUND(AVERAGE(I9:I$25)/100,4)</f>
        <v>2.4E-2</v>
      </c>
      <c r="AE9" s="1791">
        <f>ROUND(AVERAGE(J9:J$25)/100,4)</f>
        <v>1.66E-2</v>
      </c>
      <c r="AF9" s="1791">
        <f t="shared" ref="AF9" si="56">AE9</f>
        <v>1.66E-2</v>
      </c>
      <c r="AG9" s="1791">
        <f>ROUND(AVERAGE(K9:K$25)/100,4)</f>
        <v>2.6499999999999999E-2</v>
      </c>
      <c r="AH9" s="1791">
        <f>ROUND(AVERAGE(L9:L$25)/100,4)</f>
        <v>1.43E-2</v>
      </c>
    </row>
    <row r="10" spans="1:34">
      <c r="A10" s="1464" t="s">
        <v>3036</v>
      </c>
      <c r="B10" s="1472">
        <v>439</v>
      </c>
      <c r="C10" s="1472">
        <v>327</v>
      </c>
      <c r="D10" s="1472">
        <f>C10</f>
        <v>327</v>
      </c>
      <c r="E10" s="1472">
        <v>627</v>
      </c>
      <c r="F10" s="1473">
        <v>283</v>
      </c>
      <c r="G10" s="333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3037</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333"/>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2"/>
      <c r="X11" s="1790">
        <f>ROUND(SUMPRODUCT(PRODUCT(1+N11:N$24)),4)</f>
        <v>1.4034</v>
      </c>
      <c r="Y11" s="1790">
        <f>ROUND(SUMPRODUCT(PRODUCT(1+O11:O$24)),4)</f>
        <v>1.2463</v>
      </c>
      <c r="Z11" s="1790">
        <f t="shared" si="0"/>
        <v>1.2463</v>
      </c>
      <c r="AA11" s="1790">
        <f>ROUND(SUMPRODUCT(PRODUCT(1+P11:P$24)),4)</f>
        <v>1.4577</v>
      </c>
      <c r="AB11" s="1790">
        <f>ROUND(SUMPRODUCT(PRODUCT(1+Q11:Q$24)),4)</f>
        <v>1.2136</v>
      </c>
      <c r="AC11" s="1792"/>
      <c r="AD11" s="1791">
        <f>ROUND(AVERAGE(I11:I$25)/100,4)</f>
        <v>2.4899999999999999E-2</v>
      </c>
      <c r="AE11" s="1791">
        <f>ROUND(AVERAGE(J11:J$25)/100,4)</f>
        <v>1.6400000000000001E-2</v>
      </c>
      <c r="AF11" s="1791">
        <f t="shared" si="1"/>
        <v>1.6400000000000001E-2</v>
      </c>
      <c r="AG11" s="1791">
        <f>ROUND(AVERAGE(K11:K$25)/100,4)</f>
        <v>2.7799999999999998E-2</v>
      </c>
      <c r="AH11" s="1791">
        <f>ROUND(AVERAGE(L11:L$25)/100,4)</f>
        <v>1.3899999999999999E-2</v>
      </c>
    </row>
    <row r="12" spans="1:34" s="1733"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333"/>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0">
        <f>ROUND(SUMPRODUCT(PRODUCT(1+N12:N$24)),4)</f>
        <v>1.3628</v>
      </c>
      <c r="Y12" s="1790">
        <f>ROUND(SUMPRODUCT(PRODUCT(1+O12:O$24)),4)</f>
        <v>1.2205999999999999</v>
      </c>
      <c r="Z12" s="1790">
        <f t="shared" si="0"/>
        <v>1.2205999999999999</v>
      </c>
      <c r="AA12" s="1790">
        <f>ROUND(SUMPRODUCT(PRODUCT(1+P12:P$24)),4)</f>
        <v>1.4118999999999999</v>
      </c>
      <c r="AB12" s="1790">
        <f>ROUND(SUMPRODUCT(PRODUCT(1+Q12:Q$24)),4)</f>
        <v>1.1930000000000001</v>
      </c>
      <c r="AC12" s="1456"/>
      <c r="AD12" s="1791">
        <f>ROUND(AVERAGE(I12:I$25)/100,4)</f>
        <v>2.46E-2</v>
      </c>
      <c r="AE12" s="1791">
        <f>ROUND(AVERAGE(J12:J$25)/100,4)</f>
        <v>1.6E-2</v>
      </c>
      <c r="AF12" s="1791">
        <f t="shared" si="1"/>
        <v>1.6E-2</v>
      </c>
      <c r="AG12" s="1791">
        <f>ROUND(AVERAGE(K12:K$25)/100,4)</f>
        <v>2.75E-2</v>
      </c>
      <c r="AH12" s="1791">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34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2"/>
      <c r="X13" s="1790">
        <f>ROUND(SUMPRODUCT(PRODUCT(1+N13:N$24)),4)</f>
        <v>1.3180000000000001</v>
      </c>
      <c r="Y13" s="1790">
        <f>ROUND(SUMPRODUCT(PRODUCT(1+O13:O$24)),4)</f>
        <v>1.1966000000000001</v>
      </c>
      <c r="Z13" s="1790">
        <f t="shared" si="0"/>
        <v>1.1966000000000001</v>
      </c>
      <c r="AA13" s="1790">
        <f>ROUND(SUMPRODUCT(PRODUCT(1+P13:P$24)),4)</f>
        <v>1.36</v>
      </c>
      <c r="AB13" s="1790">
        <f>ROUND(SUMPRODUCT(PRODUCT(1+Q13:Q$24)),4)</f>
        <v>1.1733</v>
      </c>
      <c r="AC13" s="1792"/>
      <c r="AD13" s="1791">
        <f>ROUND(AVERAGE(I13:I$25)/100,4)</f>
        <v>2.3900000000000001E-2</v>
      </c>
      <c r="AE13" s="1791">
        <f>ROUND(AVERAGE(J13:J$25)/100,4)</f>
        <v>1.5699999999999999E-2</v>
      </c>
      <c r="AF13" s="1791">
        <f t="shared" si="1"/>
        <v>1.5699999999999999E-2</v>
      </c>
      <c r="AG13" s="1791">
        <f>ROUND(AVERAGE(K13:K$25)/100,4)</f>
        <v>2.6599999999999999E-2</v>
      </c>
      <c r="AH13" s="1791">
        <f>ROUND(AVERAGE(L13:L$25)/100,4)</f>
        <v>1.34E-2</v>
      </c>
    </row>
    <row r="14" spans="1:34">
      <c r="A14" s="1464" t="s">
        <v>154</v>
      </c>
      <c r="B14" s="1472">
        <v>392</v>
      </c>
      <c r="C14" s="1472">
        <v>302</v>
      </c>
      <c r="D14" s="1472">
        <f>C14</f>
        <v>302</v>
      </c>
      <c r="E14" s="1472">
        <v>553</v>
      </c>
      <c r="F14" s="1473">
        <v>266</v>
      </c>
      <c r="G14" s="333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333"/>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333"/>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334"/>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332">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333"/>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333"/>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334"/>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332">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333"/>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333"/>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334"/>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29">
        <f>I25/100</f>
        <v>2.9700000000000001E-2</v>
      </c>
      <c r="AE25" s="1729">
        <f>J25/100</f>
        <v>2.3399999999999997E-2</v>
      </c>
      <c r="AF25" s="1729">
        <f>AE25</f>
        <v>2.3399999999999997E-2</v>
      </c>
      <c r="AG25" s="1729">
        <f>K25/100</f>
        <v>3.2799999999999996E-2</v>
      </c>
      <c r="AH25" s="1729">
        <f>L25/100</f>
        <v>1.3600000000000001E-2</v>
      </c>
    </row>
    <row r="26" spans="1:34" ht="13.5" thickBot="1">
      <c r="A26" s="1464" t="s">
        <v>1159</v>
      </c>
      <c r="B26" s="1472">
        <v>299</v>
      </c>
      <c r="C26" s="1472">
        <v>252</v>
      </c>
      <c r="D26" s="1472">
        <f t="shared" si="74"/>
        <v>252</v>
      </c>
      <c r="E26" s="1472">
        <v>409</v>
      </c>
      <c r="F26" s="1473">
        <v>227</v>
      </c>
      <c r="G26" s="333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34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34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34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332">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333"/>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333"/>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334"/>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332">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333">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333">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334">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332">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333">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333">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334">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332">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333">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333">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334">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332">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333">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333">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334">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332">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333">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333">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334">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332">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333">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333">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334">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332">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333">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333">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334">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332">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333">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333">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334">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332">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333">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333">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334">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332">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333">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333">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334">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X1:AB1"/>
    <mergeCell ref="AD1:AH1"/>
    <mergeCell ref="G30:G33"/>
    <mergeCell ref="B1:F1"/>
    <mergeCell ref="G1:L1"/>
    <mergeCell ref="N1:Q1"/>
    <mergeCell ref="S1:V1"/>
    <mergeCell ref="G14:G17"/>
    <mergeCell ref="G18:G21"/>
    <mergeCell ref="G22:G25"/>
    <mergeCell ref="G26:G29"/>
    <mergeCell ref="G6:G9"/>
    <mergeCell ref="G10:G13"/>
    <mergeCell ref="G58:G61"/>
    <mergeCell ref="G62:G65"/>
    <mergeCell ref="G66:G69"/>
    <mergeCell ref="G70:G73"/>
    <mergeCell ref="G34:G37"/>
    <mergeCell ref="G38:G41"/>
    <mergeCell ref="G42:G45"/>
    <mergeCell ref="G46:G49"/>
    <mergeCell ref="G50:G53"/>
    <mergeCell ref="G54:G57"/>
  </mergeCells>
  <phoneticPr fontId="14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J53" sqref="J53"/>
      <selection pane="bottomLeft" activeCell="J53" sqref="J5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3007</v>
      </c>
      <c r="C1" s="3344" t="s">
        <v>3008</v>
      </c>
      <c r="D1" s="3345"/>
      <c r="E1" s="3345"/>
      <c r="F1" s="3345"/>
      <c r="G1" s="3345"/>
      <c r="H1" s="3345"/>
      <c r="I1" s="3345"/>
      <c r="J1" s="3345"/>
      <c r="K1" s="3345"/>
      <c r="L1" s="3345"/>
      <c r="M1" s="3345"/>
      <c r="N1" s="3345"/>
      <c r="O1" s="3345"/>
      <c r="P1" s="3345"/>
      <c r="Q1" s="3345"/>
      <c r="R1" s="3345"/>
      <c r="S1" s="3346"/>
      <c r="T1" s="1207" t="s">
        <v>3009</v>
      </c>
    </row>
    <row r="2" spans="1:45" s="707" customFormat="1">
      <c r="A2" s="1208"/>
      <c r="B2" s="703" t="s">
        <v>3010</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3011</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3012</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3013</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3014</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3015</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3016</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2" t="s">
        <v>3017</v>
      </c>
      <c r="B17" s="2923" t="s">
        <v>3018</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4" t="s">
        <v>3019</v>
      </c>
      <c r="E19" s="1794"/>
      <c r="F19" s="1794"/>
      <c r="G19" s="1794"/>
      <c r="H19" s="1283"/>
      <c r="I19" s="168"/>
      <c r="J19" s="168"/>
      <c r="K19" s="168"/>
      <c r="L19" s="168"/>
      <c r="M19" s="168"/>
      <c r="N19" s="168"/>
      <c r="O19" s="168"/>
      <c r="P19" s="168"/>
      <c r="Q19" s="168"/>
      <c r="R19" s="788"/>
      <c r="S19" s="138"/>
    </row>
    <row r="20" spans="1:45" ht="16.5" thickBot="1">
      <c r="A20" s="715" t="s">
        <v>3020</v>
      </c>
      <c r="B20" s="338" t="e">
        <f ca="1">IF(D20="——",S22,S22-F20)</f>
        <v>#REF!</v>
      </c>
      <c r="C20" s="168"/>
      <c r="D20" s="2925" t="s">
        <v>3021</v>
      </c>
      <c r="E20" s="1795"/>
      <c r="F20" s="1207" t="e">
        <f ca="1">SUMIF(INDIRECT("'"&amp;H20&amp;"'"&amp;"!A:A"),"承租人权益价值",INDIRECT("'"&amp;H20&amp;"'"&amp;"!c:c"))</f>
        <v>#REF!</v>
      </c>
      <c r="G20" s="1207" t="s">
        <v>3022</v>
      </c>
      <c r="H20" s="2926"/>
      <c r="I20" s="168"/>
      <c r="J20" s="168"/>
      <c r="K20" s="168"/>
      <c r="L20" s="168"/>
      <c r="M20" s="168"/>
      <c r="N20" s="168"/>
      <c r="O20" s="168"/>
      <c r="P20" s="168"/>
      <c r="Q20" s="168"/>
      <c r="R20" s="788"/>
      <c r="S20" s="138"/>
    </row>
    <row r="21" spans="1:45" ht="15.75">
      <c r="A21" s="715" t="s">
        <v>3023</v>
      </c>
      <c r="B21" s="338">
        <f>R22</f>
        <v>10000</v>
      </c>
      <c r="C21" s="168"/>
      <c r="D21" s="168"/>
      <c r="E21" s="168"/>
      <c r="F21" s="168"/>
      <c r="G21" s="168"/>
      <c r="H21" s="168"/>
      <c r="I21" s="168"/>
      <c r="J21" s="168"/>
      <c r="K21" s="168"/>
      <c r="L21" s="168"/>
      <c r="M21" s="168"/>
      <c r="N21" s="168"/>
      <c r="O21" s="168"/>
      <c r="P21" s="168"/>
      <c r="Q21" s="168"/>
      <c r="R21" s="788"/>
      <c r="S21" s="138"/>
    </row>
    <row r="22" spans="1:45">
      <c r="A22" s="361" t="s">
        <v>3024</v>
      </c>
      <c r="B22" s="24">
        <f>SUM(B24:B10000)</f>
        <v>100</v>
      </c>
      <c r="C22" s="3202" t="s">
        <v>33</v>
      </c>
      <c r="D22" s="3203"/>
      <c r="E22" s="3203"/>
      <c r="F22" s="3203"/>
      <c r="G22" s="3203"/>
      <c r="H22" s="3203"/>
      <c r="I22" s="3203"/>
      <c r="J22" s="3203"/>
      <c r="K22" s="3203"/>
      <c r="L22" s="3203"/>
      <c r="M22" s="3203"/>
      <c r="N22" s="3203"/>
      <c r="O22" s="3203"/>
      <c r="P22" s="3203"/>
      <c r="Q22" s="3343"/>
      <c r="R22" s="716">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7" t="s">
        <v>3028</v>
      </c>
      <c r="S23" s="11" t="s">
        <v>3029</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3030</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59967</v>
      </c>
      <c r="C2" s="2" t="s">
        <v>133</v>
      </c>
      <c r="D2" s="243"/>
      <c r="E2" s="243"/>
      <c r="F2" s="243"/>
      <c r="G2" s="243"/>
    </row>
    <row r="3" spans="1:7" s="244" customFormat="1" ht="18" customHeight="1" thickBot="1">
      <c r="A3" s="247" t="s">
        <v>85</v>
      </c>
      <c r="B3" s="248">
        <f ca="1">ROUND(B2*10000/'数据-汇总表'!E3,0)</f>
        <v>17464</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20810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810</v>
      </c>
      <c r="D7" s="264"/>
      <c r="E7" s="262"/>
      <c r="F7" s="265">
        <f>'数据-取费表'!B48+'数据-取费表'!B49</f>
        <v>4.0500000000000001E-2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755</v>
      </c>
      <c r="D9" s="1035">
        <f>'数据-汇总表'!E5</f>
        <v>34338.32</v>
      </c>
      <c r="E9" s="269">
        <f>'数据-取费表'!B27</f>
        <v>220</v>
      </c>
      <c r="F9" s="265"/>
      <c r="G9" s="270"/>
    </row>
    <row r="10" spans="1:7" s="258" customFormat="1" ht="13.5" customHeight="1">
      <c r="A10" s="953" t="s">
        <v>801</v>
      </c>
      <c r="B10" s="268" t="s">
        <v>94</v>
      </c>
      <c r="C10" s="269">
        <f>ROUND(D10*E10/10000,0)</f>
        <v>0</v>
      </c>
      <c r="D10" s="1035">
        <f>'数据-汇总表'!E6</f>
        <v>0</v>
      </c>
      <c r="E10" s="269">
        <f>'数据-取费表'!B28</f>
        <v>220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687</v>
      </c>
      <c r="D19" s="1039">
        <f>'数据-汇总表'!E3</f>
        <v>34338.32</v>
      </c>
      <c r="E19" s="255">
        <f>'数据-取费表'!B31</f>
        <v>200</v>
      </c>
      <c r="F19" s="275"/>
      <c r="G19" s="1" t="s">
        <v>1071</v>
      </c>
    </row>
    <row r="20" spans="1:7" s="258" customFormat="1" ht="13.5" customHeight="1">
      <c r="A20" s="951" t="s">
        <v>1054</v>
      </c>
      <c r="B20" s="254" t="s">
        <v>104</v>
      </c>
      <c r="C20" s="276">
        <f>ROUND((C5+C19)*F20,0)</f>
        <v>645</v>
      </c>
      <c r="D20" s="276"/>
      <c r="E20" s="276"/>
      <c r="F20" s="277">
        <f>'数据-取费表'!B37</f>
        <v>0.03</v>
      </c>
      <c r="G20" s="1292" t="s">
        <v>1065</v>
      </c>
    </row>
    <row r="21" spans="1:7" s="258" customFormat="1" ht="13.5" customHeight="1">
      <c r="A21" s="951" t="s">
        <v>1056</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3026</v>
      </c>
      <c r="D22" s="279">
        <f ca="1">C26</f>
        <v>2E-3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2888</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95</v>
      </c>
      <c r="D24" s="282"/>
      <c r="E24" s="282"/>
      <c r="F24" s="283"/>
      <c r="G24" s="284" t="s">
        <v>109</v>
      </c>
    </row>
    <row r="25" spans="1:7" s="258" customFormat="1" ht="24">
      <c r="A25" s="954" t="s">
        <v>793</v>
      </c>
      <c r="B25" s="259" t="s">
        <v>1055</v>
      </c>
      <c r="C25" s="1358">
        <f ca="1">ROUND(IF('数据-取费表'!B22&lt;=1,C20*F22*'数据-取费表'!B23/2,C20*(POWER((1+F22),'数据-取费表'!B23/2)-1)),0)</f>
        <v>43</v>
      </c>
      <c r="D25" s="282"/>
      <c r="E25" s="285"/>
      <c r="F25" s="283"/>
      <c r="G25" s="286" t="s">
        <v>110</v>
      </c>
    </row>
    <row r="26" spans="1:7" s="258" customFormat="1">
      <c r="A26" s="954" t="s">
        <v>795</v>
      </c>
      <c r="B26" s="259" t="s">
        <v>1057</v>
      </c>
      <c r="C26" s="282">
        <f ca="1">ROUND(IF('数据-取费表'!B22&lt;=1,F21*F22*'数据-取费表'!B23/2,F21*(POWER((1+F22),'数据-取费表'!B23/2)-1)),4)</f>
        <v>2E-3</v>
      </c>
      <c r="D26" s="282"/>
      <c r="E26" s="285"/>
      <c r="F26" s="283"/>
      <c r="G26" s="287"/>
    </row>
    <row r="27" spans="1:7" s="258" customFormat="1" ht="24.75">
      <c r="A27" s="951" t="s">
        <v>787</v>
      </c>
      <c r="B27" s="288" t="s">
        <v>112</v>
      </c>
      <c r="C27" s="289">
        <f>C28</f>
        <v>7233</v>
      </c>
      <c r="D27" s="279">
        <f>C29</f>
        <v>9.7999999999999997E-3</v>
      </c>
      <c r="E27" s="280" t="s">
        <v>126</v>
      </c>
      <c r="F27" s="290">
        <f>'数据-取费表'!Q16</f>
        <v>0.35</v>
      </c>
      <c r="G27" s="291" t="s">
        <v>1066</v>
      </c>
    </row>
    <row r="28" spans="1:7" s="258" customFormat="1" ht="13.5" customHeight="1">
      <c r="A28" s="954" t="s">
        <v>794</v>
      </c>
      <c r="B28" s="292" t="s">
        <v>1059</v>
      </c>
      <c r="C28" s="293">
        <f>ROUND((C5+C19+C20)*F27*'数据-取费表'!B21/'数据-取费表'!B20,0)</f>
        <v>7233</v>
      </c>
      <c r="D28" s="279"/>
      <c r="E28" s="280"/>
      <c r="F28" s="290"/>
      <c r="G28" s="291"/>
    </row>
    <row r="29" spans="1:7" s="258" customFormat="1" ht="13.5" customHeight="1">
      <c r="A29" s="954" t="s">
        <v>792</v>
      </c>
      <c r="B29" s="292" t="s">
        <v>1060</v>
      </c>
      <c r="C29" s="282">
        <f>ROUND(C21*F27*'数据-取费表'!B21/'数据-取费表'!B20,4)</f>
        <v>9.7999999999999997E-3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35807</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14966</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13134</v>
      </c>
      <c r="D34" s="261"/>
      <c r="E34" s="264"/>
      <c r="F34" s="301">
        <f>IF('数据-取费表'!B24=0,1,'数据-取费表'!N16)</f>
        <v>0.85</v>
      </c>
      <c r="G34" s="263" t="s">
        <v>116</v>
      </c>
    </row>
    <row r="35" spans="1:7" ht="13.5" customHeight="1">
      <c r="A35" s="954" t="s">
        <v>796</v>
      </c>
      <c r="B35" s="259" t="s">
        <v>60</v>
      </c>
      <c r="C35" s="264">
        <f>ROUND(C34*F35,0)</f>
        <v>394</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657</v>
      </c>
      <c r="D36" s="264"/>
      <c r="E36" s="264"/>
      <c r="F36" s="303">
        <f>'数据-取费表'!B34</f>
        <v>0.05</v>
      </c>
      <c r="G36" s="304" t="s">
        <v>62</v>
      </c>
    </row>
    <row r="37" spans="1:7" s="302" customFormat="1" ht="13.5" customHeight="1">
      <c r="A37" s="954" t="s">
        <v>798</v>
      </c>
      <c r="B37" s="259" t="s">
        <v>118</v>
      </c>
      <c r="C37" s="293">
        <f>ROUND(E37*D37*F34/10000,0)</f>
        <v>584</v>
      </c>
      <c r="D37" s="261">
        <f>'数据-汇总表'!E3</f>
        <v>34338.32</v>
      </c>
      <c r="E37" s="293">
        <f>'数据-取费表'!B35</f>
        <v>200</v>
      </c>
      <c r="F37" s="303"/>
      <c r="G37" s="305" t="s">
        <v>119</v>
      </c>
    </row>
    <row r="38" spans="1:7" ht="13.5" customHeight="1">
      <c r="A38" s="954" t="s">
        <v>799</v>
      </c>
      <c r="B38" s="259" t="s">
        <v>63</v>
      </c>
      <c r="C38" s="264">
        <f>ROUND(C34*F38,0)</f>
        <v>197</v>
      </c>
      <c r="D38" s="264"/>
      <c r="E38" s="264"/>
      <c r="F38" s="303">
        <f>'数据-取费表'!B36</f>
        <v>1.4999999999999999E-2</v>
      </c>
      <c r="G38" s="263" t="s">
        <v>117</v>
      </c>
    </row>
    <row r="39" spans="1:7" s="258" customFormat="1" ht="13.5" customHeight="1">
      <c r="A39" s="951" t="s">
        <v>783</v>
      </c>
      <c r="B39" s="254" t="s">
        <v>104</v>
      </c>
      <c r="C39" s="276">
        <f>ROUND(C33*F20,0)</f>
        <v>449</v>
      </c>
      <c r="D39" s="276"/>
      <c r="E39" s="276"/>
      <c r="F39" s="277"/>
      <c r="G39" s="1292" t="s">
        <v>1068</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1035</v>
      </c>
      <c r="D41" s="279">
        <f ca="1">C44</f>
        <v>2E-3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1005</v>
      </c>
      <c r="D42" s="282"/>
      <c r="E42" s="282"/>
      <c r="F42" s="283"/>
      <c r="G42" s="3207" t="s">
        <v>121</v>
      </c>
    </row>
    <row r="43" spans="1:7" ht="13.5" customHeight="1">
      <c r="A43" s="954" t="s">
        <v>792</v>
      </c>
      <c r="B43" s="259" t="s">
        <v>1061</v>
      </c>
      <c r="C43" s="282">
        <f ca="1">ROUND(IF('数据-取费表'!B22&lt;=1,C39*F22*'数据-取费表'!B21/2,C39*(POWER((1+F22),'数据-取费表'!B21/2)-1)),0)</f>
        <v>30</v>
      </c>
      <c r="D43" s="282"/>
      <c r="E43" s="282"/>
      <c r="F43" s="283"/>
      <c r="G43" s="3208"/>
    </row>
    <row r="44" spans="1:7" ht="13.5" customHeight="1">
      <c r="A44" s="954" t="s">
        <v>793</v>
      </c>
      <c r="B44" s="259" t="s">
        <v>1063</v>
      </c>
      <c r="C44" s="282">
        <f ca="1">ROUND(IF('数据-取费表'!B22&lt;=1,C40*F22*'数据-取费表'!B21/2,C40*(POWER((1+F22),'数据-取费表'!B21/2)-1)),4)</f>
        <v>2E-3</v>
      </c>
      <c r="D44" s="282"/>
      <c r="E44" s="282"/>
      <c r="F44" s="283"/>
      <c r="G44" s="3209"/>
    </row>
    <row r="45" spans="1:7" s="258" customFormat="1" ht="13.5" customHeight="1">
      <c r="A45" s="951" t="s">
        <v>786</v>
      </c>
      <c r="B45" s="288" t="s">
        <v>112</v>
      </c>
      <c r="C45" s="289">
        <f>C46</f>
        <v>5395</v>
      </c>
      <c r="D45" s="279">
        <f>C47</f>
        <v>1.0500000000000001E-2</v>
      </c>
      <c r="E45" s="280" t="s">
        <v>129</v>
      </c>
      <c r="F45" s="290"/>
      <c r="G45" s="291" t="s">
        <v>1069</v>
      </c>
    </row>
    <row r="46" spans="1:7" s="258" customFormat="1" ht="13.5" customHeight="1">
      <c r="A46" s="954" t="s">
        <v>794</v>
      </c>
      <c r="B46" s="292" t="s">
        <v>1062</v>
      </c>
      <c r="C46" s="293">
        <f>ROUND((C33+C39)*F27,0)</f>
        <v>5395</v>
      </c>
      <c r="D46" s="307"/>
      <c r="E46" s="280"/>
      <c r="F46" s="290"/>
      <c r="G46" s="291"/>
    </row>
    <row r="47" spans="1:7" s="258" customFormat="1" ht="13.5" customHeight="1">
      <c r="A47" s="954" t="s">
        <v>792</v>
      </c>
      <c r="B47" s="292" t="s">
        <v>1064</v>
      </c>
      <c r="C47" s="282">
        <f>ROUND(C40*F27,4)</f>
        <v>1.0500000000000001E-2</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24160</v>
      </c>
      <c r="D49" s="276"/>
      <c r="E49" s="276"/>
      <c r="F49" s="308"/>
      <c r="G49" s="278" t="s">
        <v>1070</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24160</v>
      </c>
      <c r="D51" s="276"/>
      <c r="E51" s="276"/>
      <c r="F51" s="308"/>
      <c r="G51" s="278" t="s">
        <v>64</v>
      </c>
    </row>
    <row r="52" spans="1:7" s="252" customFormat="1" ht="16.5" thickBot="1">
      <c r="A52" s="309" t="s">
        <v>65</v>
      </c>
      <c r="B52" s="310"/>
      <c r="C52" s="311">
        <f ca="1">C31+C51</f>
        <v>59967</v>
      </c>
      <c r="D52" s="310"/>
      <c r="E52" s="310"/>
      <c r="F52" s="310"/>
      <c r="G52" s="312"/>
    </row>
    <row r="55" spans="1:7" ht="15">
      <c r="B55" s="314" t="s">
        <v>66</v>
      </c>
      <c r="C55" s="315"/>
    </row>
    <row r="56" spans="1:7">
      <c r="B56" s="317" t="s">
        <v>67</v>
      </c>
      <c r="C56" s="318">
        <f ca="1">ROUND(C51/C52,3)</f>
        <v>0.40300000000000002</v>
      </c>
    </row>
    <row r="57" spans="1:7">
      <c r="B57" s="317" t="s">
        <v>68</v>
      </c>
      <c r="C57" s="319">
        <f ca="1">1-C56</f>
        <v>0.59699999999999998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47" t="s">
        <v>156</v>
      </c>
      <c r="B1" s="3347"/>
      <c r="C1" s="3347"/>
      <c r="D1" s="3347"/>
      <c r="E1" s="3347"/>
      <c r="F1" s="334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48" t="s">
        <v>169</v>
      </c>
      <c r="B2" s="3348"/>
      <c r="C2" s="3348"/>
      <c r="D2" s="3348"/>
      <c r="E2" s="3348"/>
      <c r="F2" s="334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4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5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47" t="s">
        <v>868</v>
      </c>
      <c r="B1" s="334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1296</v>
      </c>
      <c r="C1" s="1696">
        <f>项目基本情况!D3</f>
        <v>43689</v>
      </c>
      <c r="D1" s="1702" t="s">
        <v>1297</v>
      </c>
      <c r="E1" s="1697">
        <f>'数据-取费表'!B22</f>
        <v>3</v>
      </c>
      <c r="F1" s="1702" t="s">
        <v>1298</v>
      </c>
      <c r="G1" s="1698">
        <f ca="1">INDIRECT("d"&amp;$K$1)/100</f>
        <v>4.7500000000000001E-2</v>
      </c>
      <c r="H1" s="1702" t="s">
        <v>1328</v>
      </c>
      <c r="I1" s="1698">
        <f ca="1">F4/100</f>
        <v>1.4999999999999999E-2</v>
      </c>
      <c r="J1" s="1703">
        <f>IF(C1&gt;C13,0,MATCH(C1,C$13:C$100,-1))+IF(SUMIF(C13:C100,C1,D13:D100)=0,13,12)</f>
        <v>13</v>
      </c>
      <c r="K1" s="1703">
        <f ca="1">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1299</v>
      </c>
      <c r="E2" s="1638"/>
      <c r="F2" s="1638" t="s">
        <v>1300</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1301</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1302</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1303</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1304</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1305</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1306</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1307</v>
      </c>
      <c r="C10" s="1666"/>
      <c r="D10" s="1666"/>
      <c r="E10" s="1666"/>
      <c r="F10" s="1666"/>
      <c r="G10" s="1666"/>
      <c r="H10" s="1666"/>
      <c r="I10" s="1640"/>
      <c r="J10" s="1640"/>
      <c r="K10" s="1666"/>
      <c r="L10" s="1667" t="s">
        <v>1308</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1309</v>
      </c>
      <c r="C11" s="1671" t="s">
        <v>1310</v>
      </c>
      <c r="D11" s="1672" t="s">
        <v>1311</v>
      </c>
      <c r="E11" s="1673"/>
      <c r="F11" s="1672" t="s">
        <v>1312</v>
      </c>
      <c r="G11" s="1674"/>
      <c r="H11" s="1673"/>
      <c r="I11" s="1672" t="s">
        <v>1313</v>
      </c>
      <c r="J11" s="1673"/>
      <c r="K11" s="1669"/>
      <c r="L11" s="1670" t="s">
        <v>1309</v>
      </c>
      <c r="M11" s="1671" t="s">
        <v>1310</v>
      </c>
      <c r="N11" s="1670" t="s">
        <v>1314</v>
      </c>
      <c r="O11" s="1672" t="s">
        <v>1315</v>
      </c>
      <c r="P11" s="1674"/>
      <c r="Q11" s="1674"/>
      <c r="R11" s="1674"/>
      <c r="S11" s="1674"/>
      <c r="T11" s="1673"/>
      <c r="U11" s="1672" t="s">
        <v>1316</v>
      </c>
      <c r="V11" s="1674"/>
      <c r="W11" s="1673"/>
      <c r="X11" s="1670" t="s">
        <v>1317</v>
      </c>
      <c r="Y11" s="1670" t="s">
        <v>1318</v>
      </c>
      <c r="Z11" s="1670" t="s">
        <v>1319</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1320</v>
      </c>
      <c r="E12" s="1679" t="s">
        <v>1321</v>
      </c>
      <c r="F12" s="1679" t="s">
        <v>1322</v>
      </c>
      <c r="G12" s="1679" t="s">
        <v>1323</v>
      </c>
      <c r="H12" s="1679" t="s">
        <v>1305</v>
      </c>
      <c r="I12" s="1680" t="s">
        <v>1324</v>
      </c>
      <c r="J12" s="1680" t="s">
        <v>1324</v>
      </c>
      <c r="K12" s="1676"/>
      <c r="L12" s="1677"/>
      <c r="M12" s="1678"/>
      <c r="N12" s="1677"/>
      <c r="O12" s="1680" t="s">
        <v>1325</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1326</v>
      </c>
      <c r="C13" s="1684">
        <v>42301</v>
      </c>
      <c r="D13" s="1685">
        <v>4.3499999999999996</v>
      </c>
      <c r="E13" s="1685">
        <v>4.3499999999999996</v>
      </c>
      <c r="F13" s="1685">
        <v>4.75</v>
      </c>
      <c r="G13" s="1685">
        <v>4.75</v>
      </c>
      <c r="H13" s="1685">
        <v>4.9000000000000004</v>
      </c>
      <c r="I13" s="1685">
        <v>2.75</v>
      </c>
      <c r="J13" s="1685">
        <v>3.25</v>
      </c>
      <c r="K13" s="1682"/>
      <c r="L13" s="1683" t="s">
        <v>1326</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1327</v>
      </c>
      <c r="Y42" s="1689" t="s">
        <v>1327</v>
      </c>
      <c r="Z42" s="1689" t="s">
        <v>1327</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1327</v>
      </c>
      <c r="Y43" s="1689" t="s">
        <v>1327</v>
      </c>
      <c r="Z43" s="1689" t="s">
        <v>1327</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1327</v>
      </c>
      <c r="Y44" s="1689" t="s">
        <v>1327</v>
      </c>
      <c r="Z44" s="1689" t="s">
        <v>1327</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1327</v>
      </c>
      <c r="Y45" s="1689" t="s">
        <v>1327</v>
      </c>
      <c r="Z45" s="1689" t="s">
        <v>1327</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1327</v>
      </c>
      <c r="Y46" s="1689" t="s">
        <v>1327</v>
      </c>
      <c r="Z46" s="1689" t="s">
        <v>1327</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1327</v>
      </c>
      <c r="Y47" s="1689" t="s">
        <v>1327</v>
      </c>
      <c r="Z47" s="1689" t="s">
        <v>1327</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1327</v>
      </c>
      <c r="Y48" s="1689" t="s">
        <v>1327</v>
      </c>
      <c r="Z48" s="1689" t="s">
        <v>1327</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1327</v>
      </c>
      <c r="Y49" s="1689" t="s">
        <v>1327</v>
      </c>
      <c r="Z49" s="1689" t="s">
        <v>1327</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1327</v>
      </c>
      <c r="Y50" s="1689" t="s">
        <v>1327</v>
      </c>
      <c r="Z50" s="1689" t="s">
        <v>1327</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1327</v>
      </c>
      <c r="V51" s="1689" t="s">
        <v>1327</v>
      </c>
      <c r="W51" s="1689" t="s">
        <v>1327</v>
      </c>
      <c r="X51" s="1689" t="s">
        <v>1327</v>
      </c>
      <c r="Y51" s="1689" t="s">
        <v>1327</v>
      </c>
      <c r="Z51" s="1689" t="s">
        <v>1327</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1327</v>
      </c>
      <c r="J55" s="1689" t="s">
        <v>1327</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1368</v>
      </c>
      <c r="E1" s="1778" t="s">
        <v>1372</v>
      </c>
      <c r="F1" s="1779" t="s">
        <v>1376</v>
      </c>
    </row>
    <row r="2" spans="1:13" ht="20.25">
      <c r="A2" s="1785" t="s">
        <v>1369</v>
      </c>
    </row>
    <row r="3" spans="1:13" ht="16.5">
      <c r="A3" s="1786" t="s">
        <v>1370</v>
      </c>
    </row>
    <row r="4" spans="1:13" ht="14.25">
      <c r="A4" s="1776" t="s">
        <v>1371</v>
      </c>
      <c r="B4" s="1781" t="s">
        <v>1373</v>
      </c>
      <c r="C4" s="1782"/>
      <c r="D4" s="1783"/>
      <c r="E4" s="1781" t="s">
        <v>27</v>
      </c>
      <c r="F4" s="1782"/>
      <c r="G4" s="1783"/>
      <c r="H4" s="1781" t="s">
        <v>1374</v>
      </c>
      <c r="I4" s="1782"/>
      <c r="J4" s="1783"/>
      <c r="K4" s="1781" t="s">
        <v>6</v>
      </c>
      <c r="L4" s="1782"/>
      <c r="M4" s="1783"/>
    </row>
    <row r="5" spans="1:13" ht="14.25">
      <c r="A5" s="1777" t="s">
        <v>1375</v>
      </c>
      <c r="B5" s="1776" t="s">
        <v>1377</v>
      </c>
      <c r="C5" s="1776" t="s">
        <v>1378</v>
      </c>
      <c r="D5" s="1776" t="s">
        <v>1379</v>
      </c>
      <c r="E5" s="1776" t="s">
        <v>1377</v>
      </c>
      <c r="F5" s="1776" t="s">
        <v>1378</v>
      </c>
      <c r="G5" s="1776" t="s">
        <v>1379</v>
      </c>
      <c r="H5" s="1776" t="s">
        <v>1377</v>
      </c>
      <c r="I5" s="1776" t="s">
        <v>1378</v>
      </c>
      <c r="J5" s="1776" t="s">
        <v>1379</v>
      </c>
      <c r="K5" s="1776" t="s">
        <v>1377</v>
      </c>
      <c r="L5" s="1776" t="s">
        <v>1378</v>
      </c>
      <c r="M5" s="1776" t="s">
        <v>1379</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8"/>
  <sheetViews>
    <sheetView topLeftCell="E1" workbookViewId="0">
      <selection activeCell="N25" sqref="N25"/>
    </sheetView>
  </sheetViews>
  <sheetFormatPr defaultRowHeight="13.5"/>
  <cols>
    <col min="1" max="1" width="54" style="1637" customWidth="1"/>
    <col min="2" max="2" width="6.25" style="1637" customWidth="1"/>
    <col min="3" max="5" width="13.875" style="1637" customWidth="1"/>
    <col min="6" max="6" width="35.875" style="1637" customWidth="1"/>
    <col min="7" max="7" width="7.875" style="1637" customWidth="1"/>
    <col min="8" max="8" width="9" style="1637" customWidth="1"/>
    <col min="9" max="10" width="10.625" style="1637" customWidth="1"/>
    <col min="11" max="11" width="14.375" style="1637" customWidth="1"/>
    <col min="12" max="12" width="6.25" style="1637" customWidth="1"/>
    <col min="13" max="13" width="34.375" style="1637" customWidth="1"/>
    <col min="14" max="14" width="7.875" style="1637" customWidth="1"/>
    <col min="15" max="256" width="9" style="1637"/>
    <col min="257" max="257" width="54" style="1637" customWidth="1"/>
    <col min="258" max="258" width="6.25" style="1637" customWidth="1"/>
    <col min="259" max="261" width="13.875" style="1637" customWidth="1"/>
    <col min="262" max="262" width="35.875" style="1637" customWidth="1"/>
    <col min="263" max="263" width="7.875" style="1637" customWidth="1"/>
    <col min="264" max="264" width="9" style="1637" customWidth="1"/>
    <col min="265" max="266" width="10.625" style="1637" customWidth="1"/>
    <col min="267" max="267" width="14.375" style="1637" customWidth="1"/>
    <col min="268" max="268" width="6.25" style="1637" customWidth="1"/>
    <col min="269" max="269" width="34.375" style="1637" customWidth="1"/>
    <col min="270" max="270" width="7.875" style="1637" customWidth="1"/>
    <col min="271" max="512" width="9" style="1637"/>
    <col min="513" max="513" width="54" style="1637" customWidth="1"/>
    <col min="514" max="514" width="6.25" style="1637" customWidth="1"/>
    <col min="515" max="517" width="13.875" style="1637" customWidth="1"/>
    <col min="518" max="518" width="35.875" style="1637" customWidth="1"/>
    <col min="519" max="519" width="7.875" style="1637" customWidth="1"/>
    <col min="520" max="520" width="9" style="1637" customWidth="1"/>
    <col min="521" max="522" width="10.625" style="1637" customWidth="1"/>
    <col min="523" max="523" width="14.375" style="1637" customWidth="1"/>
    <col min="524" max="524" width="6.25" style="1637" customWidth="1"/>
    <col min="525" max="525" width="34.375" style="1637" customWidth="1"/>
    <col min="526" max="526" width="7.875" style="1637" customWidth="1"/>
    <col min="527" max="768" width="9" style="1637"/>
    <col min="769" max="769" width="54" style="1637" customWidth="1"/>
    <col min="770" max="770" width="6.25" style="1637" customWidth="1"/>
    <col min="771" max="773" width="13.875" style="1637" customWidth="1"/>
    <col min="774" max="774" width="35.875" style="1637" customWidth="1"/>
    <col min="775" max="775" width="7.875" style="1637" customWidth="1"/>
    <col min="776" max="776" width="9" style="1637" customWidth="1"/>
    <col min="777" max="778" width="10.625" style="1637" customWidth="1"/>
    <col min="779" max="779" width="14.375" style="1637" customWidth="1"/>
    <col min="780" max="780" width="6.25" style="1637" customWidth="1"/>
    <col min="781" max="781" width="34.375" style="1637" customWidth="1"/>
    <col min="782" max="782" width="7.875" style="1637" customWidth="1"/>
    <col min="783" max="1024" width="9" style="1637"/>
    <col min="1025" max="1025" width="54" style="1637" customWidth="1"/>
    <col min="1026" max="1026" width="6.25" style="1637" customWidth="1"/>
    <col min="1027" max="1029" width="13.875" style="1637" customWidth="1"/>
    <col min="1030" max="1030" width="35.875" style="1637" customWidth="1"/>
    <col min="1031" max="1031" width="7.875" style="1637" customWidth="1"/>
    <col min="1032" max="1032" width="9" style="1637" customWidth="1"/>
    <col min="1033" max="1034" width="10.625" style="1637" customWidth="1"/>
    <col min="1035" max="1035" width="14.375" style="1637" customWidth="1"/>
    <col min="1036" max="1036" width="6.25" style="1637" customWidth="1"/>
    <col min="1037" max="1037" width="34.375" style="1637" customWidth="1"/>
    <col min="1038" max="1038" width="7.875" style="1637" customWidth="1"/>
    <col min="1039" max="1280" width="9" style="1637"/>
    <col min="1281" max="1281" width="54" style="1637" customWidth="1"/>
    <col min="1282" max="1282" width="6.25" style="1637" customWidth="1"/>
    <col min="1283" max="1285" width="13.875" style="1637" customWidth="1"/>
    <col min="1286" max="1286" width="35.875" style="1637" customWidth="1"/>
    <col min="1287" max="1287" width="7.875" style="1637" customWidth="1"/>
    <col min="1288" max="1288" width="9" style="1637" customWidth="1"/>
    <col min="1289" max="1290" width="10.625" style="1637" customWidth="1"/>
    <col min="1291" max="1291" width="14.375" style="1637" customWidth="1"/>
    <col min="1292" max="1292" width="6.25" style="1637" customWidth="1"/>
    <col min="1293" max="1293" width="34.375" style="1637" customWidth="1"/>
    <col min="1294" max="1294" width="7.875" style="1637" customWidth="1"/>
    <col min="1295" max="1536" width="9" style="1637"/>
    <col min="1537" max="1537" width="54" style="1637" customWidth="1"/>
    <col min="1538" max="1538" width="6.25" style="1637" customWidth="1"/>
    <col min="1539" max="1541" width="13.875" style="1637" customWidth="1"/>
    <col min="1542" max="1542" width="35.875" style="1637" customWidth="1"/>
    <col min="1543" max="1543" width="7.875" style="1637" customWidth="1"/>
    <col min="1544" max="1544" width="9" style="1637" customWidth="1"/>
    <col min="1545" max="1546" width="10.625" style="1637" customWidth="1"/>
    <col min="1547" max="1547" width="14.375" style="1637" customWidth="1"/>
    <col min="1548" max="1548" width="6.25" style="1637" customWidth="1"/>
    <col min="1549" max="1549" width="34.375" style="1637" customWidth="1"/>
    <col min="1550" max="1550" width="7.875" style="1637" customWidth="1"/>
    <col min="1551" max="1792" width="9" style="1637"/>
    <col min="1793" max="1793" width="54" style="1637" customWidth="1"/>
    <col min="1794" max="1794" width="6.25" style="1637" customWidth="1"/>
    <col min="1795" max="1797" width="13.875" style="1637" customWidth="1"/>
    <col min="1798" max="1798" width="35.875" style="1637" customWidth="1"/>
    <col min="1799" max="1799" width="7.875" style="1637" customWidth="1"/>
    <col min="1800" max="1800" width="9" style="1637" customWidth="1"/>
    <col min="1801" max="1802" width="10.625" style="1637" customWidth="1"/>
    <col min="1803" max="1803" width="14.375" style="1637" customWidth="1"/>
    <col min="1804" max="1804" width="6.25" style="1637" customWidth="1"/>
    <col min="1805" max="1805" width="34.375" style="1637" customWidth="1"/>
    <col min="1806" max="1806" width="7.875" style="1637" customWidth="1"/>
    <col min="1807" max="2048" width="9" style="1637"/>
    <col min="2049" max="2049" width="54" style="1637" customWidth="1"/>
    <col min="2050" max="2050" width="6.25" style="1637" customWidth="1"/>
    <col min="2051" max="2053" width="13.875" style="1637" customWidth="1"/>
    <col min="2054" max="2054" width="35.875" style="1637" customWidth="1"/>
    <col min="2055" max="2055" width="7.875" style="1637" customWidth="1"/>
    <col min="2056" max="2056" width="9" style="1637" customWidth="1"/>
    <col min="2057" max="2058" width="10.625" style="1637" customWidth="1"/>
    <col min="2059" max="2059" width="14.375" style="1637" customWidth="1"/>
    <col min="2060" max="2060" width="6.25" style="1637" customWidth="1"/>
    <col min="2061" max="2061" width="34.375" style="1637" customWidth="1"/>
    <col min="2062" max="2062" width="7.875" style="1637" customWidth="1"/>
    <col min="2063" max="2304" width="9" style="1637"/>
    <col min="2305" max="2305" width="54" style="1637" customWidth="1"/>
    <col min="2306" max="2306" width="6.25" style="1637" customWidth="1"/>
    <col min="2307" max="2309" width="13.875" style="1637" customWidth="1"/>
    <col min="2310" max="2310" width="35.875" style="1637" customWidth="1"/>
    <col min="2311" max="2311" width="7.875" style="1637" customWidth="1"/>
    <col min="2312" max="2312" width="9" style="1637" customWidth="1"/>
    <col min="2313" max="2314" width="10.625" style="1637" customWidth="1"/>
    <col min="2315" max="2315" width="14.375" style="1637" customWidth="1"/>
    <col min="2316" max="2316" width="6.25" style="1637" customWidth="1"/>
    <col min="2317" max="2317" width="34.375" style="1637" customWidth="1"/>
    <col min="2318" max="2318" width="7.875" style="1637" customWidth="1"/>
    <col min="2319" max="2560" width="9" style="1637"/>
    <col min="2561" max="2561" width="54" style="1637" customWidth="1"/>
    <col min="2562" max="2562" width="6.25" style="1637" customWidth="1"/>
    <col min="2563" max="2565" width="13.875" style="1637" customWidth="1"/>
    <col min="2566" max="2566" width="35.875" style="1637" customWidth="1"/>
    <col min="2567" max="2567" width="7.875" style="1637" customWidth="1"/>
    <col min="2568" max="2568" width="9" style="1637" customWidth="1"/>
    <col min="2569" max="2570" width="10.625" style="1637" customWidth="1"/>
    <col min="2571" max="2571" width="14.375" style="1637" customWidth="1"/>
    <col min="2572" max="2572" width="6.25" style="1637" customWidth="1"/>
    <col min="2573" max="2573" width="34.375" style="1637" customWidth="1"/>
    <col min="2574" max="2574" width="7.875" style="1637" customWidth="1"/>
    <col min="2575" max="2816" width="9" style="1637"/>
    <col min="2817" max="2817" width="54" style="1637" customWidth="1"/>
    <col min="2818" max="2818" width="6.25" style="1637" customWidth="1"/>
    <col min="2819" max="2821" width="13.875" style="1637" customWidth="1"/>
    <col min="2822" max="2822" width="35.875" style="1637" customWidth="1"/>
    <col min="2823" max="2823" width="7.875" style="1637" customWidth="1"/>
    <col min="2824" max="2824" width="9" style="1637" customWidth="1"/>
    <col min="2825" max="2826" width="10.625" style="1637" customWidth="1"/>
    <col min="2827" max="2827" width="14.375" style="1637" customWidth="1"/>
    <col min="2828" max="2828" width="6.25" style="1637" customWidth="1"/>
    <col min="2829" max="2829" width="34.375" style="1637" customWidth="1"/>
    <col min="2830" max="2830" width="7.875" style="1637" customWidth="1"/>
    <col min="2831" max="3072" width="9" style="1637"/>
    <col min="3073" max="3073" width="54" style="1637" customWidth="1"/>
    <col min="3074" max="3074" width="6.25" style="1637" customWidth="1"/>
    <col min="3075" max="3077" width="13.875" style="1637" customWidth="1"/>
    <col min="3078" max="3078" width="35.875" style="1637" customWidth="1"/>
    <col min="3079" max="3079" width="7.875" style="1637" customWidth="1"/>
    <col min="3080" max="3080" width="9" style="1637" customWidth="1"/>
    <col min="3081" max="3082" width="10.625" style="1637" customWidth="1"/>
    <col min="3083" max="3083" width="14.375" style="1637" customWidth="1"/>
    <col min="3084" max="3084" width="6.25" style="1637" customWidth="1"/>
    <col min="3085" max="3085" width="34.375" style="1637" customWidth="1"/>
    <col min="3086" max="3086" width="7.875" style="1637" customWidth="1"/>
    <col min="3087" max="3328" width="9" style="1637"/>
    <col min="3329" max="3329" width="54" style="1637" customWidth="1"/>
    <col min="3330" max="3330" width="6.25" style="1637" customWidth="1"/>
    <col min="3331" max="3333" width="13.875" style="1637" customWidth="1"/>
    <col min="3334" max="3334" width="35.875" style="1637" customWidth="1"/>
    <col min="3335" max="3335" width="7.875" style="1637" customWidth="1"/>
    <col min="3336" max="3336" width="9" style="1637" customWidth="1"/>
    <col min="3337" max="3338" width="10.625" style="1637" customWidth="1"/>
    <col min="3339" max="3339" width="14.375" style="1637" customWidth="1"/>
    <col min="3340" max="3340" width="6.25" style="1637" customWidth="1"/>
    <col min="3341" max="3341" width="34.375" style="1637" customWidth="1"/>
    <col min="3342" max="3342" width="7.875" style="1637" customWidth="1"/>
    <col min="3343" max="3584" width="9" style="1637"/>
    <col min="3585" max="3585" width="54" style="1637" customWidth="1"/>
    <col min="3586" max="3586" width="6.25" style="1637" customWidth="1"/>
    <col min="3587" max="3589" width="13.875" style="1637" customWidth="1"/>
    <col min="3590" max="3590" width="35.875" style="1637" customWidth="1"/>
    <col min="3591" max="3591" width="7.875" style="1637" customWidth="1"/>
    <col min="3592" max="3592" width="9" style="1637" customWidth="1"/>
    <col min="3593" max="3594" width="10.625" style="1637" customWidth="1"/>
    <col min="3595" max="3595" width="14.375" style="1637" customWidth="1"/>
    <col min="3596" max="3596" width="6.25" style="1637" customWidth="1"/>
    <col min="3597" max="3597" width="34.375" style="1637" customWidth="1"/>
    <col min="3598" max="3598" width="7.875" style="1637" customWidth="1"/>
    <col min="3599" max="3840" width="9" style="1637"/>
    <col min="3841" max="3841" width="54" style="1637" customWidth="1"/>
    <col min="3842" max="3842" width="6.25" style="1637" customWidth="1"/>
    <col min="3843" max="3845" width="13.875" style="1637" customWidth="1"/>
    <col min="3846" max="3846" width="35.875" style="1637" customWidth="1"/>
    <col min="3847" max="3847" width="7.875" style="1637" customWidth="1"/>
    <col min="3848" max="3848" width="9" style="1637" customWidth="1"/>
    <col min="3849" max="3850" width="10.625" style="1637" customWidth="1"/>
    <col min="3851" max="3851" width="14.375" style="1637" customWidth="1"/>
    <col min="3852" max="3852" width="6.25" style="1637" customWidth="1"/>
    <col min="3853" max="3853" width="34.375" style="1637" customWidth="1"/>
    <col min="3854" max="3854" width="7.875" style="1637" customWidth="1"/>
    <col min="3855" max="4096" width="9" style="1637"/>
    <col min="4097" max="4097" width="54" style="1637" customWidth="1"/>
    <col min="4098" max="4098" width="6.25" style="1637" customWidth="1"/>
    <col min="4099" max="4101" width="13.875" style="1637" customWidth="1"/>
    <col min="4102" max="4102" width="35.875" style="1637" customWidth="1"/>
    <col min="4103" max="4103" width="7.875" style="1637" customWidth="1"/>
    <col min="4104" max="4104" width="9" style="1637" customWidth="1"/>
    <col min="4105" max="4106" width="10.625" style="1637" customWidth="1"/>
    <col min="4107" max="4107" width="14.375" style="1637" customWidth="1"/>
    <col min="4108" max="4108" width="6.25" style="1637" customWidth="1"/>
    <col min="4109" max="4109" width="34.375" style="1637" customWidth="1"/>
    <col min="4110" max="4110" width="7.875" style="1637" customWidth="1"/>
    <col min="4111" max="4352" width="9" style="1637"/>
    <col min="4353" max="4353" width="54" style="1637" customWidth="1"/>
    <col min="4354" max="4354" width="6.25" style="1637" customWidth="1"/>
    <col min="4355" max="4357" width="13.875" style="1637" customWidth="1"/>
    <col min="4358" max="4358" width="35.875" style="1637" customWidth="1"/>
    <col min="4359" max="4359" width="7.875" style="1637" customWidth="1"/>
    <col min="4360" max="4360" width="9" style="1637" customWidth="1"/>
    <col min="4361" max="4362" width="10.625" style="1637" customWidth="1"/>
    <col min="4363" max="4363" width="14.375" style="1637" customWidth="1"/>
    <col min="4364" max="4364" width="6.25" style="1637" customWidth="1"/>
    <col min="4365" max="4365" width="34.375" style="1637" customWidth="1"/>
    <col min="4366" max="4366" width="7.875" style="1637" customWidth="1"/>
    <col min="4367" max="4608" width="9" style="1637"/>
    <col min="4609" max="4609" width="54" style="1637" customWidth="1"/>
    <col min="4610" max="4610" width="6.25" style="1637" customWidth="1"/>
    <col min="4611" max="4613" width="13.875" style="1637" customWidth="1"/>
    <col min="4614" max="4614" width="35.875" style="1637" customWidth="1"/>
    <col min="4615" max="4615" width="7.875" style="1637" customWidth="1"/>
    <col min="4616" max="4616" width="9" style="1637" customWidth="1"/>
    <col min="4617" max="4618" width="10.625" style="1637" customWidth="1"/>
    <col min="4619" max="4619" width="14.375" style="1637" customWidth="1"/>
    <col min="4620" max="4620" width="6.25" style="1637" customWidth="1"/>
    <col min="4621" max="4621" width="34.375" style="1637" customWidth="1"/>
    <col min="4622" max="4622" width="7.875" style="1637" customWidth="1"/>
    <col min="4623" max="4864" width="9" style="1637"/>
    <col min="4865" max="4865" width="54" style="1637" customWidth="1"/>
    <col min="4866" max="4866" width="6.25" style="1637" customWidth="1"/>
    <col min="4867" max="4869" width="13.875" style="1637" customWidth="1"/>
    <col min="4870" max="4870" width="35.875" style="1637" customWidth="1"/>
    <col min="4871" max="4871" width="7.875" style="1637" customWidth="1"/>
    <col min="4872" max="4872" width="9" style="1637" customWidth="1"/>
    <col min="4873" max="4874" width="10.625" style="1637" customWidth="1"/>
    <col min="4875" max="4875" width="14.375" style="1637" customWidth="1"/>
    <col min="4876" max="4876" width="6.25" style="1637" customWidth="1"/>
    <col min="4877" max="4877" width="34.375" style="1637" customWidth="1"/>
    <col min="4878" max="4878" width="7.875" style="1637" customWidth="1"/>
    <col min="4879" max="5120" width="9" style="1637"/>
    <col min="5121" max="5121" width="54" style="1637" customWidth="1"/>
    <col min="5122" max="5122" width="6.25" style="1637" customWidth="1"/>
    <col min="5123" max="5125" width="13.875" style="1637" customWidth="1"/>
    <col min="5126" max="5126" width="35.875" style="1637" customWidth="1"/>
    <col min="5127" max="5127" width="7.875" style="1637" customWidth="1"/>
    <col min="5128" max="5128" width="9" style="1637" customWidth="1"/>
    <col min="5129" max="5130" width="10.625" style="1637" customWidth="1"/>
    <col min="5131" max="5131" width="14.375" style="1637" customWidth="1"/>
    <col min="5132" max="5132" width="6.25" style="1637" customWidth="1"/>
    <col min="5133" max="5133" width="34.375" style="1637" customWidth="1"/>
    <col min="5134" max="5134" width="7.875" style="1637" customWidth="1"/>
    <col min="5135" max="5376" width="9" style="1637"/>
    <col min="5377" max="5377" width="54" style="1637" customWidth="1"/>
    <col min="5378" max="5378" width="6.25" style="1637" customWidth="1"/>
    <col min="5379" max="5381" width="13.875" style="1637" customWidth="1"/>
    <col min="5382" max="5382" width="35.875" style="1637" customWidth="1"/>
    <col min="5383" max="5383" width="7.875" style="1637" customWidth="1"/>
    <col min="5384" max="5384" width="9" style="1637" customWidth="1"/>
    <col min="5385" max="5386" width="10.625" style="1637" customWidth="1"/>
    <col min="5387" max="5387" width="14.375" style="1637" customWidth="1"/>
    <col min="5388" max="5388" width="6.25" style="1637" customWidth="1"/>
    <col min="5389" max="5389" width="34.375" style="1637" customWidth="1"/>
    <col min="5390" max="5390" width="7.875" style="1637" customWidth="1"/>
    <col min="5391" max="5632" width="9" style="1637"/>
    <col min="5633" max="5633" width="54" style="1637" customWidth="1"/>
    <col min="5634" max="5634" width="6.25" style="1637" customWidth="1"/>
    <col min="5635" max="5637" width="13.875" style="1637" customWidth="1"/>
    <col min="5638" max="5638" width="35.875" style="1637" customWidth="1"/>
    <col min="5639" max="5639" width="7.875" style="1637" customWidth="1"/>
    <col min="5640" max="5640" width="9" style="1637" customWidth="1"/>
    <col min="5641" max="5642" width="10.625" style="1637" customWidth="1"/>
    <col min="5643" max="5643" width="14.375" style="1637" customWidth="1"/>
    <col min="5644" max="5644" width="6.25" style="1637" customWidth="1"/>
    <col min="5645" max="5645" width="34.375" style="1637" customWidth="1"/>
    <col min="5646" max="5646" width="7.875" style="1637" customWidth="1"/>
    <col min="5647" max="5888" width="9" style="1637"/>
    <col min="5889" max="5889" width="54" style="1637" customWidth="1"/>
    <col min="5890" max="5890" width="6.25" style="1637" customWidth="1"/>
    <col min="5891" max="5893" width="13.875" style="1637" customWidth="1"/>
    <col min="5894" max="5894" width="35.875" style="1637" customWidth="1"/>
    <col min="5895" max="5895" width="7.875" style="1637" customWidth="1"/>
    <col min="5896" max="5896" width="9" style="1637" customWidth="1"/>
    <col min="5897" max="5898" width="10.625" style="1637" customWidth="1"/>
    <col min="5899" max="5899" width="14.375" style="1637" customWidth="1"/>
    <col min="5900" max="5900" width="6.25" style="1637" customWidth="1"/>
    <col min="5901" max="5901" width="34.375" style="1637" customWidth="1"/>
    <col min="5902" max="5902" width="7.875" style="1637" customWidth="1"/>
    <col min="5903" max="6144" width="9" style="1637"/>
    <col min="6145" max="6145" width="54" style="1637" customWidth="1"/>
    <col min="6146" max="6146" width="6.25" style="1637" customWidth="1"/>
    <col min="6147" max="6149" width="13.875" style="1637" customWidth="1"/>
    <col min="6150" max="6150" width="35.875" style="1637" customWidth="1"/>
    <col min="6151" max="6151" width="7.875" style="1637" customWidth="1"/>
    <col min="6152" max="6152" width="9" style="1637" customWidth="1"/>
    <col min="6153" max="6154" width="10.625" style="1637" customWidth="1"/>
    <col min="6155" max="6155" width="14.375" style="1637" customWidth="1"/>
    <col min="6156" max="6156" width="6.25" style="1637" customWidth="1"/>
    <col min="6157" max="6157" width="34.375" style="1637" customWidth="1"/>
    <col min="6158" max="6158" width="7.875" style="1637" customWidth="1"/>
    <col min="6159" max="6400" width="9" style="1637"/>
    <col min="6401" max="6401" width="54" style="1637" customWidth="1"/>
    <col min="6402" max="6402" width="6.25" style="1637" customWidth="1"/>
    <col min="6403" max="6405" width="13.875" style="1637" customWidth="1"/>
    <col min="6406" max="6406" width="35.875" style="1637" customWidth="1"/>
    <col min="6407" max="6407" width="7.875" style="1637" customWidth="1"/>
    <col min="6408" max="6408" width="9" style="1637" customWidth="1"/>
    <col min="6409" max="6410" width="10.625" style="1637" customWidth="1"/>
    <col min="6411" max="6411" width="14.375" style="1637" customWidth="1"/>
    <col min="6412" max="6412" width="6.25" style="1637" customWidth="1"/>
    <col min="6413" max="6413" width="34.375" style="1637" customWidth="1"/>
    <col min="6414" max="6414" width="7.875" style="1637" customWidth="1"/>
    <col min="6415" max="6656" width="9" style="1637"/>
    <col min="6657" max="6657" width="54" style="1637" customWidth="1"/>
    <col min="6658" max="6658" width="6.25" style="1637" customWidth="1"/>
    <col min="6659" max="6661" width="13.875" style="1637" customWidth="1"/>
    <col min="6662" max="6662" width="35.875" style="1637" customWidth="1"/>
    <col min="6663" max="6663" width="7.875" style="1637" customWidth="1"/>
    <col min="6664" max="6664" width="9" style="1637" customWidth="1"/>
    <col min="6665" max="6666" width="10.625" style="1637" customWidth="1"/>
    <col min="6667" max="6667" width="14.375" style="1637" customWidth="1"/>
    <col min="6668" max="6668" width="6.25" style="1637" customWidth="1"/>
    <col min="6669" max="6669" width="34.375" style="1637" customWidth="1"/>
    <col min="6670" max="6670" width="7.875" style="1637" customWidth="1"/>
    <col min="6671" max="6912" width="9" style="1637"/>
    <col min="6913" max="6913" width="54" style="1637" customWidth="1"/>
    <col min="6914" max="6914" width="6.25" style="1637" customWidth="1"/>
    <col min="6915" max="6917" width="13.875" style="1637" customWidth="1"/>
    <col min="6918" max="6918" width="35.875" style="1637" customWidth="1"/>
    <col min="6919" max="6919" width="7.875" style="1637" customWidth="1"/>
    <col min="6920" max="6920" width="9" style="1637" customWidth="1"/>
    <col min="6921" max="6922" width="10.625" style="1637" customWidth="1"/>
    <col min="6923" max="6923" width="14.375" style="1637" customWidth="1"/>
    <col min="6924" max="6924" width="6.25" style="1637" customWidth="1"/>
    <col min="6925" max="6925" width="34.375" style="1637" customWidth="1"/>
    <col min="6926" max="6926" width="7.875" style="1637" customWidth="1"/>
    <col min="6927" max="7168" width="9" style="1637"/>
    <col min="7169" max="7169" width="54" style="1637" customWidth="1"/>
    <col min="7170" max="7170" width="6.25" style="1637" customWidth="1"/>
    <col min="7171" max="7173" width="13.875" style="1637" customWidth="1"/>
    <col min="7174" max="7174" width="35.875" style="1637" customWidth="1"/>
    <col min="7175" max="7175" width="7.875" style="1637" customWidth="1"/>
    <col min="7176" max="7176" width="9" style="1637" customWidth="1"/>
    <col min="7177" max="7178" width="10.625" style="1637" customWidth="1"/>
    <col min="7179" max="7179" width="14.375" style="1637" customWidth="1"/>
    <col min="7180" max="7180" width="6.25" style="1637" customWidth="1"/>
    <col min="7181" max="7181" width="34.375" style="1637" customWidth="1"/>
    <col min="7182" max="7182" width="7.875" style="1637" customWidth="1"/>
    <col min="7183" max="7424" width="9" style="1637"/>
    <col min="7425" max="7425" width="54" style="1637" customWidth="1"/>
    <col min="7426" max="7426" width="6.25" style="1637" customWidth="1"/>
    <col min="7427" max="7429" width="13.875" style="1637" customWidth="1"/>
    <col min="7430" max="7430" width="35.875" style="1637" customWidth="1"/>
    <col min="7431" max="7431" width="7.875" style="1637" customWidth="1"/>
    <col min="7432" max="7432" width="9" style="1637" customWidth="1"/>
    <col min="7433" max="7434" width="10.625" style="1637" customWidth="1"/>
    <col min="7435" max="7435" width="14.375" style="1637" customWidth="1"/>
    <col min="7436" max="7436" width="6.25" style="1637" customWidth="1"/>
    <col min="7437" max="7437" width="34.375" style="1637" customWidth="1"/>
    <col min="7438" max="7438" width="7.875" style="1637" customWidth="1"/>
    <col min="7439" max="7680" width="9" style="1637"/>
    <col min="7681" max="7681" width="54" style="1637" customWidth="1"/>
    <col min="7682" max="7682" width="6.25" style="1637" customWidth="1"/>
    <col min="7683" max="7685" width="13.875" style="1637" customWidth="1"/>
    <col min="7686" max="7686" width="35.875" style="1637" customWidth="1"/>
    <col min="7687" max="7687" width="7.875" style="1637" customWidth="1"/>
    <col min="7688" max="7688" width="9" style="1637" customWidth="1"/>
    <col min="7689" max="7690" width="10.625" style="1637" customWidth="1"/>
    <col min="7691" max="7691" width="14.375" style="1637" customWidth="1"/>
    <col min="7692" max="7692" width="6.25" style="1637" customWidth="1"/>
    <col min="7693" max="7693" width="34.375" style="1637" customWidth="1"/>
    <col min="7694" max="7694" width="7.875" style="1637" customWidth="1"/>
    <col min="7695" max="7936" width="9" style="1637"/>
    <col min="7937" max="7937" width="54" style="1637" customWidth="1"/>
    <col min="7938" max="7938" width="6.25" style="1637" customWidth="1"/>
    <col min="7939" max="7941" width="13.875" style="1637" customWidth="1"/>
    <col min="7942" max="7942" width="35.875" style="1637" customWidth="1"/>
    <col min="7943" max="7943" width="7.875" style="1637" customWidth="1"/>
    <col min="7944" max="7944" width="9" style="1637" customWidth="1"/>
    <col min="7945" max="7946" width="10.625" style="1637" customWidth="1"/>
    <col min="7947" max="7947" width="14.375" style="1637" customWidth="1"/>
    <col min="7948" max="7948" width="6.25" style="1637" customWidth="1"/>
    <col min="7949" max="7949" width="34.375" style="1637" customWidth="1"/>
    <col min="7950" max="7950" width="7.875" style="1637" customWidth="1"/>
    <col min="7951" max="8192" width="9" style="1637"/>
    <col min="8193" max="8193" width="54" style="1637" customWidth="1"/>
    <col min="8194" max="8194" width="6.25" style="1637" customWidth="1"/>
    <col min="8195" max="8197" width="13.875" style="1637" customWidth="1"/>
    <col min="8198" max="8198" width="35.875" style="1637" customWidth="1"/>
    <col min="8199" max="8199" width="7.875" style="1637" customWidth="1"/>
    <col min="8200" max="8200" width="9" style="1637" customWidth="1"/>
    <col min="8201" max="8202" width="10.625" style="1637" customWidth="1"/>
    <col min="8203" max="8203" width="14.375" style="1637" customWidth="1"/>
    <col min="8204" max="8204" width="6.25" style="1637" customWidth="1"/>
    <col min="8205" max="8205" width="34.375" style="1637" customWidth="1"/>
    <col min="8206" max="8206" width="7.875" style="1637" customWidth="1"/>
    <col min="8207" max="8448" width="9" style="1637"/>
    <col min="8449" max="8449" width="54" style="1637" customWidth="1"/>
    <col min="8450" max="8450" width="6.25" style="1637" customWidth="1"/>
    <col min="8451" max="8453" width="13.875" style="1637" customWidth="1"/>
    <col min="8454" max="8454" width="35.875" style="1637" customWidth="1"/>
    <col min="8455" max="8455" width="7.875" style="1637" customWidth="1"/>
    <col min="8456" max="8456" width="9" style="1637" customWidth="1"/>
    <col min="8457" max="8458" width="10.625" style="1637" customWidth="1"/>
    <col min="8459" max="8459" width="14.375" style="1637" customWidth="1"/>
    <col min="8460" max="8460" width="6.25" style="1637" customWidth="1"/>
    <col min="8461" max="8461" width="34.375" style="1637" customWidth="1"/>
    <col min="8462" max="8462" width="7.875" style="1637" customWidth="1"/>
    <col min="8463" max="8704" width="9" style="1637"/>
    <col min="8705" max="8705" width="54" style="1637" customWidth="1"/>
    <col min="8706" max="8706" width="6.25" style="1637" customWidth="1"/>
    <col min="8707" max="8709" width="13.875" style="1637" customWidth="1"/>
    <col min="8710" max="8710" width="35.875" style="1637" customWidth="1"/>
    <col min="8711" max="8711" width="7.875" style="1637" customWidth="1"/>
    <col min="8712" max="8712" width="9" style="1637" customWidth="1"/>
    <col min="8713" max="8714" width="10.625" style="1637" customWidth="1"/>
    <col min="8715" max="8715" width="14.375" style="1637" customWidth="1"/>
    <col min="8716" max="8716" width="6.25" style="1637" customWidth="1"/>
    <col min="8717" max="8717" width="34.375" style="1637" customWidth="1"/>
    <col min="8718" max="8718" width="7.875" style="1637" customWidth="1"/>
    <col min="8719" max="8960" width="9" style="1637"/>
    <col min="8961" max="8961" width="54" style="1637" customWidth="1"/>
    <col min="8962" max="8962" width="6.25" style="1637" customWidth="1"/>
    <col min="8963" max="8965" width="13.875" style="1637" customWidth="1"/>
    <col min="8966" max="8966" width="35.875" style="1637" customWidth="1"/>
    <col min="8967" max="8967" width="7.875" style="1637" customWidth="1"/>
    <col min="8968" max="8968" width="9" style="1637" customWidth="1"/>
    <col min="8969" max="8970" width="10.625" style="1637" customWidth="1"/>
    <col min="8971" max="8971" width="14.375" style="1637" customWidth="1"/>
    <col min="8972" max="8972" width="6.25" style="1637" customWidth="1"/>
    <col min="8973" max="8973" width="34.375" style="1637" customWidth="1"/>
    <col min="8974" max="8974" width="7.875" style="1637" customWidth="1"/>
    <col min="8975" max="9216" width="9" style="1637"/>
    <col min="9217" max="9217" width="54" style="1637" customWidth="1"/>
    <col min="9218" max="9218" width="6.25" style="1637" customWidth="1"/>
    <col min="9219" max="9221" width="13.875" style="1637" customWidth="1"/>
    <col min="9222" max="9222" width="35.875" style="1637" customWidth="1"/>
    <col min="9223" max="9223" width="7.875" style="1637" customWidth="1"/>
    <col min="9224" max="9224" width="9" style="1637" customWidth="1"/>
    <col min="9225" max="9226" width="10.625" style="1637" customWidth="1"/>
    <col min="9227" max="9227" width="14.375" style="1637" customWidth="1"/>
    <col min="9228" max="9228" width="6.25" style="1637" customWidth="1"/>
    <col min="9229" max="9229" width="34.375" style="1637" customWidth="1"/>
    <col min="9230" max="9230" width="7.875" style="1637" customWidth="1"/>
    <col min="9231" max="9472" width="9" style="1637"/>
    <col min="9473" max="9473" width="54" style="1637" customWidth="1"/>
    <col min="9474" max="9474" width="6.25" style="1637" customWidth="1"/>
    <col min="9475" max="9477" width="13.875" style="1637" customWidth="1"/>
    <col min="9478" max="9478" width="35.875" style="1637" customWidth="1"/>
    <col min="9479" max="9479" width="7.875" style="1637" customWidth="1"/>
    <col min="9480" max="9480" width="9" style="1637" customWidth="1"/>
    <col min="9481" max="9482" width="10.625" style="1637" customWidth="1"/>
    <col min="9483" max="9483" width="14.375" style="1637" customWidth="1"/>
    <col min="9484" max="9484" width="6.25" style="1637" customWidth="1"/>
    <col min="9485" max="9485" width="34.375" style="1637" customWidth="1"/>
    <col min="9486" max="9486" width="7.875" style="1637" customWidth="1"/>
    <col min="9487" max="9728" width="9" style="1637"/>
    <col min="9729" max="9729" width="54" style="1637" customWidth="1"/>
    <col min="9730" max="9730" width="6.25" style="1637" customWidth="1"/>
    <col min="9731" max="9733" width="13.875" style="1637" customWidth="1"/>
    <col min="9734" max="9734" width="35.875" style="1637" customWidth="1"/>
    <col min="9735" max="9735" width="7.875" style="1637" customWidth="1"/>
    <col min="9736" max="9736" width="9" style="1637" customWidth="1"/>
    <col min="9737" max="9738" width="10.625" style="1637" customWidth="1"/>
    <col min="9739" max="9739" width="14.375" style="1637" customWidth="1"/>
    <col min="9740" max="9740" width="6.25" style="1637" customWidth="1"/>
    <col min="9741" max="9741" width="34.375" style="1637" customWidth="1"/>
    <col min="9742" max="9742" width="7.875" style="1637" customWidth="1"/>
    <col min="9743" max="9984" width="9" style="1637"/>
    <col min="9985" max="9985" width="54" style="1637" customWidth="1"/>
    <col min="9986" max="9986" width="6.25" style="1637" customWidth="1"/>
    <col min="9987" max="9989" width="13.875" style="1637" customWidth="1"/>
    <col min="9990" max="9990" width="35.875" style="1637" customWidth="1"/>
    <col min="9991" max="9991" width="7.875" style="1637" customWidth="1"/>
    <col min="9992" max="9992" width="9" style="1637" customWidth="1"/>
    <col min="9993" max="9994" width="10.625" style="1637" customWidth="1"/>
    <col min="9995" max="9995" width="14.375" style="1637" customWidth="1"/>
    <col min="9996" max="9996" width="6.25" style="1637" customWidth="1"/>
    <col min="9997" max="9997" width="34.375" style="1637" customWidth="1"/>
    <col min="9998" max="9998" width="7.875" style="1637" customWidth="1"/>
    <col min="9999" max="10240" width="9" style="1637"/>
    <col min="10241" max="10241" width="54" style="1637" customWidth="1"/>
    <col min="10242" max="10242" width="6.25" style="1637" customWidth="1"/>
    <col min="10243" max="10245" width="13.875" style="1637" customWidth="1"/>
    <col min="10246" max="10246" width="35.875" style="1637" customWidth="1"/>
    <col min="10247" max="10247" width="7.875" style="1637" customWidth="1"/>
    <col min="10248" max="10248" width="9" style="1637" customWidth="1"/>
    <col min="10249" max="10250" width="10.625" style="1637" customWidth="1"/>
    <col min="10251" max="10251" width="14.375" style="1637" customWidth="1"/>
    <col min="10252" max="10252" width="6.25" style="1637" customWidth="1"/>
    <col min="10253" max="10253" width="34.375" style="1637" customWidth="1"/>
    <col min="10254" max="10254" width="7.875" style="1637" customWidth="1"/>
    <col min="10255" max="10496" width="9" style="1637"/>
    <col min="10497" max="10497" width="54" style="1637" customWidth="1"/>
    <col min="10498" max="10498" width="6.25" style="1637" customWidth="1"/>
    <col min="10499" max="10501" width="13.875" style="1637" customWidth="1"/>
    <col min="10502" max="10502" width="35.875" style="1637" customWidth="1"/>
    <col min="10503" max="10503" width="7.875" style="1637" customWidth="1"/>
    <col min="10504" max="10504" width="9" style="1637" customWidth="1"/>
    <col min="10505" max="10506" width="10.625" style="1637" customWidth="1"/>
    <col min="10507" max="10507" width="14.375" style="1637" customWidth="1"/>
    <col min="10508" max="10508" width="6.25" style="1637" customWidth="1"/>
    <col min="10509" max="10509" width="34.375" style="1637" customWidth="1"/>
    <col min="10510" max="10510" width="7.875" style="1637" customWidth="1"/>
    <col min="10511" max="10752" width="9" style="1637"/>
    <col min="10753" max="10753" width="54" style="1637" customWidth="1"/>
    <col min="10754" max="10754" width="6.25" style="1637" customWidth="1"/>
    <col min="10755" max="10757" width="13.875" style="1637" customWidth="1"/>
    <col min="10758" max="10758" width="35.875" style="1637" customWidth="1"/>
    <col min="10759" max="10759" width="7.875" style="1637" customWidth="1"/>
    <col min="10760" max="10760" width="9" style="1637" customWidth="1"/>
    <col min="10761" max="10762" width="10.625" style="1637" customWidth="1"/>
    <col min="10763" max="10763" width="14.375" style="1637" customWidth="1"/>
    <col min="10764" max="10764" width="6.25" style="1637" customWidth="1"/>
    <col min="10765" max="10765" width="34.375" style="1637" customWidth="1"/>
    <col min="10766" max="10766" width="7.875" style="1637" customWidth="1"/>
    <col min="10767" max="11008" width="9" style="1637"/>
    <col min="11009" max="11009" width="54" style="1637" customWidth="1"/>
    <col min="11010" max="11010" width="6.25" style="1637" customWidth="1"/>
    <col min="11011" max="11013" width="13.875" style="1637" customWidth="1"/>
    <col min="11014" max="11014" width="35.875" style="1637" customWidth="1"/>
    <col min="11015" max="11015" width="7.875" style="1637" customWidth="1"/>
    <col min="11016" max="11016" width="9" style="1637" customWidth="1"/>
    <col min="11017" max="11018" width="10.625" style="1637" customWidth="1"/>
    <col min="11019" max="11019" width="14.375" style="1637" customWidth="1"/>
    <col min="11020" max="11020" width="6.25" style="1637" customWidth="1"/>
    <col min="11021" max="11021" width="34.375" style="1637" customWidth="1"/>
    <col min="11022" max="11022" width="7.875" style="1637" customWidth="1"/>
    <col min="11023" max="11264" width="9" style="1637"/>
    <col min="11265" max="11265" width="54" style="1637" customWidth="1"/>
    <col min="11266" max="11266" width="6.25" style="1637" customWidth="1"/>
    <col min="11267" max="11269" width="13.875" style="1637" customWidth="1"/>
    <col min="11270" max="11270" width="35.875" style="1637" customWidth="1"/>
    <col min="11271" max="11271" width="7.875" style="1637" customWidth="1"/>
    <col min="11272" max="11272" width="9" style="1637" customWidth="1"/>
    <col min="11273" max="11274" width="10.625" style="1637" customWidth="1"/>
    <col min="11275" max="11275" width="14.375" style="1637" customWidth="1"/>
    <col min="11276" max="11276" width="6.25" style="1637" customWidth="1"/>
    <col min="11277" max="11277" width="34.375" style="1637" customWidth="1"/>
    <col min="11278" max="11278" width="7.875" style="1637" customWidth="1"/>
    <col min="11279" max="11520" width="9" style="1637"/>
    <col min="11521" max="11521" width="54" style="1637" customWidth="1"/>
    <col min="11522" max="11522" width="6.25" style="1637" customWidth="1"/>
    <col min="11523" max="11525" width="13.875" style="1637" customWidth="1"/>
    <col min="11526" max="11526" width="35.875" style="1637" customWidth="1"/>
    <col min="11527" max="11527" width="7.875" style="1637" customWidth="1"/>
    <col min="11528" max="11528" width="9" style="1637" customWidth="1"/>
    <col min="11529" max="11530" width="10.625" style="1637" customWidth="1"/>
    <col min="11531" max="11531" width="14.375" style="1637" customWidth="1"/>
    <col min="11532" max="11532" width="6.25" style="1637" customWidth="1"/>
    <col min="11533" max="11533" width="34.375" style="1637" customWidth="1"/>
    <col min="11534" max="11534" width="7.875" style="1637" customWidth="1"/>
    <col min="11535" max="11776" width="9" style="1637"/>
    <col min="11777" max="11777" width="54" style="1637" customWidth="1"/>
    <col min="11778" max="11778" width="6.25" style="1637" customWidth="1"/>
    <col min="11779" max="11781" width="13.875" style="1637" customWidth="1"/>
    <col min="11782" max="11782" width="35.875" style="1637" customWidth="1"/>
    <col min="11783" max="11783" width="7.875" style="1637" customWidth="1"/>
    <col min="11784" max="11784" width="9" style="1637" customWidth="1"/>
    <col min="11785" max="11786" width="10.625" style="1637" customWidth="1"/>
    <col min="11787" max="11787" width="14.375" style="1637" customWidth="1"/>
    <col min="11788" max="11788" width="6.25" style="1637" customWidth="1"/>
    <col min="11789" max="11789" width="34.375" style="1637" customWidth="1"/>
    <col min="11790" max="11790" width="7.875" style="1637" customWidth="1"/>
    <col min="11791" max="12032" width="9" style="1637"/>
    <col min="12033" max="12033" width="54" style="1637" customWidth="1"/>
    <col min="12034" max="12034" width="6.25" style="1637" customWidth="1"/>
    <col min="12035" max="12037" width="13.875" style="1637" customWidth="1"/>
    <col min="12038" max="12038" width="35.875" style="1637" customWidth="1"/>
    <col min="12039" max="12039" width="7.875" style="1637" customWidth="1"/>
    <col min="12040" max="12040" width="9" style="1637" customWidth="1"/>
    <col min="12041" max="12042" width="10.625" style="1637" customWidth="1"/>
    <col min="12043" max="12043" width="14.375" style="1637" customWidth="1"/>
    <col min="12044" max="12044" width="6.25" style="1637" customWidth="1"/>
    <col min="12045" max="12045" width="34.375" style="1637" customWidth="1"/>
    <col min="12046" max="12046" width="7.875" style="1637" customWidth="1"/>
    <col min="12047" max="12288" width="9" style="1637"/>
    <col min="12289" max="12289" width="54" style="1637" customWidth="1"/>
    <col min="12290" max="12290" width="6.25" style="1637" customWidth="1"/>
    <col min="12291" max="12293" width="13.875" style="1637" customWidth="1"/>
    <col min="12294" max="12294" width="35.875" style="1637" customWidth="1"/>
    <col min="12295" max="12295" width="7.875" style="1637" customWidth="1"/>
    <col min="12296" max="12296" width="9" style="1637" customWidth="1"/>
    <col min="12297" max="12298" width="10.625" style="1637" customWidth="1"/>
    <col min="12299" max="12299" width="14.375" style="1637" customWidth="1"/>
    <col min="12300" max="12300" width="6.25" style="1637" customWidth="1"/>
    <col min="12301" max="12301" width="34.375" style="1637" customWidth="1"/>
    <col min="12302" max="12302" width="7.875" style="1637" customWidth="1"/>
    <col min="12303" max="12544" width="9" style="1637"/>
    <col min="12545" max="12545" width="54" style="1637" customWidth="1"/>
    <col min="12546" max="12546" width="6.25" style="1637" customWidth="1"/>
    <col min="12547" max="12549" width="13.875" style="1637" customWidth="1"/>
    <col min="12550" max="12550" width="35.875" style="1637" customWidth="1"/>
    <col min="12551" max="12551" width="7.875" style="1637" customWidth="1"/>
    <col min="12552" max="12552" width="9" style="1637" customWidth="1"/>
    <col min="12553" max="12554" width="10.625" style="1637" customWidth="1"/>
    <col min="12555" max="12555" width="14.375" style="1637" customWidth="1"/>
    <col min="12556" max="12556" width="6.25" style="1637" customWidth="1"/>
    <col min="12557" max="12557" width="34.375" style="1637" customWidth="1"/>
    <col min="12558" max="12558" width="7.875" style="1637" customWidth="1"/>
    <col min="12559" max="12800" width="9" style="1637"/>
    <col min="12801" max="12801" width="54" style="1637" customWidth="1"/>
    <col min="12802" max="12802" width="6.25" style="1637" customWidth="1"/>
    <col min="12803" max="12805" width="13.875" style="1637" customWidth="1"/>
    <col min="12806" max="12806" width="35.875" style="1637" customWidth="1"/>
    <col min="12807" max="12807" width="7.875" style="1637" customWidth="1"/>
    <col min="12808" max="12808" width="9" style="1637" customWidth="1"/>
    <col min="12809" max="12810" width="10.625" style="1637" customWidth="1"/>
    <col min="12811" max="12811" width="14.375" style="1637" customWidth="1"/>
    <col min="12812" max="12812" width="6.25" style="1637" customWidth="1"/>
    <col min="12813" max="12813" width="34.375" style="1637" customWidth="1"/>
    <col min="12814" max="12814" width="7.875" style="1637" customWidth="1"/>
    <col min="12815" max="13056" width="9" style="1637"/>
    <col min="13057" max="13057" width="54" style="1637" customWidth="1"/>
    <col min="13058" max="13058" width="6.25" style="1637" customWidth="1"/>
    <col min="13059" max="13061" width="13.875" style="1637" customWidth="1"/>
    <col min="13062" max="13062" width="35.875" style="1637" customWidth="1"/>
    <col min="13063" max="13063" width="7.875" style="1637" customWidth="1"/>
    <col min="13064" max="13064" width="9" style="1637" customWidth="1"/>
    <col min="13065" max="13066" width="10.625" style="1637" customWidth="1"/>
    <col min="13067" max="13067" width="14.375" style="1637" customWidth="1"/>
    <col min="13068" max="13068" width="6.25" style="1637" customWidth="1"/>
    <col min="13069" max="13069" width="34.375" style="1637" customWidth="1"/>
    <col min="13070" max="13070" width="7.875" style="1637" customWidth="1"/>
    <col min="13071" max="13312" width="9" style="1637"/>
    <col min="13313" max="13313" width="54" style="1637" customWidth="1"/>
    <col min="13314" max="13314" width="6.25" style="1637" customWidth="1"/>
    <col min="13315" max="13317" width="13.875" style="1637" customWidth="1"/>
    <col min="13318" max="13318" width="35.875" style="1637" customWidth="1"/>
    <col min="13319" max="13319" width="7.875" style="1637" customWidth="1"/>
    <col min="13320" max="13320" width="9" style="1637" customWidth="1"/>
    <col min="13321" max="13322" width="10.625" style="1637" customWidth="1"/>
    <col min="13323" max="13323" width="14.375" style="1637" customWidth="1"/>
    <col min="13324" max="13324" width="6.25" style="1637" customWidth="1"/>
    <col min="13325" max="13325" width="34.375" style="1637" customWidth="1"/>
    <col min="13326" max="13326" width="7.875" style="1637" customWidth="1"/>
    <col min="13327" max="13568" width="9" style="1637"/>
    <col min="13569" max="13569" width="54" style="1637" customWidth="1"/>
    <col min="13570" max="13570" width="6.25" style="1637" customWidth="1"/>
    <col min="13571" max="13573" width="13.875" style="1637" customWidth="1"/>
    <col min="13574" max="13574" width="35.875" style="1637" customWidth="1"/>
    <col min="13575" max="13575" width="7.875" style="1637" customWidth="1"/>
    <col min="13576" max="13576" width="9" style="1637" customWidth="1"/>
    <col min="13577" max="13578" width="10.625" style="1637" customWidth="1"/>
    <col min="13579" max="13579" width="14.375" style="1637" customWidth="1"/>
    <col min="13580" max="13580" width="6.25" style="1637" customWidth="1"/>
    <col min="13581" max="13581" width="34.375" style="1637" customWidth="1"/>
    <col min="13582" max="13582" width="7.875" style="1637" customWidth="1"/>
    <col min="13583" max="13824" width="9" style="1637"/>
    <col min="13825" max="13825" width="54" style="1637" customWidth="1"/>
    <col min="13826" max="13826" width="6.25" style="1637" customWidth="1"/>
    <col min="13827" max="13829" width="13.875" style="1637" customWidth="1"/>
    <col min="13830" max="13830" width="35.875" style="1637" customWidth="1"/>
    <col min="13831" max="13831" width="7.875" style="1637" customWidth="1"/>
    <col min="13832" max="13832" width="9" style="1637" customWidth="1"/>
    <col min="13833" max="13834" width="10.625" style="1637" customWidth="1"/>
    <col min="13835" max="13835" width="14.375" style="1637" customWidth="1"/>
    <col min="13836" max="13836" width="6.25" style="1637" customWidth="1"/>
    <col min="13837" max="13837" width="34.375" style="1637" customWidth="1"/>
    <col min="13838" max="13838" width="7.875" style="1637" customWidth="1"/>
    <col min="13839" max="14080" width="9" style="1637"/>
    <col min="14081" max="14081" width="54" style="1637" customWidth="1"/>
    <col min="14082" max="14082" width="6.25" style="1637" customWidth="1"/>
    <col min="14083" max="14085" width="13.875" style="1637" customWidth="1"/>
    <col min="14086" max="14086" width="35.875" style="1637" customWidth="1"/>
    <col min="14087" max="14087" width="7.875" style="1637" customWidth="1"/>
    <col min="14088" max="14088" width="9" style="1637" customWidth="1"/>
    <col min="14089" max="14090" width="10.625" style="1637" customWidth="1"/>
    <col min="14091" max="14091" width="14.375" style="1637" customWidth="1"/>
    <col min="14092" max="14092" width="6.25" style="1637" customWidth="1"/>
    <col min="14093" max="14093" width="34.375" style="1637" customWidth="1"/>
    <col min="14094" max="14094" width="7.875" style="1637" customWidth="1"/>
    <col min="14095" max="14336" width="9" style="1637"/>
    <col min="14337" max="14337" width="54" style="1637" customWidth="1"/>
    <col min="14338" max="14338" width="6.25" style="1637" customWidth="1"/>
    <col min="14339" max="14341" width="13.875" style="1637" customWidth="1"/>
    <col min="14342" max="14342" width="35.875" style="1637" customWidth="1"/>
    <col min="14343" max="14343" width="7.875" style="1637" customWidth="1"/>
    <col min="14344" max="14344" width="9" style="1637" customWidth="1"/>
    <col min="14345" max="14346" width="10.625" style="1637" customWidth="1"/>
    <col min="14347" max="14347" width="14.375" style="1637" customWidth="1"/>
    <col min="14348" max="14348" width="6.25" style="1637" customWidth="1"/>
    <col min="14349" max="14349" width="34.375" style="1637" customWidth="1"/>
    <col min="14350" max="14350" width="7.875" style="1637" customWidth="1"/>
    <col min="14351" max="14592" width="9" style="1637"/>
    <col min="14593" max="14593" width="54" style="1637" customWidth="1"/>
    <col min="14594" max="14594" width="6.25" style="1637" customWidth="1"/>
    <col min="14595" max="14597" width="13.875" style="1637" customWidth="1"/>
    <col min="14598" max="14598" width="35.875" style="1637" customWidth="1"/>
    <col min="14599" max="14599" width="7.875" style="1637" customWidth="1"/>
    <col min="14600" max="14600" width="9" style="1637" customWidth="1"/>
    <col min="14601" max="14602" width="10.625" style="1637" customWidth="1"/>
    <col min="14603" max="14603" width="14.375" style="1637" customWidth="1"/>
    <col min="14604" max="14604" width="6.25" style="1637" customWidth="1"/>
    <col min="14605" max="14605" width="34.375" style="1637" customWidth="1"/>
    <col min="14606" max="14606" width="7.875" style="1637" customWidth="1"/>
    <col min="14607" max="14848" width="9" style="1637"/>
    <col min="14849" max="14849" width="54" style="1637" customWidth="1"/>
    <col min="14850" max="14850" width="6.25" style="1637" customWidth="1"/>
    <col min="14851" max="14853" width="13.875" style="1637" customWidth="1"/>
    <col min="14854" max="14854" width="35.875" style="1637" customWidth="1"/>
    <col min="14855" max="14855" width="7.875" style="1637" customWidth="1"/>
    <col min="14856" max="14856" width="9" style="1637" customWidth="1"/>
    <col min="14857" max="14858" width="10.625" style="1637" customWidth="1"/>
    <col min="14859" max="14859" width="14.375" style="1637" customWidth="1"/>
    <col min="14860" max="14860" width="6.25" style="1637" customWidth="1"/>
    <col min="14861" max="14861" width="34.375" style="1637" customWidth="1"/>
    <col min="14862" max="14862" width="7.875" style="1637" customWidth="1"/>
    <col min="14863" max="15104" width="9" style="1637"/>
    <col min="15105" max="15105" width="54" style="1637" customWidth="1"/>
    <col min="15106" max="15106" width="6.25" style="1637" customWidth="1"/>
    <col min="15107" max="15109" width="13.875" style="1637" customWidth="1"/>
    <col min="15110" max="15110" width="35.875" style="1637" customWidth="1"/>
    <col min="15111" max="15111" width="7.875" style="1637" customWidth="1"/>
    <col min="15112" max="15112" width="9" style="1637" customWidth="1"/>
    <col min="15113" max="15114" width="10.625" style="1637" customWidth="1"/>
    <col min="15115" max="15115" width="14.375" style="1637" customWidth="1"/>
    <col min="15116" max="15116" width="6.25" style="1637" customWidth="1"/>
    <col min="15117" max="15117" width="34.375" style="1637" customWidth="1"/>
    <col min="15118" max="15118" width="7.875" style="1637" customWidth="1"/>
    <col min="15119" max="15360" width="9" style="1637"/>
    <col min="15361" max="15361" width="54" style="1637" customWidth="1"/>
    <col min="15362" max="15362" width="6.25" style="1637" customWidth="1"/>
    <col min="15363" max="15365" width="13.875" style="1637" customWidth="1"/>
    <col min="15366" max="15366" width="35.875" style="1637" customWidth="1"/>
    <col min="15367" max="15367" width="7.875" style="1637" customWidth="1"/>
    <col min="15368" max="15368" width="9" style="1637" customWidth="1"/>
    <col min="15369" max="15370" width="10.625" style="1637" customWidth="1"/>
    <col min="15371" max="15371" width="14.375" style="1637" customWidth="1"/>
    <col min="15372" max="15372" width="6.25" style="1637" customWidth="1"/>
    <col min="15373" max="15373" width="34.375" style="1637" customWidth="1"/>
    <col min="15374" max="15374" width="7.875" style="1637" customWidth="1"/>
    <col min="15375" max="15616" width="9" style="1637"/>
    <col min="15617" max="15617" width="54" style="1637" customWidth="1"/>
    <col min="15618" max="15618" width="6.25" style="1637" customWidth="1"/>
    <col min="15619" max="15621" width="13.875" style="1637" customWidth="1"/>
    <col min="15622" max="15622" width="35.875" style="1637" customWidth="1"/>
    <col min="15623" max="15623" width="7.875" style="1637" customWidth="1"/>
    <col min="15624" max="15624" width="9" style="1637" customWidth="1"/>
    <col min="15625" max="15626" width="10.625" style="1637" customWidth="1"/>
    <col min="15627" max="15627" width="14.375" style="1637" customWidth="1"/>
    <col min="15628" max="15628" width="6.25" style="1637" customWidth="1"/>
    <col min="15629" max="15629" width="34.375" style="1637" customWidth="1"/>
    <col min="15630" max="15630" width="7.875" style="1637" customWidth="1"/>
    <col min="15631" max="15872" width="9" style="1637"/>
    <col min="15873" max="15873" width="54" style="1637" customWidth="1"/>
    <col min="15874" max="15874" width="6.25" style="1637" customWidth="1"/>
    <col min="15875" max="15877" width="13.875" style="1637" customWidth="1"/>
    <col min="15878" max="15878" width="35.875" style="1637" customWidth="1"/>
    <col min="15879" max="15879" width="7.875" style="1637" customWidth="1"/>
    <col min="15880" max="15880" width="9" style="1637" customWidth="1"/>
    <col min="15881" max="15882" width="10.625" style="1637" customWidth="1"/>
    <col min="15883" max="15883" width="14.375" style="1637" customWidth="1"/>
    <col min="15884" max="15884" width="6.25" style="1637" customWidth="1"/>
    <col min="15885" max="15885" width="34.375" style="1637" customWidth="1"/>
    <col min="15886" max="15886" width="7.875" style="1637" customWidth="1"/>
    <col min="15887" max="16128" width="9" style="1637"/>
    <col min="16129" max="16129" width="54" style="1637" customWidth="1"/>
    <col min="16130" max="16130" width="6.25" style="1637" customWidth="1"/>
    <col min="16131" max="16133" width="13.875" style="1637" customWidth="1"/>
    <col min="16134" max="16134" width="35.875" style="1637" customWidth="1"/>
    <col min="16135" max="16135" width="7.875" style="1637" customWidth="1"/>
    <col min="16136" max="16136" width="9" style="1637" customWidth="1"/>
    <col min="16137" max="16138" width="10.625" style="1637" customWidth="1"/>
    <col min="16139" max="16139" width="14.375" style="1637" customWidth="1"/>
    <col min="16140" max="16140" width="6.25" style="1637" customWidth="1"/>
    <col min="16141" max="16141" width="34.375" style="1637" customWidth="1"/>
    <col min="16142" max="16142" width="7.875" style="1637" customWidth="1"/>
    <col min="16143" max="16384" width="9" style="1637"/>
  </cols>
  <sheetData>
    <row r="1" spans="1:14">
      <c r="A1" s="1637" t="s">
        <v>3056</v>
      </c>
      <c r="B1" s="1637" t="s">
        <v>3057</v>
      </c>
      <c r="C1" s="1637" t="s">
        <v>3058</v>
      </c>
      <c r="D1" s="1637" t="s">
        <v>3059</v>
      </c>
      <c r="E1" s="1637" t="s">
        <v>3060</v>
      </c>
      <c r="F1" s="1637" t="s">
        <v>3061</v>
      </c>
      <c r="G1" s="1637" t="s">
        <v>3062</v>
      </c>
      <c r="H1" s="1637" t="s">
        <v>3063</v>
      </c>
      <c r="I1" s="1637" t="s">
        <v>3064</v>
      </c>
      <c r="J1" s="1637" t="s">
        <v>3065</v>
      </c>
      <c r="K1" s="1637" t="s">
        <v>3066</v>
      </c>
      <c r="L1" s="1637" t="s">
        <v>3067</v>
      </c>
      <c r="M1" s="1637" t="s">
        <v>3068</v>
      </c>
      <c r="N1" s="1637" t="s">
        <v>3069</v>
      </c>
    </row>
    <row r="2" spans="1:14">
      <c r="A2" s="1637" t="s">
        <v>3904</v>
      </c>
      <c r="B2" s="1637" t="s">
        <v>3071</v>
      </c>
      <c r="C2" s="1637" t="s">
        <v>3905</v>
      </c>
      <c r="D2" s="1637">
        <v>8113.57</v>
      </c>
      <c r="E2" s="1637">
        <v>28722.04</v>
      </c>
      <c r="F2" s="1637" t="s">
        <v>3906</v>
      </c>
      <c r="G2" s="1637" t="s">
        <v>3073</v>
      </c>
      <c r="H2" s="1637" t="s">
        <v>3907</v>
      </c>
      <c r="I2" s="1637">
        <v>2559.13</v>
      </c>
      <c r="J2" s="1637">
        <v>3676.42</v>
      </c>
      <c r="K2" s="1637">
        <v>1280</v>
      </c>
      <c r="L2" s="1637">
        <v>43.66</v>
      </c>
      <c r="M2" s="1637" t="s">
        <v>3908</v>
      </c>
      <c r="N2" s="1637" t="s">
        <v>3076</v>
      </c>
    </row>
    <row r="3" spans="1:14">
      <c r="A3" s="1637" t="s">
        <v>3904</v>
      </c>
      <c r="B3" s="1637" t="s">
        <v>3071</v>
      </c>
      <c r="C3" s="1637" t="s">
        <v>3905</v>
      </c>
      <c r="D3" s="1637">
        <v>26362.18</v>
      </c>
      <c r="E3" s="1637">
        <v>136556.1</v>
      </c>
      <c r="F3" s="1637" t="s">
        <v>3909</v>
      </c>
      <c r="G3" s="1637" t="s">
        <v>3073</v>
      </c>
      <c r="H3" s="1637" t="s">
        <v>3907</v>
      </c>
      <c r="I3" s="1637">
        <v>10118.799999999999</v>
      </c>
      <c r="J3" s="1637">
        <v>17206.060000000001</v>
      </c>
      <c r="K3" s="1637">
        <v>1260</v>
      </c>
      <c r="L3" s="1637">
        <v>70.040000000000006</v>
      </c>
      <c r="M3" s="1637" t="s">
        <v>3910</v>
      </c>
      <c r="N3" s="1637" t="s">
        <v>3076</v>
      </c>
    </row>
    <row r="4" spans="1:14">
      <c r="A4" s="1637" t="s">
        <v>3911</v>
      </c>
      <c r="B4" s="1637" t="s">
        <v>3071</v>
      </c>
      <c r="C4" s="1637" t="s">
        <v>3905</v>
      </c>
      <c r="D4" s="1637">
        <v>32853.82</v>
      </c>
      <c r="E4" s="1637">
        <v>139628.70000000001</v>
      </c>
      <c r="F4" s="1637" t="s">
        <v>3912</v>
      </c>
      <c r="G4" s="1637" t="s">
        <v>3073</v>
      </c>
      <c r="H4" s="1637" t="s">
        <v>3913</v>
      </c>
      <c r="I4" s="1637">
        <v>12873.77</v>
      </c>
      <c r="J4" s="1637">
        <v>29014.84</v>
      </c>
      <c r="K4" s="1637">
        <v>2078</v>
      </c>
      <c r="L4" s="1637">
        <v>125.38</v>
      </c>
      <c r="M4" s="1637" t="s">
        <v>3914</v>
      </c>
      <c r="N4" s="1637" t="s">
        <v>3076</v>
      </c>
    </row>
    <row r="5" spans="1:14">
      <c r="A5" s="1637" t="s">
        <v>3915</v>
      </c>
      <c r="B5" s="1637" t="s">
        <v>3071</v>
      </c>
      <c r="C5" s="1637" t="s">
        <v>3905</v>
      </c>
      <c r="D5" s="1637">
        <v>28327.98</v>
      </c>
      <c r="E5" s="1637">
        <v>124643.1</v>
      </c>
      <c r="F5" s="1637" t="s">
        <v>3916</v>
      </c>
      <c r="G5" s="1637" t="s">
        <v>3073</v>
      </c>
      <c r="H5" s="1637" t="s">
        <v>3913</v>
      </c>
      <c r="I5" s="1637">
        <v>11292.67</v>
      </c>
      <c r="J5" s="1637">
        <v>25888.38</v>
      </c>
      <c r="K5" s="1637">
        <v>2077</v>
      </c>
      <c r="L5" s="1637">
        <v>129.25</v>
      </c>
      <c r="M5" s="1637" t="s">
        <v>3914</v>
      </c>
      <c r="N5" s="1637" t="s">
        <v>3076</v>
      </c>
    </row>
    <row r="6" spans="1:14">
      <c r="A6" s="1637" t="s">
        <v>3917</v>
      </c>
      <c r="B6" s="1637" t="s">
        <v>3071</v>
      </c>
      <c r="C6" s="1637" t="s">
        <v>3918</v>
      </c>
      <c r="D6" s="1637">
        <v>4844.6499999999996</v>
      </c>
      <c r="E6" s="1637">
        <v>16810.939999999999</v>
      </c>
      <c r="F6" s="1637" t="s">
        <v>3919</v>
      </c>
      <c r="G6" s="1637" t="s">
        <v>3073</v>
      </c>
      <c r="H6" s="1637" t="s">
        <v>3913</v>
      </c>
      <c r="I6" s="1637">
        <v>1165</v>
      </c>
      <c r="J6" s="1637">
        <v>1165</v>
      </c>
      <c r="K6" s="1637">
        <v>693</v>
      </c>
      <c r="L6" s="1637">
        <v>0</v>
      </c>
      <c r="M6" s="1637" t="s">
        <v>3914</v>
      </c>
      <c r="N6" s="1637" t="s">
        <v>3076</v>
      </c>
    </row>
    <row r="7" spans="1:14">
      <c r="A7" s="1637" t="s">
        <v>3920</v>
      </c>
      <c r="B7" s="1637" t="s">
        <v>3071</v>
      </c>
      <c r="C7" s="1637" t="s">
        <v>3918</v>
      </c>
      <c r="D7" s="1637">
        <v>33130.730000000003</v>
      </c>
      <c r="E7" s="1637">
        <v>39756.879999999997</v>
      </c>
      <c r="F7" s="1637" t="s">
        <v>3921</v>
      </c>
      <c r="G7" s="1637" t="s">
        <v>3073</v>
      </c>
      <c r="H7" s="1637" t="s">
        <v>3922</v>
      </c>
      <c r="I7" s="1637">
        <v>15346.14</v>
      </c>
      <c r="J7" s="1637">
        <v>15350.12</v>
      </c>
      <c r="K7" s="1637">
        <v>3861</v>
      </c>
      <c r="L7" s="1637">
        <v>0.03</v>
      </c>
      <c r="M7" s="1637" t="s">
        <v>3923</v>
      </c>
      <c r="N7" s="1637" t="s">
        <v>3097</v>
      </c>
    </row>
    <row r="8" spans="1:14" s="2972" customFormat="1">
      <c r="A8" s="2972" t="s">
        <v>3920</v>
      </c>
      <c r="B8" s="2972" t="s">
        <v>3071</v>
      </c>
      <c r="C8" s="2972" t="s">
        <v>3918</v>
      </c>
      <c r="D8" s="2972">
        <v>53369.07</v>
      </c>
      <c r="E8" s="2972">
        <v>80053.600000000006</v>
      </c>
      <c r="F8" s="2972" t="s">
        <v>3924</v>
      </c>
      <c r="G8" s="2972" t="s">
        <v>3073</v>
      </c>
      <c r="H8" s="2972" t="s">
        <v>3922</v>
      </c>
      <c r="I8" s="2972">
        <v>32157.52</v>
      </c>
      <c r="J8" s="2972">
        <v>32165.54</v>
      </c>
      <c r="K8" s="2972">
        <v>4018</v>
      </c>
      <c r="L8" s="2972">
        <v>0.02</v>
      </c>
      <c r="M8" s="2972" t="s">
        <v>3925</v>
      </c>
      <c r="N8" s="2972" t="s">
        <v>3097</v>
      </c>
    </row>
    <row r="9" spans="1:14">
      <c r="A9" s="1637" t="s">
        <v>3926</v>
      </c>
      <c r="B9" s="1637" t="s">
        <v>3071</v>
      </c>
      <c r="C9" s="1637" t="s">
        <v>3918</v>
      </c>
      <c r="D9" s="1637">
        <v>5867.3</v>
      </c>
      <c r="E9" s="1637">
        <v>11734.6</v>
      </c>
      <c r="F9" s="1637" t="s">
        <v>3927</v>
      </c>
      <c r="G9" s="1637" t="s">
        <v>3073</v>
      </c>
      <c r="H9" s="1637" t="s">
        <v>3922</v>
      </c>
      <c r="I9" s="1637">
        <v>3517.71</v>
      </c>
      <c r="J9" s="1637">
        <v>3517.71</v>
      </c>
      <c r="K9" s="1637">
        <v>2997.73</v>
      </c>
      <c r="L9" s="1637">
        <v>0</v>
      </c>
      <c r="M9" s="1637" t="s">
        <v>3928</v>
      </c>
      <c r="N9" s="1637" t="s">
        <v>3087</v>
      </c>
    </row>
    <row r="10" spans="1:14">
      <c r="A10" s="1637" t="s">
        <v>3920</v>
      </c>
      <c r="B10" s="1637" t="s">
        <v>3071</v>
      </c>
      <c r="C10" s="1637" t="s">
        <v>3918</v>
      </c>
      <c r="D10" s="1637">
        <v>36914.449999999997</v>
      </c>
      <c r="E10" s="1637">
        <v>44297.34</v>
      </c>
      <c r="F10" s="1637" t="s">
        <v>3921</v>
      </c>
      <c r="G10" s="1637" t="s">
        <v>3073</v>
      </c>
      <c r="H10" s="1637" t="s">
        <v>3922</v>
      </c>
      <c r="I10" s="1637">
        <v>17098.77</v>
      </c>
      <c r="J10" s="1637">
        <v>17103.2</v>
      </c>
      <c r="K10" s="1637">
        <v>3861</v>
      </c>
      <c r="L10" s="1637">
        <v>0.03</v>
      </c>
      <c r="M10" s="1637" t="s">
        <v>3923</v>
      </c>
      <c r="N10" s="1637" t="s">
        <v>3097</v>
      </c>
    </row>
    <row r="11" spans="1:14">
      <c r="A11" s="1637" t="s">
        <v>3920</v>
      </c>
      <c r="B11" s="1637" t="s">
        <v>3071</v>
      </c>
      <c r="C11" s="1637" t="s">
        <v>3918</v>
      </c>
      <c r="D11" s="1637">
        <v>28333.64</v>
      </c>
      <c r="E11" s="1637">
        <v>34000.370000000003</v>
      </c>
      <c r="F11" s="1637" t="s">
        <v>3921</v>
      </c>
      <c r="G11" s="1637" t="s">
        <v>3073</v>
      </c>
      <c r="H11" s="1637" t="s">
        <v>3922</v>
      </c>
      <c r="I11" s="1637">
        <v>13124.13</v>
      </c>
      <c r="J11" s="1637">
        <v>13127.54</v>
      </c>
      <c r="K11" s="1637">
        <v>3861</v>
      </c>
      <c r="L11" s="1637">
        <v>0.03</v>
      </c>
      <c r="M11" s="1637" t="s">
        <v>3923</v>
      </c>
      <c r="N11" s="1637" t="s">
        <v>3097</v>
      </c>
    </row>
    <row r="12" spans="1:14">
      <c r="A12" s="1637" t="s">
        <v>3926</v>
      </c>
      <c r="B12" s="1637" t="s">
        <v>3071</v>
      </c>
      <c r="C12" s="1637" t="s">
        <v>3918</v>
      </c>
      <c r="D12" s="1637">
        <v>7884.68</v>
      </c>
      <c r="E12" s="1637">
        <v>15769.36</v>
      </c>
      <c r="F12" s="1637" t="s">
        <v>3927</v>
      </c>
      <c r="G12" s="1637" t="s">
        <v>3073</v>
      </c>
      <c r="H12" s="1637" t="s">
        <v>3922</v>
      </c>
      <c r="I12" s="1637">
        <v>4746.57</v>
      </c>
      <c r="J12" s="1637">
        <v>4748.1400000000003</v>
      </c>
      <c r="K12" s="1637">
        <v>3011</v>
      </c>
      <c r="L12" s="1637">
        <v>0.03</v>
      </c>
      <c r="M12" s="1637" t="s">
        <v>3928</v>
      </c>
      <c r="N12" s="1637" t="s">
        <v>3087</v>
      </c>
    </row>
    <row r="13" spans="1:14">
      <c r="A13" s="1637" t="s">
        <v>3926</v>
      </c>
      <c r="B13" s="1637" t="s">
        <v>3071</v>
      </c>
      <c r="C13" s="1637" t="s">
        <v>3918</v>
      </c>
      <c r="D13" s="1637">
        <v>13868.6</v>
      </c>
      <c r="E13" s="1637">
        <v>27737.200000000001</v>
      </c>
      <c r="F13" s="1637" t="s">
        <v>3927</v>
      </c>
      <c r="G13" s="1637" t="s">
        <v>3073</v>
      </c>
      <c r="H13" s="1637" t="s">
        <v>3922</v>
      </c>
      <c r="I13" s="1637">
        <v>8335.77</v>
      </c>
      <c r="J13" s="1637">
        <v>8335.77</v>
      </c>
      <c r="K13" s="1637">
        <v>3005.26</v>
      </c>
      <c r="L13" s="1637">
        <v>0</v>
      </c>
      <c r="M13" s="1637" t="s">
        <v>3928</v>
      </c>
      <c r="N13" s="1637" t="s">
        <v>3929</v>
      </c>
    </row>
    <row r="14" spans="1:14">
      <c r="A14" s="1637" t="s">
        <v>3926</v>
      </c>
      <c r="B14" s="1637" t="s">
        <v>3071</v>
      </c>
      <c r="C14" s="1637" t="s">
        <v>3918</v>
      </c>
      <c r="D14" s="1637">
        <v>9521.17</v>
      </c>
      <c r="E14" s="1637">
        <v>19042.34</v>
      </c>
      <c r="F14" s="1637" t="s">
        <v>3927</v>
      </c>
      <c r="G14" s="1637" t="s">
        <v>3073</v>
      </c>
      <c r="H14" s="1637" t="s">
        <v>3922</v>
      </c>
      <c r="I14" s="1637">
        <v>5731.73</v>
      </c>
      <c r="J14" s="1637">
        <v>5733.64</v>
      </c>
      <c r="K14" s="1637">
        <v>3011</v>
      </c>
      <c r="L14" s="1637">
        <v>0.03</v>
      </c>
      <c r="M14" s="1637" t="s">
        <v>3928</v>
      </c>
      <c r="N14" s="1637" t="s">
        <v>3929</v>
      </c>
    </row>
    <row r="15" spans="1:14">
      <c r="A15" s="1637" t="s">
        <v>3930</v>
      </c>
      <c r="B15" s="1637" t="s">
        <v>3071</v>
      </c>
      <c r="C15" s="1637" t="s">
        <v>3905</v>
      </c>
      <c r="D15" s="1637">
        <v>12116.05</v>
      </c>
      <c r="E15" s="1637">
        <v>50281.61</v>
      </c>
      <c r="F15" s="1637" t="s">
        <v>3931</v>
      </c>
      <c r="G15" s="1637" t="s">
        <v>3073</v>
      </c>
      <c r="H15" s="1637" t="s">
        <v>3932</v>
      </c>
      <c r="I15" s="1637">
        <v>4997.9799999999996</v>
      </c>
      <c r="J15" s="1637">
        <v>11584.87</v>
      </c>
      <c r="K15" s="1637">
        <v>2304</v>
      </c>
      <c r="L15" s="1637">
        <v>131.79</v>
      </c>
      <c r="M15" s="1637" t="s">
        <v>3933</v>
      </c>
      <c r="N15" s="1637" t="s">
        <v>3076</v>
      </c>
    </row>
    <row r="16" spans="1:14">
      <c r="A16" s="1637" t="s">
        <v>3934</v>
      </c>
      <c r="B16" s="1637" t="s">
        <v>3071</v>
      </c>
      <c r="C16" s="1637" t="s">
        <v>3905</v>
      </c>
      <c r="D16" s="1637">
        <v>17779.97</v>
      </c>
      <c r="E16" s="1637">
        <v>73786.880000000005</v>
      </c>
      <c r="F16" s="1637" t="s">
        <v>3931</v>
      </c>
      <c r="G16" s="1637" t="s">
        <v>3073</v>
      </c>
      <c r="H16" s="1637" t="s">
        <v>3932</v>
      </c>
      <c r="I16" s="1637">
        <v>7142.56</v>
      </c>
      <c r="J16" s="1637">
        <v>17398.95</v>
      </c>
      <c r="K16" s="1637">
        <v>2358</v>
      </c>
      <c r="L16" s="1637">
        <v>143.6</v>
      </c>
      <c r="M16" s="1637" t="s">
        <v>3933</v>
      </c>
      <c r="N16" s="1637" t="s">
        <v>3087</v>
      </c>
    </row>
    <row r="17" spans="1:14">
      <c r="A17" s="1637" t="s">
        <v>3935</v>
      </c>
      <c r="B17" s="1637" t="s">
        <v>3071</v>
      </c>
      <c r="C17" s="1637" t="s">
        <v>3918</v>
      </c>
      <c r="D17" s="1637">
        <v>25321</v>
      </c>
      <c r="E17" s="1637">
        <v>75963</v>
      </c>
      <c r="F17" s="1637" t="s">
        <v>3936</v>
      </c>
      <c r="G17" s="1637" t="s">
        <v>3073</v>
      </c>
      <c r="H17" s="1637" t="s">
        <v>3932</v>
      </c>
      <c r="I17" s="1637">
        <v>18290</v>
      </c>
      <c r="J17" s="1637">
        <v>18295</v>
      </c>
      <c r="K17" s="1637">
        <v>2408.4</v>
      </c>
      <c r="L17" s="1637">
        <v>0.03</v>
      </c>
      <c r="M17" s="1637" t="s">
        <v>3937</v>
      </c>
      <c r="N17" s="1637" t="s">
        <v>3087</v>
      </c>
    </row>
    <row r="18" spans="1:14">
      <c r="A18" s="1637" t="s">
        <v>3935</v>
      </c>
      <c r="B18" s="1637" t="s">
        <v>3071</v>
      </c>
      <c r="C18" s="1637" t="s">
        <v>3918</v>
      </c>
      <c r="D18" s="1637">
        <v>19237</v>
      </c>
      <c r="E18" s="1637">
        <v>67329.5</v>
      </c>
      <c r="F18" s="1637" t="s">
        <v>3938</v>
      </c>
      <c r="G18" s="1637" t="s">
        <v>3073</v>
      </c>
      <c r="H18" s="1637" t="s">
        <v>3932</v>
      </c>
      <c r="I18" s="1637">
        <v>13896</v>
      </c>
      <c r="J18" s="1637">
        <v>13901</v>
      </c>
      <c r="K18" s="1637">
        <v>2064.61</v>
      </c>
      <c r="L18" s="1637">
        <v>0.04</v>
      </c>
      <c r="M18" s="1637" t="s">
        <v>3937</v>
      </c>
      <c r="N18" s="1637" t="s">
        <v>3087</v>
      </c>
    </row>
    <row r="19" spans="1:14">
      <c r="A19" s="1637" t="s">
        <v>3939</v>
      </c>
      <c r="B19" s="1637" t="s">
        <v>3071</v>
      </c>
      <c r="C19" s="1637" t="s">
        <v>3905</v>
      </c>
      <c r="D19" s="1637">
        <v>6342.53</v>
      </c>
      <c r="E19" s="1637">
        <v>34886.5</v>
      </c>
      <c r="F19" s="1637" t="s">
        <v>3940</v>
      </c>
      <c r="G19" s="1637" t="s">
        <v>3073</v>
      </c>
      <c r="H19" s="1637" t="s">
        <v>3932</v>
      </c>
      <c r="I19" s="1637">
        <v>3052.57</v>
      </c>
      <c r="J19" s="1637">
        <v>7866.31</v>
      </c>
      <c r="K19" s="1637">
        <v>2254.8200000000002</v>
      </c>
      <c r="L19" s="1637">
        <v>157.69</v>
      </c>
      <c r="M19" s="1637" t="s">
        <v>3933</v>
      </c>
      <c r="N19" s="1637" t="s">
        <v>3087</v>
      </c>
    </row>
    <row r="20" spans="1:14">
      <c r="A20" s="1637" t="s">
        <v>3941</v>
      </c>
      <c r="B20" s="1637" t="s">
        <v>3071</v>
      </c>
      <c r="C20" s="1637" t="s">
        <v>3905</v>
      </c>
      <c r="D20" s="1637">
        <v>8563.92</v>
      </c>
      <c r="E20" s="1637">
        <v>47107.5</v>
      </c>
      <c r="F20" s="1637" t="s">
        <v>3940</v>
      </c>
      <c r="G20" s="1637" t="s">
        <v>3073</v>
      </c>
      <c r="H20" s="1637" t="s">
        <v>3932</v>
      </c>
      <c r="I20" s="1637">
        <v>3429.42</v>
      </c>
      <c r="J20" s="1637">
        <v>9222.48</v>
      </c>
      <c r="K20" s="1637">
        <v>1957.75</v>
      </c>
      <c r="L20" s="1637">
        <v>168.92</v>
      </c>
      <c r="M20" s="1637" t="s">
        <v>3933</v>
      </c>
      <c r="N20" s="1637" t="s">
        <v>3076</v>
      </c>
    </row>
    <row r="21" spans="1:14">
      <c r="A21" s="1637" t="s">
        <v>3942</v>
      </c>
      <c r="B21" s="1637" t="s">
        <v>3071</v>
      </c>
      <c r="C21" s="1637" t="s">
        <v>3905</v>
      </c>
      <c r="D21" s="1637">
        <v>34448.11</v>
      </c>
      <c r="E21" s="1637">
        <v>186502.1</v>
      </c>
      <c r="F21" s="1637" t="s">
        <v>3943</v>
      </c>
      <c r="G21" s="1637" t="s">
        <v>3073</v>
      </c>
      <c r="H21" s="1637" t="s">
        <v>3944</v>
      </c>
      <c r="I21" s="1637">
        <v>12066.68</v>
      </c>
      <c r="J21" s="1637">
        <v>39538.44</v>
      </c>
      <c r="K21" s="1637">
        <v>2120</v>
      </c>
      <c r="L21" s="1637">
        <v>227.67</v>
      </c>
      <c r="M21" s="1637" t="s">
        <v>3945</v>
      </c>
      <c r="N21" s="1637" t="s">
        <v>3076</v>
      </c>
    </row>
    <row r="22" spans="1:14">
      <c r="A22" s="1637" t="s">
        <v>3946</v>
      </c>
      <c r="B22" s="1637" t="s">
        <v>3071</v>
      </c>
      <c r="C22" s="1637" t="s">
        <v>3905</v>
      </c>
      <c r="D22" s="1637">
        <v>9168.48</v>
      </c>
      <c r="E22" s="1637">
        <v>45842.400000000001</v>
      </c>
      <c r="F22" s="1637" t="s">
        <v>3947</v>
      </c>
      <c r="G22" s="1637" t="s">
        <v>3073</v>
      </c>
      <c r="H22" s="1637" t="s">
        <v>3948</v>
      </c>
      <c r="I22" s="1637">
        <v>5643.19</v>
      </c>
      <c r="J22" s="1637">
        <v>7706.1</v>
      </c>
      <c r="K22" s="1637">
        <v>1681</v>
      </c>
      <c r="L22" s="1637">
        <v>36.56</v>
      </c>
      <c r="M22" s="1637" t="s">
        <v>3949</v>
      </c>
      <c r="N22" s="1637" t="s">
        <v>3076</v>
      </c>
    </row>
    <row r="23" spans="1:14">
      <c r="A23" s="1637" t="s">
        <v>3950</v>
      </c>
      <c r="B23" s="1637" t="s">
        <v>3071</v>
      </c>
      <c r="C23" s="1637" t="s">
        <v>3905</v>
      </c>
      <c r="D23" s="1637">
        <v>31473.119999999999</v>
      </c>
      <c r="E23" s="1637">
        <v>180026.3</v>
      </c>
      <c r="F23" s="1637" t="s">
        <v>3951</v>
      </c>
      <c r="G23" s="1637" t="s">
        <v>3073</v>
      </c>
      <c r="H23" s="1637" t="s">
        <v>3948</v>
      </c>
      <c r="I23" s="1637">
        <v>11143.62</v>
      </c>
      <c r="J23" s="1637">
        <v>27526</v>
      </c>
      <c r="K23" s="1637">
        <v>1529</v>
      </c>
      <c r="L23" s="1637">
        <v>147.01</v>
      </c>
      <c r="M23" s="1637" t="s">
        <v>3945</v>
      </c>
      <c r="N23" s="1637" t="s">
        <v>3076</v>
      </c>
    </row>
    <row r="24" spans="1:14">
      <c r="A24" s="1637" t="s">
        <v>3946</v>
      </c>
      <c r="B24" s="1637" t="s">
        <v>3071</v>
      </c>
      <c r="C24" s="1637" t="s">
        <v>3905</v>
      </c>
      <c r="D24" s="1637">
        <v>29223.83</v>
      </c>
      <c r="E24" s="1637">
        <v>160731.1</v>
      </c>
      <c r="F24" s="1637" t="s">
        <v>3952</v>
      </c>
      <c r="G24" s="1637" t="s">
        <v>3073</v>
      </c>
      <c r="H24" s="1637" t="s">
        <v>3948</v>
      </c>
      <c r="I24" s="1637">
        <v>18451.93</v>
      </c>
      <c r="J24" s="1637">
        <v>25202.63</v>
      </c>
      <c r="K24" s="1637">
        <v>1568</v>
      </c>
      <c r="L24" s="1637">
        <v>36.590000000000003</v>
      </c>
      <c r="M24" s="1637" t="s">
        <v>3953</v>
      </c>
      <c r="N24" s="1637" t="s">
        <v>3076</v>
      </c>
    </row>
    <row r="25" spans="1:14" s="2972" customFormat="1">
      <c r="A25" s="2972" t="s">
        <v>3954</v>
      </c>
      <c r="B25" s="2972" t="s">
        <v>3071</v>
      </c>
      <c r="C25" s="2972" t="s">
        <v>3918</v>
      </c>
      <c r="D25" s="2972">
        <v>19236.900000000001</v>
      </c>
      <c r="E25" s="2972">
        <v>28855.35</v>
      </c>
      <c r="F25" s="2972" t="s">
        <v>3924</v>
      </c>
      <c r="G25" s="2972" t="s">
        <v>3073</v>
      </c>
      <c r="H25" s="2972" t="s">
        <v>3955</v>
      </c>
      <c r="I25" s="2972">
        <v>6226.97</v>
      </c>
      <c r="J25" s="2972">
        <v>11591.19</v>
      </c>
      <c r="K25" s="2972">
        <v>4017</v>
      </c>
      <c r="L25" s="2972">
        <v>86.14</v>
      </c>
      <c r="M25" s="2972" t="s">
        <v>3956</v>
      </c>
      <c r="N25" s="2972" t="s">
        <v>3097</v>
      </c>
    </row>
    <row r="26" spans="1:14">
      <c r="A26" s="1637" t="s">
        <v>3957</v>
      </c>
      <c r="B26" s="1637" t="s">
        <v>3071</v>
      </c>
      <c r="C26" s="1637" t="s">
        <v>3918</v>
      </c>
      <c r="D26" s="1637">
        <v>138656.70000000001</v>
      </c>
      <c r="E26" s="1637">
        <v>388238.8</v>
      </c>
      <c r="F26" s="1637" t="s">
        <v>3958</v>
      </c>
      <c r="G26" s="1637" t="s">
        <v>3073</v>
      </c>
      <c r="H26" s="1637" t="s">
        <v>3955</v>
      </c>
      <c r="I26" s="1637">
        <v>158539.20000000001</v>
      </c>
      <c r="J26" s="1637">
        <v>165539.20000000001</v>
      </c>
      <c r="K26" s="1637">
        <v>4263.8500000000004</v>
      </c>
      <c r="L26" s="1637">
        <v>4.42</v>
      </c>
      <c r="M26" s="1637" t="s">
        <v>3959</v>
      </c>
      <c r="N26" s="1637" t="s">
        <v>3087</v>
      </c>
    </row>
    <row r="27" spans="1:14" s="2972" customFormat="1">
      <c r="A27" s="2972" t="s">
        <v>3957</v>
      </c>
      <c r="B27" s="2972" t="s">
        <v>3071</v>
      </c>
      <c r="C27" s="2972" t="s">
        <v>3918</v>
      </c>
      <c r="D27" s="2972">
        <v>49043</v>
      </c>
      <c r="E27" s="2972">
        <v>122607.5</v>
      </c>
      <c r="F27" s="2972" t="s">
        <v>3960</v>
      </c>
      <c r="G27" s="2972" t="s">
        <v>3073</v>
      </c>
      <c r="H27" s="2972" t="s">
        <v>3955</v>
      </c>
      <c r="I27" s="2972">
        <v>50065.01</v>
      </c>
      <c r="J27" s="2972">
        <v>56065.01</v>
      </c>
      <c r="K27" s="2972">
        <v>4572.72</v>
      </c>
      <c r="L27" s="2972">
        <v>11.98</v>
      </c>
      <c r="M27" s="2972" t="s">
        <v>3959</v>
      </c>
      <c r="N27" s="2972" t="s">
        <v>3087</v>
      </c>
    </row>
    <row r="28" spans="1:14">
      <c r="A28" s="1637" t="s">
        <v>3961</v>
      </c>
      <c r="B28" s="1637" t="s">
        <v>3071</v>
      </c>
      <c r="C28" s="1637" t="s">
        <v>3918</v>
      </c>
      <c r="D28" s="1637">
        <v>53929.16</v>
      </c>
      <c r="E28" s="1637">
        <v>102465.4</v>
      </c>
      <c r="F28" s="1637" t="s">
        <v>3962</v>
      </c>
      <c r="G28" s="1637" t="s">
        <v>3073</v>
      </c>
      <c r="H28" s="1637" t="s">
        <v>3955</v>
      </c>
      <c r="I28" s="1637">
        <v>12295.85</v>
      </c>
      <c r="J28" s="1637">
        <v>30842.09</v>
      </c>
      <c r="K28" s="1637">
        <v>3010</v>
      </c>
      <c r="L28" s="1637">
        <v>150.83000000000001</v>
      </c>
      <c r="M28" s="1637" t="s">
        <v>3956</v>
      </c>
      <c r="N28" s="1637" t="s">
        <v>3929</v>
      </c>
    </row>
    <row r="29" spans="1:14">
      <c r="A29" s="1637" t="s">
        <v>3954</v>
      </c>
      <c r="B29" s="1637" t="s">
        <v>3071</v>
      </c>
      <c r="C29" s="1637" t="s">
        <v>3918</v>
      </c>
      <c r="D29" s="1637">
        <v>28981.53</v>
      </c>
      <c r="E29" s="1637">
        <v>43472.29</v>
      </c>
      <c r="F29" s="1637" t="s">
        <v>3924</v>
      </c>
      <c r="G29" s="1637" t="s">
        <v>3073</v>
      </c>
      <c r="H29" s="1637" t="s">
        <v>3955</v>
      </c>
      <c r="I29" s="1637">
        <v>9381.31</v>
      </c>
      <c r="J29" s="1637">
        <v>17462.810000000001</v>
      </c>
      <c r="K29" s="1637">
        <v>4017</v>
      </c>
      <c r="L29" s="1637">
        <v>86.14</v>
      </c>
      <c r="M29" s="1637" t="s">
        <v>3963</v>
      </c>
      <c r="N29" s="1637" t="s">
        <v>3097</v>
      </c>
    </row>
    <row r="30" spans="1:14">
      <c r="A30" s="1637" t="s">
        <v>3954</v>
      </c>
      <c r="B30" s="1637" t="s">
        <v>3071</v>
      </c>
      <c r="C30" s="1637" t="s">
        <v>3918</v>
      </c>
      <c r="D30" s="1637">
        <v>25379.29</v>
      </c>
      <c r="E30" s="1637">
        <v>38068.93</v>
      </c>
      <c r="F30" s="1637" t="s">
        <v>3924</v>
      </c>
      <c r="G30" s="1637" t="s">
        <v>3073</v>
      </c>
      <c r="H30" s="1637" t="s">
        <v>3955</v>
      </c>
      <c r="I30" s="1637">
        <v>8215.2800000000007</v>
      </c>
      <c r="J30" s="1637">
        <v>15292.29</v>
      </c>
      <c r="K30" s="1637">
        <v>4017</v>
      </c>
      <c r="L30" s="1637">
        <v>86.14</v>
      </c>
      <c r="M30" s="1637" t="s">
        <v>3964</v>
      </c>
      <c r="N30" s="1637" t="s">
        <v>3097</v>
      </c>
    </row>
    <row r="31" spans="1:14">
      <c r="A31" s="1637" t="s">
        <v>3965</v>
      </c>
      <c r="B31" s="1637" t="s">
        <v>3071</v>
      </c>
      <c r="C31" s="1637" t="s">
        <v>3918</v>
      </c>
      <c r="D31" s="1637">
        <v>18626.39</v>
      </c>
      <c r="E31" s="1637">
        <v>55879.17</v>
      </c>
      <c r="F31" s="1637" t="s">
        <v>3936</v>
      </c>
      <c r="G31" s="1637" t="s">
        <v>3078</v>
      </c>
      <c r="H31" s="1637" t="s">
        <v>3966</v>
      </c>
      <c r="I31" s="1637">
        <v>2624.46</v>
      </c>
      <c r="J31" s="1637">
        <v>7873.38</v>
      </c>
      <c r="K31" s="1637">
        <v>1409</v>
      </c>
      <c r="L31" s="1637">
        <v>200</v>
      </c>
      <c r="M31" s="1637" t="s">
        <v>3967</v>
      </c>
      <c r="N31" s="1637" t="s">
        <v>3087</v>
      </c>
    </row>
    <row r="32" spans="1:14">
      <c r="A32" s="1637" t="s">
        <v>3968</v>
      </c>
      <c r="B32" s="1637" t="s">
        <v>3071</v>
      </c>
      <c r="C32" s="1637" t="s">
        <v>3918</v>
      </c>
      <c r="D32" s="1637">
        <v>132627.70000000001</v>
      </c>
      <c r="E32" s="1637">
        <v>344832.1</v>
      </c>
      <c r="F32" s="1637" t="s">
        <v>3969</v>
      </c>
      <c r="G32" s="1637" t="s">
        <v>3078</v>
      </c>
      <c r="H32" s="1637" t="s">
        <v>3966</v>
      </c>
      <c r="I32" s="1637" t="s">
        <v>1327</v>
      </c>
      <c r="J32" s="1637">
        <v>50121.33</v>
      </c>
      <c r="K32" s="1637">
        <v>1453.5</v>
      </c>
      <c r="L32" s="1637" t="s">
        <v>1327</v>
      </c>
      <c r="M32" s="1637" t="s">
        <v>3967</v>
      </c>
      <c r="N32" s="1637" t="s">
        <v>3087</v>
      </c>
    </row>
    <row r="33" spans="1:14">
      <c r="A33" s="1637" t="s">
        <v>3970</v>
      </c>
      <c r="B33" s="1637" t="s">
        <v>3071</v>
      </c>
      <c r="C33" s="1637" t="s">
        <v>3918</v>
      </c>
      <c r="D33" s="1637">
        <v>32361.18</v>
      </c>
      <c r="E33" s="1637">
        <v>84139.07</v>
      </c>
      <c r="F33" s="1637" t="s">
        <v>3969</v>
      </c>
      <c r="G33" s="1637" t="s">
        <v>3078</v>
      </c>
      <c r="H33" s="1637" t="s">
        <v>3966</v>
      </c>
      <c r="I33" s="1637" t="s">
        <v>1327</v>
      </c>
      <c r="J33" s="1637">
        <v>12225.4</v>
      </c>
      <c r="K33" s="1637">
        <v>1453</v>
      </c>
      <c r="L33" s="1637" t="s">
        <v>1327</v>
      </c>
      <c r="M33" s="1637" t="s">
        <v>3967</v>
      </c>
      <c r="N33" s="1637" t="s">
        <v>3087</v>
      </c>
    </row>
    <row r="34" spans="1:14">
      <c r="A34" s="1637" t="s">
        <v>3971</v>
      </c>
      <c r="B34" s="1637" t="s">
        <v>3071</v>
      </c>
      <c r="C34" s="1637" t="s">
        <v>3905</v>
      </c>
      <c r="D34" s="1637">
        <v>8535.1299999999992</v>
      </c>
      <c r="E34" s="1637">
        <v>21337.82</v>
      </c>
      <c r="F34" s="1637" t="s">
        <v>3960</v>
      </c>
      <c r="G34" s="1637" t="s">
        <v>3078</v>
      </c>
      <c r="H34" s="1637" t="s">
        <v>3972</v>
      </c>
      <c r="I34" s="1637">
        <v>8898</v>
      </c>
      <c r="J34" s="1637">
        <v>21124.45</v>
      </c>
      <c r="K34" s="1637">
        <v>9900</v>
      </c>
      <c r="L34" s="1637">
        <v>137.41</v>
      </c>
      <c r="M34" s="1637" t="s">
        <v>3973</v>
      </c>
      <c r="N34" s="1637" t="s">
        <v>3076</v>
      </c>
    </row>
    <row r="35" spans="1:14">
      <c r="A35" s="1637" t="s">
        <v>3971</v>
      </c>
      <c r="B35" s="1637" t="s">
        <v>3071</v>
      </c>
      <c r="C35" s="1637" t="s">
        <v>3918</v>
      </c>
      <c r="D35" s="1637">
        <v>5588.08</v>
      </c>
      <c r="E35" s="1637">
        <v>13970.2</v>
      </c>
      <c r="F35" s="1637" t="s">
        <v>3960</v>
      </c>
      <c r="G35" s="1637" t="s">
        <v>3078</v>
      </c>
      <c r="H35" s="1637" t="s">
        <v>3974</v>
      </c>
      <c r="I35" s="1637">
        <v>6007.18</v>
      </c>
      <c r="J35" s="1637">
        <v>15646.62</v>
      </c>
      <c r="K35" s="1637">
        <v>11200</v>
      </c>
      <c r="L35" s="1637">
        <v>160.46</v>
      </c>
      <c r="M35" s="1637" t="s">
        <v>3973</v>
      </c>
      <c r="N35" s="1637" t="s">
        <v>3076</v>
      </c>
    </row>
    <row r="36" spans="1:14">
      <c r="A36" s="1637" t="s">
        <v>3975</v>
      </c>
      <c r="B36" s="1637" t="s">
        <v>3071</v>
      </c>
      <c r="C36" s="1637" t="s">
        <v>3905</v>
      </c>
      <c r="D36" s="1637">
        <v>106759.1</v>
      </c>
      <c r="E36" s="1637">
        <v>206016.7</v>
      </c>
      <c r="F36" s="1637" t="s">
        <v>3976</v>
      </c>
      <c r="G36" s="1637" t="s">
        <v>3078</v>
      </c>
      <c r="H36" s="1637" t="s">
        <v>3977</v>
      </c>
      <c r="I36" s="1637">
        <v>95000</v>
      </c>
      <c r="J36" s="1637">
        <v>230000</v>
      </c>
      <c r="K36" s="1637">
        <v>11164.13</v>
      </c>
      <c r="L36" s="1637">
        <v>142.11000000000001</v>
      </c>
      <c r="M36" s="1637" t="s">
        <v>3978</v>
      </c>
      <c r="N36" s="1637" t="s">
        <v>3087</v>
      </c>
    </row>
    <row r="37" spans="1:14">
      <c r="A37" s="1637" t="s">
        <v>3979</v>
      </c>
      <c r="B37" s="1637" t="s">
        <v>3071</v>
      </c>
      <c r="C37" s="1637" t="s">
        <v>3905</v>
      </c>
      <c r="D37" s="1637">
        <v>15075.9</v>
      </c>
      <c r="E37" s="1637">
        <v>48242.879999999997</v>
      </c>
      <c r="F37" s="1637" t="s">
        <v>3980</v>
      </c>
      <c r="G37" s="1637" t="s">
        <v>3078</v>
      </c>
      <c r="H37" s="1637" t="s">
        <v>3981</v>
      </c>
      <c r="I37" s="1637">
        <v>10617.8</v>
      </c>
      <c r="J37" s="1637">
        <v>10617.8</v>
      </c>
      <c r="K37" s="1637">
        <v>2200.9</v>
      </c>
      <c r="L37" s="1637">
        <v>0</v>
      </c>
      <c r="M37" s="1637" t="s">
        <v>3982</v>
      </c>
      <c r="N37" s="1637" t="s">
        <v>3076</v>
      </c>
    </row>
    <row r="38" spans="1:14">
      <c r="A38" s="1637" t="s">
        <v>3975</v>
      </c>
      <c r="B38" s="1637" t="s">
        <v>3071</v>
      </c>
      <c r="C38" s="1637" t="s">
        <v>3905</v>
      </c>
      <c r="D38" s="1637">
        <v>166810.9</v>
      </c>
      <c r="E38" s="1637">
        <v>425087.1</v>
      </c>
      <c r="F38" s="1637" t="s">
        <v>3983</v>
      </c>
      <c r="G38" s="1637" t="s">
        <v>3078</v>
      </c>
      <c r="H38" s="1637" t="s">
        <v>3984</v>
      </c>
      <c r="I38" s="1637">
        <v>122000</v>
      </c>
      <c r="J38" s="1637">
        <v>123000</v>
      </c>
      <c r="K38" s="1637">
        <v>2893.51</v>
      </c>
      <c r="L38" s="1637">
        <v>0.82</v>
      </c>
      <c r="M38" s="1637" t="s">
        <v>3985</v>
      </c>
      <c r="N38" s="1637" t="s">
        <v>3097</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7"/>
  <sheetViews>
    <sheetView topLeftCell="D1" workbookViewId="0">
      <selection activeCell="M8" sqref="M8"/>
    </sheetView>
  </sheetViews>
  <sheetFormatPr defaultColWidth="9" defaultRowHeight="13.5"/>
  <cols>
    <col min="1" max="1" width="18.375" customWidth="1"/>
    <col min="3" max="3" width="12.25" customWidth="1"/>
    <col min="9" max="9" width="18.75" customWidth="1"/>
  </cols>
  <sheetData>
    <row r="1" spans="1:15">
      <c r="A1" s="2975" t="s">
        <v>3056</v>
      </c>
      <c r="B1" s="2975" t="s">
        <v>3057</v>
      </c>
      <c r="C1" s="2975" t="s">
        <v>3058</v>
      </c>
      <c r="D1" s="2975" t="s">
        <v>3062</v>
      </c>
      <c r="E1" s="2975" t="s">
        <v>3059</v>
      </c>
      <c r="F1" s="2975" t="s">
        <v>3060</v>
      </c>
      <c r="G1" s="2975" t="s">
        <v>3061</v>
      </c>
      <c r="H1" s="2975" t="s">
        <v>3063</v>
      </c>
      <c r="I1" s="2975" t="s">
        <v>3068</v>
      </c>
      <c r="J1" s="2975" t="s">
        <v>3064</v>
      </c>
      <c r="K1" s="2975" t="s">
        <v>3065</v>
      </c>
      <c r="L1" s="2975" t="s">
        <v>4028</v>
      </c>
      <c r="M1" s="2975" t="s">
        <v>3066</v>
      </c>
      <c r="N1" s="2975" t="s">
        <v>3067</v>
      </c>
      <c r="O1" s="1637"/>
    </row>
    <row r="2" spans="1:15">
      <c r="A2" s="2976" t="s">
        <v>3077</v>
      </c>
      <c r="B2" s="2976" t="s">
        <v>3071</v>
      </c>
      <c r="C2" s="2976" t="s">
        <v>3072</v>
      </c>
      <c r="D2" s="2976" t="s">
        <v>3078</v>
      </c>
      <c r="E2" s="2976">
        <v>3330</v>
      </c>
      <c r="F2" s="2976">
        <v>13320</v>
      </c>
      <c r="G2" s="2976" t="s">
        <v>4029</v>
      </c>
      <c r="H2" s="2976" t="s">
        <v>3079</v>
      </c>
      <c r="I2" s="2976" t="s">
        <v>3080</v>
      </c>
      <c r="J2" s="2976">
        <v>4495.5</v>
      </c>
      <c r="K2" s="2976">
        <v>4508.8100000000004</v>
      </c>
      <c r="L2" s="2976">
        <v>3375</v>
      </c>
      <c r="M2" s="2976">
        <v>3385</v>
      </c>
      <c r="N2" s="2976">
        <v>0.3</v>
      </c>
      <c r="O2" s="2972">
        <f t="shared" ref="O2:O6" si="0">K2*10000/E2</f>
        <v>13539.969969969972</v>
      </c>
    </row>
    <row r="3" spans="1:15">
      <c r="A3" s="2976" t="s">
        <v>3081</v>
      </c>
      <c r="B3" s="2976" t="s">
        <v>3071</v>
      </c>
      <c r="C3" s="2976" t="s">
        <v>3072</v>
      </c>
      <c r="D3" s="2976" t="s">
        <v>3078</v>
      </c>
      <c r="E3" s="2976">
        <v>1331.42</v>
      </c>
      <c r="F3" s="2976">
        <v>3328.55</v>
      </c>
      <c r="G3" s="2976" t="s">
        <v>4030</v>
      </c>
      <c r="H3" s="2976" t="s">
        <v>3082</v>
      </c>
      <c r="I3" s="2976" t="s">
        <v>3083</v>
      </c>
      <c r="J3" s="2976">
        <v>1198.26</v>
      </c>
      <c r="K3" s="2976">
        <v>1198.4100000000001</v>
      </c>
      <c r="L3" s="2976">
        <v>3599.97</v>
      </c>
      <c r="M3" s="2976">
        <v>3600.4</v>
      </c>
      <c r="N3" s="2976">
        <v>0.01</v>
      </c>
      <c r="O3" s="2972">
        <f t="shared" si="0"/>
        <v>9000.9914226915625</v>
      </c>
    </row>
    <row r="4" spans="1:15">
      <c r="A4" s="2975" t="s">
        <v>3084</v>
      </c>
      <c r="B4" s="2975" t="s">
        <v>3071</v>
      </c>
      <c r="C4" s="2975" t="s">
        <v>3072</v>
      </c>
      <c r="D4" s="2975" t="s">
        <v>3078</v>
      </c>
      <c r="E4" s="2975">
        <v>2196.15</v>
      </c>
      <c r="F4" s="2975">
        <v>5477.2</v>
      </c>
      <c r="G4" s="2975" t="s">
        <v>4031</v>
      </c>
      <c r="H4" s="2975" t="s">
        <v>3085</v>
      </c>
      <c r="I4" s="2975" t="s">
        <v>3086</v>
      </c>
      <c r="J4" s="2975">
        <v>979.25</v>
      </c>
      <c r="K4" s="2975">
        <v>979.48</v>
      </c>
      <c r="L4" s="2975">
        <v>1787.88</v>
      </c>
      <c r="M4" s="2975">
        <v>1788.28</v>
      </c>
      <c r="N4" s="2975">
        <v>0.02</v>
      </c>
      <c r="O4" s="2972">
        <f t="shared" si="0"/>
        <v>4459.9867950731959</v>
      </c>
    </row>
    <row r="5" spans="1:15">
      <c r="A5" s="2975" t="s">
        <v>4032</v>
      </c>
      <c r="B5" s="2975" t="s">
        <v>3071</v>
      </c>
      <c r="C5" s="2975" t="s">
        <v>3072</v>
      </c>
      <c r="D5" s="2975" t="s">
        <v>3078</v>
      </c>
      <c r="E5" s="2975">
        <v>18242.22</v>
      </c>
      <c r="F5" s="2975">
        <v>45605.55</v>
      </c>
      <c r="G5" s="2975" t="s">
        <v>4030</v>
      </c>
      <c r="H5" s="2975" t="s">
        <v>4033</v>
      </c>
      <c r="I5" s="2975" t="s">
        <v>1327</v>
      </c>
      <c r="J5" s="2975">
        <v>8181.64</v>
      </c>
      <c r="K5" s="2975" t="s">
        <v>1327</v>
      </c>
      <c r="L5" s="2975">
        <v>1794</v>
      </c>
      <c r="M5" s="2975" t="s">
        <v>1327</v>
      </c>
      <c r="N5" s="2975" t="s">
        <v>1327</v>
      </c>
      <c r="O5" s="2972"/>
    </row>
    <row r="6" spans="1:15">
      <c r="A6" s="2975" t="s">
        <v>3088</v>
      </c>
      <c r="B6" s="2975" t="s">
        <v>3071</v>
      </c>
      <c r="C6" s="2975" t="s">
        <v>3072</v>
      </c>
      <c r="D6" s="2975" t="s">
        <v>3078</v>
      </c>
      <c r="E6" s="2975">
        <v>1600.07</v>
      </c>
      <c r="F6" s="2975">
        <v>5600.25</v>
      </c>
      <c r="G6" s="2975" t="s">
        <v>4034</v>
      </c>
      <c r="H6" s="2975" t="s">
        <v>3089</v>
      </c>
      <c r="I6" s="2975" t="s">
        <v>3090</v>
      </c>
      <c r="J6" s="2975">
        <v>639.71</v>
      </c>
      <c r="K6" s="2975">
        <v>640.26</v>
      </c>
      <c r="L6" s="2975">
        <v>1142.28</v>
      </c>
      <c r="M6" s="2975">
        <v>1143.28</v>
      </c>
      <c r="N6" s="2975">
        <v>0.09</v>
      </c>
      <c r="O6" s="2972">
        <f t="shared" si="0"/>
        <v>4001.4499365652755</v>
      </c>
    </row>
    <row r="7" spans="1:15">
      <c r="A7" s="2975" t="s">
        <v>4035</v>
      </c>
      <c r="B7" s="2975" t="s">
        <v>3071</v>
      </c>
      <c r="C7" s="2975" t="s">
        <v>3072</v>
      </c>
      <c r="D7" s="2975" t="s">
        <v>3078</v>
      </c>
      <c r="E7" s="2975">
        <v>5764.24</v>
      </c>
      <c r="F7" s="2975">
        <v>11528.48</v>
      </c>
      <c r="G7" s="2975" t="s">
        <v>4036</v>
      </c>
      <c r="H7" s="2975" t="s">
        <v>3089</v>
      </c>
      <c r="I7" s="2975" t="s">
        <v>1327</v>
      </c>
      <c r="J7" s="2975">
        <v>2530.5</v>
      </c>
      <c r="K7" s="2975" t="s">
        <v>1327</v>
      </c>
      <c r="L7" s="2975">
        <v>2194.9899999999998</v>
      </c>
      <c r="M7" s="2975" t="s">
        <v>1327</v>
      </c>
      <c r="N7" s="2975" t="s">
        <v>1327</v>
      </c>
      <c r="O7" s="2972"/>
    </row>
    <row r="8" spans="1:15">
      <c r="A8" s="2976" t="s">
        <v>3091</v>
      </c>
      <c r="B8" s="2976" t="s">
        <v>3071</v>
      </c>
      <c r="C8" s="2976" t="s">
        <v>3072</v>
      </c>
      <c r="D8" s="2976" t="s">
        <v>3078</v>
      </c>
      <c r="E8" s="2976">
        <v>10506.36</v>
      </c>
      <c r="F8" s="2976">
        <v>21012.720000000001</v>
      </c>
      <c r="G8" s="2976" t="s">
        <v>4036</v>
      </c>
      <c r="H8" s="2976" t="s">
        <v>3092</v>
      </c>
      <c r="I8" s="2976" t="s">
        <v>3093</v>
      </c>
      <c r="J8" s="2976">
        <v>5831.02</v>
      </c>
      <c r="K8" s="2976">
        <v>5832.07</v>
      </c>
      <c r="L8" s="2976">
        <v>2775</v>
      </c>
      <c r="M8" s="2976">
        <v>2775.5</v>
      </c>
      <c r="N8" s="2976">
        <v>0.02</v>
      </c>
      <c r="O8" s="2972">
        <f t="shared" ref="O8:O16" si="1">K8*10000/E8</f>
        <v>5550.9900669689596</v>
      </c>
    </row>
    <row r="9" spans="1:15">
      <c r="A9" s="2975" t="s">
        <v>3094</v>
      </c>
      <c r="B9" s="2975" t="s">
        <v>3071</v>
      </c>
      <c r="C9" s="2975" t="s">
        <v>3072</v>
      </c>
      <c r="D9" s="2975" t="s">
        <v>3078</v>
      </c>
      <c r="E9" s="2975">
        <v>24413.47</v>
      </c>
      <c r="F9" s="2975">
        <v>26122.41</v>
      </c>
      <c r="G9" s="2975" t="s">
        <v>4037</v>
      </c>
      <c r="H9" s="2975" t="s">
        <v>3095</v>
      </c>
      <c r="I9" s="2975" t="s">
        <v>3096</v>
      </c>
      <c r="J9" s="2975">
        <v>3742.59</v>
      </c>
      <c r="K9" s="2975">
        <v>3745.03</v>
      </c>
      <c r="L9" s="2975">
        <v>1432.71</v>
      </c>
      <c r="M9" s="2975">
        <v>1433.65</v>
      </c>
      <c r="N9" s="2975">
        <v>0.06</v>
      </c>
      <c r="O9" s="2972">
        <f t="shared" si="1"/>
        <v>1534.0015163760006</v>
      </c>
    </row>
    <row r="10" spans="1:15">
      <c r="A10" s="2975" t="s">
        <v>3098</v>
      </c>
      <c r="B10" s="2975" t="s">
        <v>3071</v>
      </c>
      <c r="C10" s="2975" t="s">
        <v>3072</v>
      </c>
      <c r="D10" s="2975" t="s">
        <v>3078</v>
      </c>
      <c r="E10" s="2975">
        <v>13099.24</v>
      </c>
      <c r="F10" s="2975">
        <v>39297.72</v>
      </c>
      <c r="G10" s="2975" t="s">
        <v>4038</v>
      </c>
      <c r="H10" s="2975" t="s">
        <v>3099</v>
      </c>
      <c r="I10" s="2975" t="s">
        <v>3100</v>
      </c>
      <c r="J10" s="2975">
        <v>6060.1</v>
      </c>
      <c r="K10" s="2975">
        <v>6061.4</v>
      </c>
      <c r="L10" s="2975">
        <v>1542.09</v>
      </c>
      <c r="M10" s="2975">
        <v>1542.43</v>
      </c>
      <c r="N10" s="2975">
        <v>0.02</v>
      </c>
      <c r="O10" s="2972">
        <f t="shared" si="1"/>
        <v>4627.2913543075783</v>
      </c>
    </row>
    <row r="11" spans="1:15">
      <c r="A11" s="2975" t="s">
        <v>3101</v>
      </c>
      <c r="B11" s="2975" t="s">
        <v>3071</v>
      </c>
      <c r="C11" s="2975" t="s">
        <v>3072</v>
      </c>
      <c r="D11" s="2975" t="s">
        <v>3078</v>
      </c>
      <c r="E11" s="2975">
        <v>33568.449999999997</v>
      </c>
      <c r="F11" s="2975">
        <v>33568.449999999997</v>
      </c>
      <c r="G11" s="2975" t="s">
        <v>4039</v>
      </c>
      <c r="H11" s="2975" t="s">
        <v>3102</v>
      </c>
      <c r="I11" s="2975" t="s">
        <v>3103</v>
      </c>
      <c r="J11" s="2975">
        <v>5009.7700000000004</v>
      </c>
      <c r="K11" s="2975">
        <v>5019.7700000000004</v>
      </c>
      <c r="L11" s="2975">
        <v>1492.4</v>
      </c>
      <c r="M11" s="2975">
        <v>1495.38</v>
      </c>
      <c r="N11" s="2975">
        <v>0.2</v>
      </c>
      <c r="O11" s="2972">
        <f t="shared" si="1"/>
        <v>1495.3833137961392</v>
      </c>
    </row>
    <row r="12" spans="1:15">
      <c r="A12" s="2975" t="s">
        <v>3104</v>
      </c>
      <c r="B12" s="2975" t="s">
        <v>3071</v>
      </c>
      <c r="C12" s="2975" t="s">
        <v>3072</v>
      </c>
      <c r="D12" s="2975" t="s">
        <v>3078</v>
      </c>
      <c r="E12" s="2975">
        <v>3491.53</v>
      </c>
      <c r="F12" s="2975">
        <v>2094.92</v>
      </c>
      <c r="G12" s="2975" t="s">
        <v>4040</v>
      </c>
      <c r="H12" s="2975" t="s">
        <v>3105</v>
      </c>
      <c r="I12" s="2975" t="s">
        <v>3106</v>
      </c>
      <c r="J12" s="2975">
        <v>485.64</v>
      </c>
      <c r="K12" s="2975">
        <v>486</v>
      </c>
      <c r="L12" s="2975">
        <v>2318.2199999999998</v>
      </c>
      <c r="M12" s="2975">
        <v>2319.9</v>
      </c>
      <c r="N12" s="2975">
        <v>7.0000000000000007E-2</v>
      </c>
      <c r="O12" s="2972">
        <f t="shared" si="1"/>
        <v>1391.9399231855375</v>
      </c>
    </row>
    <row r="13" spans="1:15">
      <c r="A13" s="2975" t="s">
        <v>3104</v>
      </c>
      <c r="B13" s="2975" t="s">
        <v>3071</v>
      </c>
      <c r="C13" s="2975" t="s">
        <v>3072</v>
      </c>
      <c r="D13" s="2975" t="s">
        <v>3078</v>
      </c>
      <c r="E13" s="2975">
        <v>62083.39</v>
      </c>
      <c r="F13" s="2975">
        <v>37250.03</v>
      </c>
      <c r="G13" s="2975" t="s">
        <v>4040</v>
      </c>
      <c r="H13" s="2975" t="s">
        <v>3105</v>
      </c>
      <c r="I13" s="2975" t="s">
        <v>3106</v>
      </c>
      <c r="J13" s="2975">
        <v>8620.09</v>
      </c>
      <c r="K13" s="2975">
        <v>8626.2900000000009</v>
      </c>
      <c r="L13" s="2975">
        <v>2314.11</v>
      </c>
      <c r="M13" s="2975">
        <v>2315.7800000000002</v>
      </c>
      <c r="N13" s="2975">
        <v>7.0000000000000007E-2</v>
      </c>
      <c r="O13" s="2972">
        <f t="shared" si="1"/>
        <v>1389.4682619618552</v>
      </c>
    </row>
    <row r="14" spans="1:15">
      <c r="A14" s="2975" t="s">
        <v>3107</v>
      </c>
      <c r="B14" s="2975" t="s">
        <v>3071</v>
      </c>
      <c r="C14" s="2975" t="s">
        <v>3072</v>
      </c>
      <c r="D14" s="2975" t="s">
        <v>3078</v>
      </c>
      <c r="E14" s="2975">
        <v>46186.09</v>
      </c>
      <c r="F14" s="2975">
        <v>50804.7</v>
      </c>
      <c r="G14" s="2975" t="s">
        <v>4041</v>
      </c>
      <c r="H14" s="2975" t="s">
        <v>3108</v>
      </c>
      <c r="I14" s="2975" t="s">
        <v>3109</v>
      </c>
      <c r="J14" s="2975">
        <v>7288.17</v>
      </c>
      <c r="K14" s="2975">
        <v>7292.78</v>
      </c>
      <c r="L14" s="2975">
        <v>1434.54</v>
      </c>
      <c r="M14" s="2975">
        <v>1435.46</v>
      </c>
      <c r="N14" s="2975">
        <v>0.06</v>
      </c>
      <c r="O14" s="2972">
        <f t="shared" si="1"/>
        <v>1578.9992181628713</v>
      </c>
    </row>
    <row r="15" spans="1:15">
      <c r="A15" s="2975" t="s">
        <v>3107</v>
      </c>
      <c r="B15" s="2975" t="s">
        <v>3071</v>
      </c>
      <c r="C15" s="2975" t="s">
        <v>3072</v>
      </c>
      <c r="D15" s="2975" t="s">
        <v>3078</v>
      </c>
      <c r="E15" s="2975">
        <v>10929.27</v>
      </c>
      <c r="F15" s="2975">
        <v>12568.66</v>
      </c>
      <c r="G15" s="2975" t="s">
        <v>4042</v>
      </c>
      <c r="H15" s="2975" t="s">
        <v>3108</v>
      </c>
      <c r="I15" s="2975" t="s">
        <v>3109</v>
      </c>
      <c r="J15" s="2975">
        <v>1750.86</v>
      </c>
      <c r="K15" s="2975">
        <v>1751.96</v>
      </c>
      <c r="L15" s="2975">
        <v>1393.04</v>
      </c>
      <c r="M15" s="2975">
        <v>1393.91</v>
      </c>
      <c r="N15" s="2975">
        <v>0.06</v>
      </c>
      <c r="O15" s="2972">
        <f t="shared" si="1"/>
        <v>1602.9981874361233</v>
      </c>
    </row>
    <row r="16" spans="1:15">
      <c r="A16" s="2975" t="s">
        <v>3107</v>
      </c>
      <c r="B16" s="2975" t="s">
        <v>3071</v>
      </c>
      <c r="C16" s="2975" t="s">
        <v>3072</v>
      </c>
      <c r="D16" s="2975" t="s">
        <v>3078</v>
      </c>
      <c r="E16" s="2975">
        <v>1338.19</v>
      </c>
      <c r="F16" s="2975">
        <v>1472.01</v>
      </c>
      <c r="G16" s="2975" t="s">
        <v>4041</v>
      </c>
      <c r="H16" s="2975" t="s">
        <v>3108</v>
      </c>
      <c r="I16" s="2975" t="s">
        <v>3109</v>
      </c>
      <c r="J16" s="2975">
        <v>345.51</v>
      </c>
      <c r="K16" s="2975">
        <v>345.64</v>
      </c>
      <c r="L16" s="2975">
        <v>2347.2600000000002</v>
      </c>
      <c r="M16" s="2975">
        <v>2348.15</v>
      </c>
      <c r="N16" s="2975">
        <v>0.04</v>
      </c>
      <c r="O16" s="2972">
        <f t="shared" si="1"/>
        <v>2582.8918165581867</v>
      </c>
    </row>
    <row r="17" spans="1:14" s="2949" customFormat="1" ht="54">
      <c r="A17" s="2949" t="s">
        <v>3070</v>
      </c>
      <c r="B17" s="2949" t="s">
        <v>3071</v>
      </c>
      <c r="C17" s="2949" t="s">
        <v>3072</v>
      </c>
      <c r="D17" s="2949">
        <v>137323.5</v>
      </c>
      <c r="E17" s="2949">
        <v>233450</v>
      </c>
      <c r="F17" s="2949">
        <f t="shared" ref="F17" si="2">E17/D17</f>
        <v>1.7000003641037404</v>
      </c>
      <c r="G17" s="2949" t="s">
        <v>3073</v>
      </c>
      <c r="H17" s="2949" t="s">
        <v>3074</v>
      </c>
      <c r="I17" s="2949">
        <v>61162</v>
      </c>
      <c r="J17" s="2949">
        <v>61167</v>
      </c>
      <c r="K17" s="2949">
        <v>2620.13</v>
      </c>
      <c r="L17" s="2949">
        <v>0.01</v>
      </c>
      <c r="M17" s="2949" t="s">
        <v>3075</v>
      </c>
      <c r="N17" s="2949" t="s">
        <v>3076</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7" customWidth="1"/>
    <col min="2" max="9" width="12.125" style="1947" customWidth="1"/>
    <col min="10" max="16384" width="9" style="1947"/>
  </cols>
  <sheetData>
    <row r="1" spans="1:9" ht="18.75" thickBot="1">
      <c r="A1" s="3040" t="str">
        <f>IF(项目基本情况!B9="房地产市场价值","估价结果一览表","结果表-2")</f>
        <v>结果表-2</v>
      </c>
      <c r="B1" s="3040"/>
      <c r="C1" s="3040"/>
      <c r="D1" s="3040"/>
      <c r="E1" s="3040"/>
      <c r="F1" s="3040"/>
      <c r="G1" s="3040"/>
      <c r="H1" s="3040"/>
      <c r="I1" s="3040"/>
    </row>
    <row r="2" spans="1:9" ht="30" customHeight="1" thickTop="1">
      <c r="A2" s="3041" t="s">
        <v>1637</v>
      </c>
      <c r="B2" s="3041" t="s">
        <v>1638</v>
      </c>
      <c r="C2" s="3041" t="s">
        <v>1639</v>
      </c>
      <c r="D2" s="3041" t="str">
        <f>结果表!D116</f>
        <v>出让国有建设用地使用权价值</v>
      </c>
      <c r="E2" s="3041"/>
      <c r="F2" s="3041" t="str">
        <f>结果表!F116</f>
        <v>在建建筑物价值</v>
      </c>
      <c r="G2" s="3041"/>
      <c r="H2" s="3041" t="str">
        <f>IF(项目基本情况!B9="房地产市场价值","房地产市场价值","房地产价值")</f>
        <v>房地产价值</v>
      </c>
      <c r="I2" s="3041"/>
    </row>
    <row r="3" spans="1:9" ht="15">
      <c r="A3" s="3035"/>
      <c r="B3" s="3035"/>
      <c r="C3" s="3035"/>
      <c r="D3" s="1047" t="s">
        <v>1634</v>
      </c>
      <c r="E3" s="1047" t="s">
        <v>1640</v>
      </c>
      <c r="F3" s="1047" t="s">
        <v>1634</v>
      </c>
      <c r="G3" s="1047" t="s">
        <v>1635</v>
      </c>
      <c r="H3" s="1047" t="s">
        <v>1634</v>
      </c>
      <c r="I3" s="1047" t="s">
        <v>1635</v>
      </c>
    </row>
    <row r="4" spans="1:9" ht="30">
      <c r="A4" s="1975" t="str">
        <f>项目基本情况!S2</f>
        <v>出让国有建设用地使用权及在建建筑物房地产</v>
      </c>
      <c r="B4" s="1047">
        <f>项目基本情况!C17</f>
        <v>34338.32</v>
      </c>
      <c r="C4" s="1047">
        <f>项目基本情况!C18</f>
        <v>16074.03</v>
      </c>
      <c r="D4" s="1047">
        <f ca="1">结果表!D118</f>
        <v>25855</v>
      </c>
      <c r="E4" s="1047">
        <f ca="1">结果表!E118</f>
        <v>7530</v>
      </c>
      <c r="F4" s="1047">
        <f ca="1">结果表!F118</f>
        <v>24741</v>
      </c>
      <c r="G4" s="1047">
        <f ca="1">结果表!G118</f>
        <v>7205</v>
      </c>
      <c r="H4" s="1047">
        <f ca="1">结果表!H118</f>
        <v>50596</v>
      </c>
      <c r="I4" s="1047">
        <f ca="1">结果表!I118</f>
        <v>14735</v>
      </c>
    </row>
    <row r="5" spans="1:9" ht="30" customHeight="1">
      <c r="A5" s="3035" t="s">
        <v>1636</v>
      </c>
      <c r="B5" s="3035"/>
      <c r="C5" s="3035"/>
      <c r="D5" s="3036" t="str">
        <f ca="1">结果表!D119</f>
        <v>贰亿伍仟捌佰伍拾伍万元整</v>
      </c>
      <c r="E5" s="3036"/>
      <c r="F5" s="3036" t="str">
        <f ca="1">结果表!F119</f>
        <v>贰亿肆仟柒佰肆拾壹万元整</v>
      </c>
      <c r="G5" s="3036"/>
      <c r="H5" s="3036" t="str">
        <f ca="1">结果表!H119</f>
        <v>伍亿零伍佰玖拾陆万元整</v>
      </c>
      <c r="I5" s="3036"/>
    </row>
    <row r="6" spans="1:9" ht="15.75">
      <c r="A6" s="3034" t="str">
        <f>结果表!A120</f>
        <v>估价师知悉的法定优先受偿款</v>
      </c>
      <c r="B6" s="3034"/>
      <c r="C6" s="3034"/>
      <c r="D6" s="3034">
        <f>结果表!D120</f>
        <v>0</v>
      </c>
      <c r="E6" s="3034"/>
      <c r="F6" s="3034"/>
      <c r="G6" s="3034"/>
      <c r="H6" s="3034"/>
      <c r="I6" s="3034"/>
    </row>
    <row r="7" spans="1:9" ht="15">
      <c r="A7" s="3035" t="s">
        <v>1636</v>
      </c>
      <c r="B7" s="3035"/>
      <c r="C7" s="3035"/>
      <c r="D7" s="3037" t="str">
        <f>结果表!D121</f>
        <v>零元整</v>
      </c>
      <c r="E7" s="3038"/>
      <c r="F7" s="3038"/>
      <c r="G7" s="3038"/>
      <c r="H7" s="3038"/>
      <c r="I7" s="3039"/>
    </row>
    <row r="8" spans="1:9" ht="15.75">
      <c r="A8" s="3034" t="str">
        <f>结果表!A122</f>
        <v>房地产抵押价值</v>
      </c>
      <c r="B8" s="3034"/>
      <c r="C8" s="3034"/>
      <c r="D8" s="3034">
        <f ca="1">结果表!D122</f>
        <v>50596</v>
      </c>
      <c r="E8" s="3034"/>
      <c r="F8" s="3034"/>
      <c r="G8" s="3034"/>
      <c r="H8" s="3034"/>
      <c r="I8" s="3034"/>
    </row>
    <row r="9" spans="1:9" ht="15">
      <c r="A9" s="3035" t="s">
        <v>1636</v>
      </c>
      <c r="B9" s="3035"/>
      <c r="C9" s="3035"/>
      <c r="D9" s="3036" t="str">
        <f ca="1">结果表!D123</f>
        <v>伍亿零伍佰玖拾陆万元整</v>
      </c>
      <c r="E9" s="3036"/>
      <c r="F9" s="3036"/>
      <c r="G9" s="3036"/>
      <c r="H9" s="3036"/>
      <c r="I9" s="3036"/>
    </row>
    <row r="10" spans="1:9" ht="15.75">
      <c r="A10" s="3034" t="str">
        <f>结果表!A124</f>
        <v/>
      </c>
      <c r="B10" s="3034"/>
      <c r="C10" s="3034"/>
      <c r="D10" s="3034" t="str">
        <f>结果表!D124</f>
        <v>——</v>
      </c>
      <c r="E10" s="3034"/>
      <c r="F10" s="3034"/>
      <c r="G10" s="3034"/>
      <c r="H10" s="3034"/>
      <c r="I10" s="3034"/>
    </row>
    <row r="11" spans="1:9" ht="15">
      <c r="A11" s="3035" t="s">
        <v>1636</v>
      </c>
      <c r="B11" s="3035"/>
      <c r="C11" s="3035"/>
      <c r="D11" s="3036" t="e">
        <f>结果表!D125</f>
        <v>#VALUE!</v>
      </c>
      <c r="E11" s="3036"/>
      <c r="F11" s="3036"/>
      <c r="G11" s="3036"/>
      <c r="H11" s="3036"/>
      <c r="I11" s="3036"/>
    </row>
    <row r="12" spans="1:9" ht="15.75">
      <c r="A12" s="3034" t="str">
        <f>结果表!A126</f>
        <v/>
      </c>
      <c r="B12" s="3034"/>
      <c r="C12" s="3034"/>
      <c r="D12" s="3034" t="str">
        <f>结果表!D126</f>
        <v>——</v>
      </c>
      <c r="E12" s="3034"/>
      <c r="F12" s="3034"/>
      <c r="G12" s="3034"/>
      <c r="H12" s="3034"/>
      <c r="I12" s="3034"/>
    </row>
    <row r="13" spans="1:9" ht="15.75" thickBot="1">
      <c r="A13" s="3031" t="s">
        <v>1636</v>
      </c>
      <c r="B13" s="3031"/>
      <c r="C13" s="3031"/>
      <c r="D13" s="3032" t="e">
        <f>结果表!D127</f>
        <v>#VALUE!</v>
      </c>
      <c r="E13" s="3032"/>
      <c r="F13" s="3032"/>
      <c r="G13" s="3032"/>
      <c r="H13" s="3032"/>
      <c r="I13" s="3032"/>
    </row>
    <row r="14" spans="1:9" ht="15" thickTop="1">
      <c r="A14" s="3033" t="s">
        <v>1641</v>
      </c>
      <c r="B14" s="3033"/>
      <c r="C14" s="3033"/>
      <c r="D14" s="3033"/>
      <c r="E14" s="3033"/>
      <c r="F14" s="3033"/>
      <c r="G14" s="3033"/>
      <c r="H14" s="3033"/>
      <c r="I14" s="3033"/>
    </row>
    <row r="16" spans="1:9" ht="18.75">
      <c r="A16" s="1976" t="s">
        <v>1624</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7" customWidth="1"/>
    <col min="2" max="3" width="22.375" style="1947" customWidth="1"/>
    <col min="4" max="4" width="23" style="1947" customWidth="1"/>
    <col min="5" max="16384" width="9" style="1947"/>
  </cols>
  <sheetData>
    <row r="1" spans="1:4" ht="18.75">
      <c r="A1" s="3048" t="s">
        <v>1658</v>
      </c>
      <c r="B1" s="3048"/>
      <c r="C1" s="3048"/>
      <c r="D1" s="3048"/>
    </row>
    <row r="2" spans="1:4" ht="18">
      <c r="A2" s="3049" t="s">
        <v>1642</v>
      </c>
      <c r="B2" s="3049"/>
      <c r="C2" s="3049"/>
      <c r="D2" s="3049"/>
    </row>
    <row r="3" spans="1:4" ht="18.75">
      <c r="A3" s="1979" t="s">
        <v>1643</v>
      </c>
      <c r="B3" s="1979" t="s">
        <v>1644</v>
      </c>
      <c r="C3" s="1979" t="s">
        <v>1645</v>
      </c>
      <c r="D3" s="1979" t="s">
        <v>1646</v>
      </c>
    </row>
    <row r="4" spans="1:4" ht="56.25" customHeight="1">
      <c r="A4" s="1980" t="str">
        <f>项目基本情况!B4</f>
        <v>吴薇</v>
      </c>
      <c r="B4" s="1981">
        <f ca="1">项目基本情况!C4</f>
        <v>1419970001</v>
      </c>
      <c r="C4" s="1982"/>
      <c r="D4" s="1983" t="s">
        <v>1647</v>
      </c>
    </row>
    <row r="5" spans="1:4" ht="56.25" customHeight="1">
      <c r="A5" s="1980" t="str">
        <f>项目基本情况!D4</f>
        <v>郑燚</v>
      </c>
      <c r="B5" s="1981">
        <f ca="1">项目基本情况!E4</f>
        <v>1120070131</v>
      </c>
      <c r="C5" s="1984"/>
      <c r="D5" s="1983" t="s">
        <v>1647</v>
      </c>
    </row>
    <row r="6" spans="1:4" ht="18">
      <c r="A6" s="3049" t="s">
        <v>1648</v>
      </c>
      <c r="B6" s="3049"/>
      <c r="C6" s="3049"/>
      <c r="D6" s="3049"/>
    </row>
    <row r="7" spans="1:4" ht="18.75">
      <c r="A7" s="1979" t="s">
        <v>1643</v>
      </c>
      <c r="B7" s="1981" t="s">
        <v>1649</v>
      </c>
      <c r="C7" s="1979" t="s">
        <v>1645</v>
      </c>
      <c r="D7" s="1979" t="s">
        <v>1646</v>
      </c>
    </row>
    <row r="8" spans="1:4" ht="56.25" customHeight="1">
      <c r="A8" s="1985" t="s">
        <v>866</v>
      </c>
      <c r="B8" s="1985" t="s">
        <v>1</v>
      </c>
      <c r="C8" s="1982"/>
      <c r="D8" s="1983" t="s">
        <v>1647</v>
      </c>
    </row>
    <row r="9" spans="1:4">
      <c r="A9" s="728"/>
      <c r="B9" s="728"/>
      <c r="C9" s="728"/>
      <c r="D9" s="728"/>
    </row>
    <row r="10" spans="1:4" ht="18.75">
      <c r="A10" s="1986" t="s">
        <v>1650</v>
      </c>
      <c r="B10" s="728"/>
      <c r="C10" s="728"/>
      <c r="D10" s="728"/>
    </row>
    <row r="11" spans="1:4" ht="30" customHeight="1">
      <c r="A11" s="3050" t="s">
        <v>1651</v>
      </c>
      <c r="B11" s="3042"/>
      <c r="C11" s="3042"/>
      <c r="D11" s="3042"/>
    </row>
    <row r="12" spans="1:4" ht="15.75">
      <c r="A12" s="304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7"/>
      <c r="C12" s="3047"/>
      <c r="D12" s="3047"/>
    </row>
    <row r="13" spans="1:4" ht="30" customHeight="1">
      <c r="A13" s="3042" t="str">
        <f>IF(项目基本情况!B8="抵押","3.抵押双方在办理抵押登记手续时，应使用本公司出具的正式《房地产评估报告》，特提醒报告使用者注意。","——")</f>
        <v>——</v>
      </c>
      <c r="B13" s="3047"/>
      <c r="C13" s="3047"/>
      <c r="D13" s="3047"/>
    </row>
    <row r="14" spans="1:4" ht="15.75" customHeight="1">
      <c r="A14" s="3042" t="str">
        <f>IF(项目基本情况!B8="抵押","4.本次评估估价师所知悉的法定优先受偿款情况说明如下：","——")</f>
        <v>——</v>
      </c>
      <c r="B14" s="3047"/>
      <c r="C14" s="3047"/>
      <c r="D14" s="3047"/>
    </row>
    <row r="15" spans="1:4" ht="42" customHeight="1">
      <c r="A15" s="3042" t="str">
        <f>IF(项目基本情况!B8="抵押","（1）"&amp;CONCATENATE(项目基本情况!L20,项目基本情况!L21,项目基本情况!L22),"——")</f>
        <v>——</v>
      </c>
      <c r="B15" s="3042"/>
      <c r="C15" s="3042"/>
      <c r="D15" s="3042"/>
    </row>
    <row r="16" spans="1:4" ht="30" customHeight="1">
      <c r="A16" s="3044" t="s">
        <v>1652</v>
      </c>
      <c r="B16" s="3044"/>
      <c r="C16" s="3044"/>
      <c r="D16" s="3044"/>
    </row>
    <row r="17" spans="1:4" ht="144" customHeight="1">
      <c r="A17" s="3044" t="s">
        <v>1653</v>
      </c>
      <c r="B17" s="3044"/>
      <c r="C17" s="3044"/>
      <c r="D17" s="3044"/>
    </row>
    <row r="18" spans="1:4" ht="15.75" customHeight="1">
      <c r="A18" s="3042" t="str">
        <f>IF(项目基本情况!B8="抵押",结果表!K120,"——")</f>
        <v>——</v>
      </c>
      <c r="B18" s="3042"/>
      <c r="C18" s="3042"/>
      <c r="D18" s="3042"/>
    </row>
    <row r="19" spans="1:4" ht="46.5" customHeight="1">
      <c r="A19" s="304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42"/>
      <c r="C19" s="3042"/>
      <c r="D19" s="3042"/>
    </row>
    <row r="20" spans="1:4" ht="57.75" customHeight="1">
      <c r="A20" s="304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42"/>
      <c r="C20" s="3042"/>
      <c r="D20" s="3042"/>
    </row>
    <row r="21" spans="1:4" ht="57.75" customHeight="1">
      <c r="A21" s="304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45"/>
      <c r="C21" s="3045"/>
      <c r="D21" s="3045"/>
    </row>
    <row r="22" spans="1:4" ht="18.75" customHeight="1">
      <c r="A22" s="3046" t="s">
        <v>1654</v>
      </c>
      <c r="B22" s="3046"/>
      <c r="C22" s="3046"/>
      <c r="D22" s="3046"/>
    </row>
    <row r="23" spans="1:4">
      <c r="A23" s="1987"/>
      <c r="B23" s="1959"/>
      <c r="C23" s="1959"/>
      <c r="D23" s="1959"/>
    </row>
    <row r="24" spans="1:4">
      <c r="A24" s="1987"/>
      <c r="B24" s="1959"/>
      <c r="C24" s="1959"/>
      <c r="D24" s="1959"/>
    </row>
    <row r="25" spans="1:4" ht="18.75">
      <c r="A25" s="1988" t="s">
        <v>1655</v>
      </c>
    </row>
    <row r="26" spans="1:4" ht="18">
      <c r="A26" s="1957"/>
    </row>
    <row r="27" spans="1:4" ht="18.75">
      <c r="A27" s="1957" t="s">
        <v>1656</v>
      </c>
    </row>
    <row r="30" spans="1:4" ht="18.75">
      <c r="D30" s="1988" t="s">
        <v>1657</v>
      </c>
    </row>
    <row r="31" spans="1:4" ht="13.5" customHeight="1">
      <c r="C31" s="3043">
        <v>42551</v>
      </c>
      <c r="D31" s="304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5" customWidth="1"/>
    <col min="3" max="10" width="12.5" style="1945" customWidth="1"/>
    <col min="11" max="16384" width="9" style="1945"/>
  </cols>
  <sheetData>
    <row r="1" spans="1:10" ht="18.75">
      <c r="A1" s="1978" t="s">
        <v>867</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1659</v>
      </c>
    </row>
    <row r="3" spans="1:7">
      <c r="A3" s="1993" t="s">
        <v>82</v>
      </c>
      <c r="B3" s="1977" t="s">
        <v>1660</v>
      </c>
      <c r="G3" s="1994"/>
    </row>
    <row r="4" spans="1:7">
      <c r="G4" s="1994"/>
    </row>
    <row r="5" spans="1:7">
      <c r="A5" s="1996" t="s">
        <v>73</v>
      </c>
      <c r="B5" s="1977" t="s">
        <v>1661</v>
      </c>
      <c r="G5" s="1994"/>
    </row>
    <row r="6" spans="1:7">
      <c r="G6" s="1994"/>
    </row>
    <row r="7" spans="1:7">
      <c r="A7" s="1997" t="s">
        <v>135</v>
      </c>
      <c r="B7" s="1977" t="s">
        <v>1662</v>
      </c>
      <c r="G7" s="1994"/>
    </row>
    <row r="8" spans="1:7">
      <c r="G8" s="1994"/>
    </row>
    <row r="9" spans="1:7">
      <c r="A9" s="1998" t="s">
        <v>74</v>
      </c>
      <c r="B9" s="1977" t="s">
        <v>1663</v>
      </c>
    </row>
    <row r="11" spans="1:7">
      <c r="A11" s="1999" t="s">
        <v>75</v>
      </c>
      <c r="B11" s="2000" t="s">
        <v>72</v>
      </c>
    </row>
    <row r="13" spans="1:7">
      <c r="A13" s="2001" t="s">
        <v>1664</v>
      </c>
    </row>
    <row r="15" spans="1:7" ht="13.5">
      <c r="A15" s="3056" t="s">
        <v>1665</v>
      </c>
      <c r="B15" s="3051" t="s">
        <v>136</v>
      </c>
      <c r="C15" s="3052"/>
    </row>
    <row r="16" spans="1:7" ht="13.5">
      <c r="A16" s="3057"/>
      <c r="B16" s="3051" t="s">
        <v>69</v>
      </c>
      <c r="C16" s="3052"/>
    </row>
    <row r="17" spans="1:3" ht="13.5">
      <c r="A17" s="3057"/>
      <c r="B17" s="3054" t="s">
        <v>1666</v>
      </c>
      <c r="C17" s="2002" t="s">
        <v>1665</v>
      </c>
    </row>
    <row r="18" spans="1:3" ht="13.5">
      <c r="A18" s="3057"/>
      <c r="B18" s="3054"/>
      <c r="C18" s="2002" t="s">
        <v>1667</v>
      </c>
    </row>
    <row r="19" spans="1:3" ht="13.5">
      <c r="A19" s="3057"/>
      <c r="B19" s="3054"/>
      <c r="C19" s="2002" t="s">
        <v>1668</v>
      </c>
    </row>
    <row r="20" spans="1:3" ht="13.5">
      <c r="A20" s="3058"/>
      <c r="B20" s="3053" t="s">
        <v>1669</v>
      </c>
      <c r="C20" s="3052"/>
    </row>
    <row r="21" spans="1:3" ht="13.5">
      <c r="A21" s="2003" t="s">
        <v>1670</v>
      </c>
      <c r="B21" s="2004"/>
      <c r="C21" s="2005"/>
    </row>
    <row r="22" spans="1:3" ht="13.5">
      <c r="A22" s="3055" t="s">
        <v>1671</v>
      </c>
      <c r="B22" s="3053" t="s">
        <v>1672</v>
      </c>
      <c r="C22" s="3052"/>
    </row>
    <row r="23" spans="1:3" ht="13.5">
      <c r="A23" s="3055"/>
      <c r="B23" s="3053" t="s">
        <v>1673</v>
      </c>
      <c r="C23" s="3052"/>
    </row>
    <row r="24" spans="1:3" ht="13.5">
      <c r="A24" s="3055"/>
      <c r="B24" s="3053" t="s">
        <v>1674</v>
      </c>
      <c r="C24" s="3052"/>
    </row>
    <row r="25" spans="1:3" ht="13.5">
      <c r="A25" s="3055"/>
      <c r="B25" s="3054" t="s">
        <v>1675</v>
      </c>
      <c r="C25" s="2002" t="s">
        <v>1676</v>
      </c>
    </row>
    <row r="26" spans="1:3" ht="13.5">
      <c r="A26" s="3055"/>
      <c r="B26" s="3054"/>
      <c r="C26" s="2002" t="s">
        <v>1677</v>
      </c>
    </row>
    <row r="27" spans="1:3" ht="13.5">
      <c r="A27" s="3055"/>
      <c r="B27" s="3054"/>
      <c r="C27" s="2002" t="s">
        <v>1678</v>
      </c>
    </row>
    <row r="28" spans="1:3" ht="13.5">
      <c r="A28" s="3055"/>
      <c r="B28" s="3054"/>
      <c r="C28" s="2002" t="s">
        <v>1679</v>
      </c>
    </row>
    <row r="29" spans="1:3" ht="13.5">
      <c r="A29" s="3055"/>
      <c r="B29" s="3054"/>
      <c r="C29" s="2002" t="s">
        <v>1680</v>
      </c>
    </row>
    <row r="30" spans="1:3" ht="13.5">
      <c r="A30" s="3055"/>
      <c r="B30" s="3054"/>
      <c r="C30" s="2002" t="s">
        <v>1681</v>
      </c>
    </row>
    <row r="31" spans="1:3" ht="13.5">
      <c r="A31" s="3055"/>
      <c r="B31" s="3054"/>
      <c r="C31" s="2002" t="s">
        <v>1682</v>
      </c>
    </row>
    <row r="32" spans="1:3" ht="13.5">
      <c r="A32" s="3055"/>
      <c r="B32" s="3054"/>
      <c r="C32" s="2002" t="s">
        <v>1683</v>
      </c>
    </row>
    <row r="33" spans="1:3" ht="13.5">
      <c r="A33" s="3055"/>
      <c r="B33" s="3054"/>
      <c r="C33" s="2002" t="s">
        <v>1684</v>
      </c>
    </row>
    <row r="34" spans="1:3">
      <c r="A34" s="2006" t="s">
        <v>76</v>
      </c>
    </row>
    <row r="37" spans="1:3">
      <c r="A37" s="2006" t="s">
        <v>1685</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43693</v>
      </c>
      <c r="C2" s="1022" t="s">
        <v>826</v>
      </c>
      <c r="D2" s="1022"/>
    </row>
    <row r="3" spans="1:6" ht="24" customHeight="1">
      <c r="A3" s="1023" t="s">
        <v>827</v>
      </c>
      <c r="B3" s="1024" t="s">
        <v>828</v>
      </c>
      <c r="C3" s="2350" t="s">
        <v>829</v>
      </c>
      <c r="D3" s="2353" t="s">
        <v>830</v>
      </c>
      <c r="E3" s="1025" t="s">
        <v>831</v>
      </c>
      <c r="F3" s="1024" t="s">
        <v>829</v>
      </c>
    </row>
    <row r="4" spans="1:6" ht="24" customHeight="1">
      <c r="A4" s="1704" t="s">
        <v>832</v>
      </c>
      <c r="B4" s="1025">
        <f ca="1">IF(C4&lt;B2,"已过期",1119970066)</f>
        <v>1119970066</v>
      </c>
      <c r="C4" s="2351">
        <v>43849</v>
      </c>
      <c r="D4" s="2354" t="s">
        <v>832</v>
      </c>
      <c r="E4" s="1025">
        <f ca="1">IF(F4&lt;B2,"已过期",96010014)</f>
        <v>96010014</v>
      </c>
      <c r="F4" s="1033">
        <v>47118</v>
      </c>
    </row>
    <row r="5" spans="1:6" ht="24" customHeight="1">
      <c r="A5" s="1704" t="s">
        <v>833</v>
      </c>
      <c r="B5" s="1025">
        <f ca="1">IF(C5&lt;B2,"已过期",1119970074)</f>
        <v>1119970074</v>
      </c>
      <c r="C5" s="2351">
        <v>43849</v>
      </c>
      <c r="D5" s="2354" t="s">
        <v>833</v>
      </c>
      <c r="E5" s="1025">
        <f ca="1">IF(F5&lt;B2,"已过期",2002110027)</f>
        <v>2002110027</v>
      </c>
      <c r="F5" s="1033">
        <v>46752</v>
      </c>
    </row>
    <row r="6" spans="1:6" ht="24" customHeight="1">
      <c r="A6" s="1704" t="s">
        <v>834</v>
      </c>
      <c r="B6" s="1025">
        <f ca="1">IF(C6&lt;B2,"已过期",1119970111)</f>
        <v>1119970111</v>
      </c>
      <c r="C6" s="2351">
        <v>43849</v>
      </c>
      <c r="D6" s="2354" t="s">
        <v>834</v>
      </c>
      <c r="E6" s="1025">
        <f ca="1">IF(F6&lt;B2,"已过期",94010078)</f>
        <v>94010078</v>
      </c>
      <c r="F6" s="1033">
        <v>46387</v>
      </c>
    </row>
    <row r="7" spans="1:6" ht="24" customHeight="1">
      <c r="A7" s="1704" t="s">
        <v>835</v>
      </c>
      <c r="B7" s="1025">
        <f ca="1">IF(C7&lt;B2,"已过期",1120050019)</f>
        <v>1120050019</v>
      </c>
      <c r="C7" s="2351">
        <v>44395</v>
      </c>
      <c r="D7" s="2354" t="s">
        <v>835</v>
      </c>
      <c r="E7" s="1025">
        <f ca="1">IF(F7&lt;B2,"已过期",2002110030)</f>
        <v>2002110030</v>
      </c>
      <c r="F7" s="1033">
        <v>46387</v>
      </c>
    </row>
    <row r="8" spans="1:6" ht="24" customHeight="1">
      <c r="A8" s="1704" t="s">
        <v>836</v>
      </c>
      <c r="B8" s="1025">
        <f ca="1">IF(C8&lt;B2,"已过期",1120000080)</f>
        <v>1120000080</v>
      </c>
      <c r="C8" s="2351">
        <v>43849</v>
      </c>
      <c r="D8" s="2354" t="s">
        <v>836</v>
      </c>
      <c r="E8" s="1025">
        <f ca="1">IF(F8&lt;B2,"已过期",2000110082)</f>
        <v>2000110082</v>
      </c>
      <c r="F8" s="1033">
        <v>46387</v>
      </c>
    </row>
    <row r="9" spans="1:6" ht="24" customHeight="1">
      <c r="A9" s="1704" t="s">
        <v>837</v>
      </c>
      <c r="B9" s="1025">
        <f ca="1">IF(C9&lt;B2,"已过期",1419970001)</f>
        <v>1419970001</v>
      </c>
      <c r="C9" s="2351">
        <v>43867</v>
      </c>
      <c r="D9" s="2354" t="s">
        <v>837</v>
      </c>
      <c r="E9" s="1025">
        <f ca="1">IF(F9&lt;B2,"已过期",2002110125)</f>
        <v>2002110125</v>
      </c>
      <c r="F9" s="1033">
        <v>47118</v>
      </c>
    </row>
    <row r="10" spans="1:6" ht="24" customHeight="1">
      <c r="A10" s="1704" t="s">
        <v>838</v>
      </c>
      <c r="B10" s="1025" t="str">
        <f ca="1">IF(C10&lt;B2,"已过期",1120060040)</f>
        <v>已过期</v>
      </c>
      <c r="C10" s="2351">
        <v>43483</v>
      </c>
      <c r="D10" s="2354" t="s">
        <v>838</v>
      </c>
      <c r="E10" s="1025">
        <f ca="1">IF(F10&lt;B2,"已过期",2004110096)</f>
        <v>2004110096</v>
      </c>
      <c r="F10" s="1033">
        <v>47118</v>
      </c>
    </row>
    <row r="11" spans="1:6" ht="24" customHeight="1">
      <c r="A11" s="1704" t="s">
        <v>839</v>
      </c>
      <c r="B11" s="1025" t="str">
        <f ca="1">IF(C11&lt;B2,"已过期",1120100036)</f>
        <v>已过期</v>
      </c>
      <c r="C11" s="2351">
        <v>43622</v>
      </c>
      <c r="D11" s="2354" t="s">
        <v>839</v>
      </c>
      <c r="E11" s="1025">
        <f ca="1">IF(F11&lt;B2,"已过期",2010110070)</f>
        <v>2010110070</v>
      </c>
      <c r="F11" s="1033">
        <v>47907</v>
      </c>
    </row>
    <row r="12" spans="1:6" ht="24" customHeight="1">
      <c r="A12" s="1704"/>
      <c r="B12" s="1025"/>
      <c r="C12" s="2942"/>
      <c r="D12" s="1704"/>
      <c r="E12" s="1025"/>
      <c r="F12" s="1033"/>
    </row>
    <row r="13" spans="1:6" ht="24" customHeight="1">
      <c r="A13" s="1704" t="s">
        <v>840</v>
      </c>
      <c r="B13" s="1025">
        <f ca="1">IF(C13&lt;B2,"已过期",1120070131)</f>
        <v>1120070131</v>
      </c>
      <c r="C13" s="2351">
        <v>43814</v>
      </c>
      <c r="D13" s="2354" t="s">
        <v>840</v>
      </c>
      <c r="E13" s="1025">
        <f ca="1">IF(F13&lt;B2,"已过期",2014110011)</f>
        <v>2014110011</v>
      </c>
      <c r="F13" s="1033">
        <v>49302</v>
      </c>
    </row>
    <row r="14" spans="1:6" ht="24" customHeight="1">
      <c r="A14" s="1704" t="s">
        <v>3048</v>
      </c>
      <c r="B14" s="1025">
        <f ca="1">IF(C14&lt;B2,"已过期",1120040230)</f>
        <v>1120040230</v>
      </c>
      <c r="C14" s="2351">
        <v>43835</v>
      </c>
      <c r="D14" s="2354" t="s">
        <v>3048</v>
      </c>
      <c r="E14" s="1025">
        <f ca="1">IF(F14&lt;B2,"已过期",98030020)</f>
        <v>98030020</v>
      </c>
      <c r="F14" s="1033">
        <v>47118</v>
      </c>
    </row>
    <row r="15" spans="1:6" ht="24" customHeight="1">
      <c r="A15" s="1705" t="s">
        <v>3049</v>
      </c>
      <c r="B15" s="1025">
        <f ca="1">IF(C15&lt;B2,"已过期",1120070085)</f>
        <v>1120070085</v>
      </c>
      <c r="C15" s="2351">
        <v>43814</v>
      </c>
      <c r="D15" s="2355" t="s">
        <v>3049</v>
      </c>
      <c r="E15" s="1025">
        <f ca="1">IF(F15&lt;B2,"已过期",2004110128)</f>
        <v>2004110128</v>
      </c>
      <c r="F15" s="1026">
        <v>47118</v>
      </c>
    </row>
    <row r="16" spans="1:6" ht="24" customHeight="1">
      <c r="A16" s="1704" t="s">
        <v>3050</v>
      </c>
      <c r="B16" s="1025">
        <f ca="1">IF(C16&lt;B2,"已过期",1120140022)</f>
        <v>1120140022</v>
      </c>
      <c r="C16" s="2942">
        <v>44029</v>
      </c>
      <c r="D16" s="2354" t="s">
        <v>3050</v>
      </c>
      <c r="E16" s="1025">
        <f ca="1">IF(F16&lt;B2,"已过期",2008110059)</f>
        <v>2008110059</v>
      </c>
      <c r="F16" s="1033">
        <v>47177</v>
      </c>
    </row>
    <row r="17" spans="1:7" ht="24" customHeight="1">
      <c r="A17" s="1704"/>
      <c r="B17" s="1025"/>
      <c r="C17" s="2351"/>
      <c r="D17" s="2354" t="s">
        <v>3051</v>
      </c>
      <c r="E17" s="1025">
        <f ca="1">IF(F17&lt;B2,"已过期",2014110076)</f>
        <v>2014110076</v>
      </c>
      <c r="F17" s="1033">
        <v>49302</v>
      </c>
    </row>
    <row r="18" spans="1:7" ht="24" customHeight="1">
      <c r="A18" s="1704"/>
      <c r="B18" s="1025"/>
      <c r="C18" s="2351"/>
      <c r="D18" s="2354"/>
      <c r="E18" s="1025"/>
      <c r="F18" s="1033"/>
    </row>
    <row r="19" spans="1:7" ht="24" customHeight="1">
      <c r="A19" s="1704"/>
      <c r="B19" s="1025"/>
      <c r="C19" s="2351"/>
      <c r="D19" s="2354"/>
      <c r="E19" s="1025"/>
      <c r="F19" s="1025"/>
    </row>
    <row r="20" spans="1:7" ht="24" customHeight="1">
      <c r="A20" s="1704"/>
      <c r="B20" s="1025"/>
      <c r="C20" s="2351"/>
      <c r="D20" s="2354"/>
      <c r="E20" s="1025"/>
      <c r="F20" s="1025"/>
    </row>
    <row r="21" spans="1:7" ht="24" customHeight="1">
      <c r="A21" s="1704"/>
      <c r="B21" s="1025"/>
      <c r="C21" s="2351"/>
      <c r="D21" s="2354" t="s">
        <v>841</v>
      </c>
      <c r="E21" s="1025">
        <f ca="1">IF(F21&lt;B2,"已过期",2011110090)</f>
        <v>2011110090</v>
      </c>
      <c r="F21" s="1033">
        <v>48302</v>
      </c>
    </row>
    <row r="22" spans="1:7" ht="24" customHeight="1">
      <c r="A22" s="1704" t="s">
        <v>842</v>
      </c>
      <c r="B22" s="1025">
        <f ca="1">IF(C22&lt;B2,"已过期",1120020033)</f>
        <v>1120020033</v>
      </c>
      <c r="C22" s="2942">
        <v>44339</v>
      </c>
      <c r="D22" s="2354" t="s">
        <v>842</v>
      </c>
      <c r="E22" s="1025">
        <f ca="1">IF(F22&lt;B2,"已过期",2000110137)</f>
        <v>2000110137</v>
      </c>
      <c r="F22" s="1033">
        <v>46387</v>
      </c>
    </row>
    <row r="23" spans="1:7" ht="24" customHeight="1">
      <c r="A23" s="1704"/>
      <c r="B23" s="1025"/>
      <c r="C23" s="2351"/>
      <c r="D23" s="2354"/>
      <c r="E23" s="1025"/>
      <c r="F23" s="1025"/>
    </row>
    <row r="24" spans="1:7" s="1027" customFormat="1" ht="24" customHeight="1">
      <c r="A24" s="1705" t="s">
        <v>1329</v>
      </c>
      <c r="B24" s="1705" t="s">
        <v>1329</v>
      </c>
      <c r="C24" s="2352" t="s">
        <v>1329</v>
      </c>
      <c r="D24" s="2355" t="s">
        <v>1329</v>
      </c>
      <c r="E24" s="1705" t="s">
        <v>1329</v>
      </c>
      <c r="F24" s="1705" t="s">
        <v>1329</v>
      </c>
    </row>
    <row r="25" spans="1:7" ht="24" customHeight="1">
      <c r="A25" s="3059" t="s">
        <v>843</v>
      </c>
      <c r="B25" s="3059"/>
      <c r="C25" s="3059"/>
      <c r="D25" s="3059"/>
      <c r="E25" s="3059"/>
      <c r="F25" s="3059"/>
      <c r="G25" s="3059"/>
    </row>
    <row r="26" spans="1:7" s="1028" customFormat="1" ht="24" customHeight="1">
      <c r="A26" s="3060" t="s">
        <v>844</v>
      </c>
      <c r="B26" s="3060"/>
      <c r="C26" s="3061"/>
      <c r="D26" s="3062" t="s">
        <v>845</v>
      </c>
      <c r="E26" s="3060"/>
      <c r="F26" s="3060"/>
    </row>
    <row r="27" spans="1:7" s="1030" customFormat="1" ht="24" customHeight="1">
      <c r="A27" s="1029" t="s">
        <v>846</v>
      </c>
      <c r="B27" s="1024" t="s">
        <v>847</v>
      </c>
      <c r="C27" s="2350" t="s">
        <v>848</v>
      </c>
      <c r="D27" s="2358" t="s">
        <v>846</v>
      </c>
      <c r="E27" s="1024" t="s">
        <v>847</v>
      </c>
      <c r="F27" s="1024" t="s">
        <v>848</v>
      </c>
    </row>
    <row r="28" spans="1:7" s="1030" customFormat="1" ht="24" customHeight="1">
      <c r="A28" s="1031" t="s">
        <v>849</v>
      </c>
      <c r="B28" s="1032" t="s">
        <v>850</v>
      </c>
      <c r="C28" s="2356">
        <v>43725</v>
      </c>
      <c r="D28" s="2359" t="s">
        <v>851</v>
      </c>
      <c r="E28" s="1031" t="s">
        <v>852</v>
      </c>
      <c r="F28" s="1061">
        <v>44377</v>
      </c>
    </row>
    <row r="29" spans="1:7" s="1030" customFormat="1" ht="24" customHeight="1">
      <c r="A29" s="1031"/>
      <c r="B29" s="1031"/>
      <c r="C29" s="2357"/>
      <c r="D29" s="2359"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134</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清单</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年期修正系数</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Sheet1</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Sheet2</vt:lpstr>
      <vt:lpstr>商业</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2019-08-16T09:39:09Z</dcterms:modified>
</cp:coreProperties>
</file>