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17\2017-1-1092-F01SFZC6 北京市海淀区苏州街79号4至14层南部的房屋\"/>
    </mc:Choice>
  </mc:AlternateContent>
  <xr:revisionPtr revIDLastSave="0" documentId="13_ncr:1_{939F3F4E-6C56-4862-9F31-2EC87E2B7246}" xr6:coauthVersionLast="45" xr6:coauthVersionMax="45" xr10:uidLastSave="{00000000-0000-0000-0000-000000000000}"/>
  <bookViews>
    <workbookView xWindow="-105" yWindow="0" windowWidth="13260" windowHeight="12885"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租金案例" sheetId="77"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9" i="34" l="1"/>
  <c r="C50" i="34"/>
  <c r="E49" i="34"/>
  <c r="I25" i="34"/>
  <c r="F8" i="67" l="1"/>
  <c r="G3" i="77" l="1"/>
  <c r="G4" i="77" l="1"/>
  <c r="G5" i="77" s="1"/>
  <c r="D5" i="9"/>
  <c r="I37" i="34"/>
  <c r="G37" i="34"/>
  <c r="G34" i="34"/>
  <c r="E34" i="34"/>
  <c r="A95" i="77"/>
  <c r="E48" i="34" s="1"/>
  <c r="A123" i="77"/>
  <c r="G48" i="34" s="1"/>
  <c r="A70" i="77"/>
  <c r="G6" i="77" l="1"/>
  <c r="B4" i="77"/>
  <c r="B6" i="77" s="1"/>
  <c r="Y6" i="1"/>
  <c r="C37" i="34" s="1"/>
  <c r="B3" i="4"/>
  <c r="B8" i="77" l="1"/>
  <c r="B7" i="77"/>
  <c r="B5" i="77"/>
  <c r="G7" i="77"/>
  <c r="AH5" i="71"/>
  <c r="AG5" i="71"/>
  <c r="AE5" i="71"/>
  <c r="AF5" i="71" s="1"/>
  <c r="AD5" i="71"/>
  <c r="Q5" i="71"/>
  <c r="P5" i="71"/>
  <c r="O5" i="71"/>
  <c r="N5" i="71"/>
  <c r="B10" i="77" l="1"/>
  <c r="B9" i="77"/>
  <c r="G8" i="77"/>
  <c r="AH6" i="71"/>
  <c r="AG6" i="71"/>
  <c r="AE6" i="71"/>
  <c r="AF6" i="71" s="1"/>
  <c r="AD6" i="71"/>
  <c r="Q6" i="71"/>
  <c r="P6" i="71"/>
  <c r="O6" i="71"/>
  <c r="N6" i="71"/>
  <c r="B12" i="77" l="1"/>
  <c r="B11" i="77"/>
  <c r="G9" i="77"/>
  <c r="E20" i="43"/>
  <c r="B14" i="77" l="1"/>
  <c r="B13" i="77"/>
  <c r="G10" i="77"/>
  <c r="AH7" i="71"/>
  <c r="AG7" i="71"/>
  <c r="AE7" i="71"/>
  <c r="AF7" i="71" s="1"/>
  <c r="AD7" i="71"/>
  <c r="Q7" i="71"/>
  <c r="P7" i="71"/>
  <c r="O7" i="71"/>
  <c r="N7" i="71"/>
  <c r="B16" i="77" l="1"/>
  <c r="B15" i="77"/>
  <c r="G11" i="77"/>
  <c r="AH8" i="71"/>
  <c r="AG8" i="71"/>
  <c r="AE8" i="71"/>
  <c r="AF8" i="71" s="1"/>
  <c r="AD8" i="71"/>
  <c r="Q8" i="71"/>
  <c r="P8" i="71"/>
  <c r="O8" i="71"/>
  <c r="N8" i="71"/>
  <c r="B18" i="77" l="1"/>
  <c r="B17" i="77"/>
  <c r="G12" i="77"/>
  <c r="AH9" i="71"/>
  <c r="AG9" i="71"/>
  <c r="AE9" i="71"/>
  <c r="AF9" i="71" s="1"/>
  <c r="AD9" i="71"/>
  <c r="Q9" i="71"/>
  <c r="P9" i="71"/>
  <c r="O9" i="71"/>
  <c r="N9" i="71"/>
  <c r="B20" i="77" l="1"/>
  <c r="B19" i="77"/>
  <c r="G13" i="77"/>
  <c r="H16" i="49"/>
  <c r="D16" i="49"/>
  <c r="D15" i="49"/>
  <c r="B2" i="49"/>
  <c r="F15" i="49" s="1"/>
  <c r="H15" i="49" s="1"/>
  <c r="B21" i="77" l="1"/>
  <c r="G14"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15" i="77" l="1"/>
  <c r="K42" i="40"/>
  <c r="K47" i="39"/>
  <c r="K36" i="36"/>
  <c r="E59" i="9"/>
  <c r="G16" i="77" l="1"/>
  <c r="K38" i="35"/>
  <c r="K42" i="37"/>
  <c r="K49" i="34"/>
  <c r="K48" i="33"/>
  <c r="K48" i="21"/>
  <c r="H104" i="9"/>
  <c r="F59" i="9"/>
  <c r="G17" i="77" l="1"/>
  <c r="AH10" i="71"/>
  <c r="AG10" i="71"/>
  <c r="AE10" i="71"/>
  <c r="AF10" i="71" s="1"/>
  <c r="AD10" i="71"/>
  <c r="Q10" i="71"/>
  <c r="P10" i="71"/>
  <c r="O10" i="71"/>
  <c r="N10" i="71"/>
  <c r="G18" i="77" l="1"/>
  <c r="AH11" i="71"/>
  <c r="AG11" i="71"/>
  <c r="AE11" i="71"/>
  <c r="AF11" i="71" s="1"/>
  <c r="AD11" i="71"/>
  <c r="Q11" i="71"/>
  <c r="P11" i="71"/>
  <c r="O11" i="71"/>
  <c r="N11" i="71"/>
  <c r="G19" i="77" l="1"/>
  <c r="Q13" i="7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E20" i="71"/>
  <c r="E19" i="71" s="1"/>
  <c r="E18" i="71" s="1"/>
  <c r="O21" i="71"/>
  <c r="N21" i="71"/>
  <c r="A2" i="53"/>
  <c r="B19" i="72" s="1"/>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A12" i="62"/>
  <c r="B58" i="72" s="1"/>
  <c r="A120" i="9"/>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B10" i="43"/>
  <c r="K49" i="9"/>
  <c r="E107" i="9"/>
  <c r="A122" i="9" s="1"/>
  <c r="A8" i="52" s="1"/>
  <c r="E111" i="9"/>
  <c r="A126" i="9"/>
  <c r="E109" i="9"/>
  <c r="A124" i="9"/>
  <c r="B44" i="72"/>
  <c r="B42" i="72"/>
  <c r="B69" i="72"/>
  <c r="B68" i="72"/>
  <c r="B63" i="72"/>
  <c r="B62" i="72"/>
  <c r="B16" i="72"/>
  <c r="B65" i="72"/>
  <c r="B67" i="72"/>
  <c r="B10" i="72"/>
  <c r="C53" i="10"/>
  <c r="B51" i="10"/>
  <c r="A18" i="51"/>
  <c r="B13" i="72" s="1"/>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D80" i="71" s="1"/>
  <c r="B80" i="71"/>
  <c r="B79" i="71" s="1"/>
  <c r="B78" i="71" s="1"/>
  <c r="D77" i="71"/>
  <c r="Q76" i="71"/>
  <c r="P76" i="71"/>
  <c r="O76" i="71"/>
  <c r="N76" i="71"/>
  <c r="F76" i="7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E64" i="71"/>
  <c r="P64" i="71" s="1"/>
  <c r="C64" i="71"/>
  <c r="B64" i="71"/>
  <c r="S64" i="71" s="1"/>
  <c r="B63"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N37" i="71"/>
  <c r="B38" i="71" s="1"/>
  <c r="D37" i="71"/>
  <c r="Q36" i="71"/>
  <c r="P36" i="71"/>
  <c r="O36" i="71"/>
  <c r="N36" i="71"/>
  <c r="Q35" i="71"/>
  <c r="AB35" i="71" s="1"/>
  <c r="P35" i="71"/>
  <c r="O35" i="71"/>
  <c r="N35" i="71"/>
  <c r="X35" i="71" s="1"/>
  <c r="Q34" i="71"/>
  <c r="AB34" i="71" s="1"/>
  <c r="P34" i="71"/>
  <c r="O34" i="71"/>
  <c r="Y34" i="71" s="1"/>
  <c r="Z34" i="71" s="1"/>
  <c r="N34" i="71"/>
  <c r="Q33" i="71"/>
  <c r="F34" i="71" s="1"/>
  <c r="P33" i="71"/>
  <c r="O33" i="71"/>
  <c r="Y33" i="71" s="1"/>
  <c r="Z33" i="71" s="1"/>
  <c r="N33" i="71"/>
  <c r="D33" i="71"/>
  <c r="Q32" i="71"/>
  <c r="P32" i="71"/>
  <c r="O32" i="71"/>
  <c r="N32" i="71"/>
  <c r="Q31" i="71"/>
  <c r="P31" i="71"/>
  <c r="O31" i="71"/>
  <c r="N31" i="71"/>
  <c r="Q30" i="71"/>
  <c r="P30" i="71"/>
  <c r="AA30" i="71" s="1"/>
  <c r="O30" i="71"/>
  <c r="N30" i="71"/>
  <c r="Q29" i="71"/>
  <c r="F30" i="71" s="1"/>
  <c r="P29" i="71"/>
  <c r="AA29" i="71" s="1"/>
  <c r="O29" i="71"/>
  <c r="N29" i="71"/>
  <c r="X29" i="71" s="1"/>
  <c r="D29" i="71"/>
  <c r="Q28" i="71"/>
  <c r="AB28" i="71" s="1"/>
  <c r="P28" i="71"/>
  <c r="O28" i="71"/>
  <c r="Y28" i="71" s="1"/>
  <c r="Z28" i="71" s="1"/>
  <c r="N28" i="71"/>
  <c r="Q27" i="71"/>
  <c r="AB27" i="71" s="1"/>
  <c r="P27" i="71"/>
  <c r="O27" i="71"/>
  <c r="N27" i="71"/>
  <c r="Q26" i="71"/>
  <c r="P26" i="71"/>
  <c r="O26" i="71"/>
  <c r="N26" i="71"/>
  <c r="Q25" i="71"/>
  <c r="F26" i="71" s="1"/>
  <c r="P25" i="71"/>
  <c r="E26" i="71" s="1"/>
  <c r="E27" i="71" s="1"/>
  <c r="E28" i="71" s="1"/>
  <c r="U28" i="71" s="1"/>
  <c r="O25" i="71"/>
  <c r="N25" i="71"/>
  <c r="D25" i="71"/>
  <c r="O24" i="71"/>
  <c r="C24" i="71" s="1"/>
  <c r="N24" i="71"/>
  <c r="B26" i="71"/>
  <c r="B27" i="71" s="1"/>
  <c r="B28" i="71" s="1"/>
  <c r="S28" i="71" s="1"/>
  <c r="B34" i="71"/>
  <c r="B35" i="71" s="1"/>
  <c r="B36" i="71" s="1"/>
  <c r="S36" i="71" s="1"/>
  <c r="X33" i="71"/>
  <c r="E34" i="71"/>
  <c r="E35" i="71" s="1"/>
  <c r="E36" i="71" s="1"/>
  <c r="U36" i="71" s="1"/>
  <c r="AA33" i="71"/>
  <c r="N64" i="71"/>
  <c r="C26" i="71"/>
  <c r="C27" i="71" s="1"/>
  <c r="AA27" i="71"/>
  <c r="AA28" i="71"/>
  <c r="C30" i="71"/>
  <c r="C31" i="71" s="1"/>
  <c r="X30" i="71"/>
  <c r="X31" i="71"/>
  <c r="AA31" i="71"/>
  <c r="X32" i="71"/>
  <c r="AA32" i="71"/>
  <c r="C34" i="71"/>
  <c r="D34" i="71" s="1"/>
  <c r="X34" i="71"/>
  <c r="AA34" i="71"/>
  <c r="Y23" i="71"/>
  <c r="Z23" i="71" s="1"/>
  <c r="B24" i="71"/>
  <c r="B23" i="71" s="1"/>
  <c r="B22" i="71" s="1"/>
  <c r="X22" i="71"/>
  <c r="X24" i="71"/>
  <c r="D26" i="71"/>
  <c r="C35" i="71"/>
  <c r="C36" i="71" s="1"/>
  <c r="D38" i="71"/>
  <c r="D42" i="71"/>
  <c r="C47" i="71"/>
  <c r="C48" i="71" s="1"/>
  <c r="D46" i="71"/>
  <c r="P24" i="71"/>
  <c r="AA3" i="71" s="1"/>
  <c r="E51" i="71"/>
  <c r="E52" i="71" s="1"/>
  <c r="U52" i="71" s="1"/>
  <c r="E55" i="71"/>
  <c r="E56" i="71" s="1"/>
  <c r="U56" i="71" s="1"/>
  <c r="E59" i="71"/>
  <c r="E60" i="71" s="1"/>
  <c r="U60" i="71" s="1"/>
  <c r="U64" i="71"/>
  <c r="E63" i="71"/>
  <c r="P63" i="71" s="1"/>
  <c r="Q24" i="71"/>
  <c r="AB21" i="71" s="1"/>
  <c r="C55" i="71"/>
  <c r="C56" i="71" s="1"/>
  <c r="D54" i="71"/>
  <c r="C59" i="71"/>
  <c r="C60" i="71" s="1"/>
  <c r="D60" i="71" s="1"/>
  <c r="D58" i="71"/>
  <c r="N63" i="71"/>
  <c r="B62" i="71"/>
  <c r="N62" i="71" s="1"/>
  <c r="T64" i="71"/>
  <c r="O64" i="71"/>
  <c r="D64" i="71"/>
  <c r="C63" i="71"/>
  <c r="C62" i="71" s="1"/>
  <c r="Q64" i="71"/>
  <c r="C67" i="71"/>
  <c r="D67" i="71" s="1"/>
  <c r="E67" i="71"/>
  <c r="E66" i="71" s="1"/>
  <c r="D68" i="71"/>
  <c r="C71" i="71"/>
  <c r="D71" i="71" s="1"/>
  <c r="E71" i="71"/>
  <c r="E70" i="71" s="1"/>
  <c r="D72" i="71"/>
  <c r="C75" i="71"/>
  <c r="D75" i="71" s="1"/>
  <c r="E75" i="71"/>
  <c r="E74" i="71" s="1"/>
  <c r="D76" i="71"/>
  <c r="C79" i="71"/>
  <c r="D79" i="71" s="1"/>
  <c r="C83" i="71"/>
  <c r="C82" i="71" s="1"/>
  <c r="D82" i="71" s="1"/>
  <c r="E24" i="71"/>
  <c r="E23" i="71" s="1"/>
  <c r="E22" i="71" s="1"/>
  <c r="AA22" i="71"/>
  <c r="O63" i="71"/>
  <c r="D59" i="71"/>
  <c r="C78" i="71"/>
  <c r="D78" i="71" s="1"/>
  <c r="C70" i="71"/>
  <c r="D70" i="71" s="1"/>
  <c r="D83" i="71"/>
  <c r="C66" i="71"/>
  <c r="D66" i="71" s="1"/>
  <c r="D55" i="71"/>
  <c r="E62" i="71"/>
  <c r="P61" i="71" s="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c r="F68" i="35" s="1"/>
  <c r="F18" i="35"/>
  <c r="AA18" i="35" s="1"/>
  <c r="C18" i="35"/>
  <c r="Q21" i="37"/>
  <c r="Z21" i="37" s="1"/>
  <c r="D77" i="37"/>
  <c r="E77" i="37" s="1"/>
  <c r="C21" i="37"/>
  <c r="Q21" i="34"/>
  <c r="Z21" i="34" s="1"/>
  <c r="D84" i="34"/>
  <c r="E84" i="34" s="1"/>
  <c r="F84" i="34" s="1"/>
  <c r="G84" i="34" s="1"/>
  <c r="F21" i="34"/>
  <c r="AA21" i="34" s="1"/>
  <c r="C21" i="34"/>
  <c r="Q21" i="33"/>
  <c r="Z21" i="33" s="1"/>
  <c r="D83" i="33"/>
  <c r="E83" i="33"/>
  <c r="C21" i="33"/>
  <c r="C21" i="21"/>
  <c r="Q21" i="21"/>
  <c r="Z21" i="21"/>
  <c r="H19" i="21"/>
  <c r="D83" i="21"/>
  <c r="E83" i="21" s="1"/>
  <c r="F83" i="21" s="1"/>
  <c r="G83" i="21" s="1"/>
  <c r="F21" i="21"/>
  <c r="AA21" i="21" s="1"/>
  <c r="D81" i="21"/>
  <c r="G20" i="20"/>
  <c r="B86" i="43" s="1"/>
  <c r="C22" i="20"/>
  <c r="B75" i="43" s="1"/>
  <c r="C25" i="40"/>
  <c r="S25" i="40"/>
  <c r="S29" i="39"/>
  <c r="U18" i="36"/>
  <c r="H25" i="40"/>
  <c r="J25" i="40"/>
  <c r="H29" i="39"/>
  <c r="U29" i="39" s="1"/>
  <c r="J29" i="39"/>
  <c r="AC29" i="39" s="1"/>
  <c r="J18" i="36"/>
  <c r="H18" i="35"/>
  <c r="S18" i="35"/>
  <c r="G68" i="35"/>
  <c r="J18" i="35"/>
  <c r="W18" i="35" s="1"/>
  <c r="F77" i="37"/>
  <c r="G77" i="37" s="1"/>
  <c r="H21" i="37"/>
  <c r="U21" i="37" s="1"/>
  <c r="F21" i="37"/>
  <c r="H21" i="34"/>
  <c r="AB21" i="34" s="1"/>
  <c r="F83" i="33"/>
  <c r="G83" i="33" s="1"/>
  <c r="H21" i="33"/>
  <c r="U21" i="33" s="1"/>
  <c r="F21" i="33"/>
  <c r="AA21" i="33" s="1"/>
  <c r="S21" i="21"/>
  <c r="H1" i="69"/>
  <c r="AC25" i="40"/>
  <c r="W25" i="40"/>
  <c r="AB25" i="40"/>
  <c r="U25" i="40"/>
  <c r="AB29" i="39"/>
  <c r="W29" i="39"/>
  <c r="AB21" i="37"/>
  <c r="U21" i="34"/>
  <c r="AC18" i="35"/>
  <c r="J21" i="37"/>
  <c r="AC21" i="37" s="1"/>
  <c r="J21" i="34"/>
  <c r="AC21" i="34" s="1"/>
  <c r="J21" i="33"/>
  <c r="AC21" i="33" s="1"/>
  <c r="H21" i="21"/>
  <c r="F38" i="69"/>
  <c r="E37" i="69"/>
  <c r="F36" i="69"/>
  <c r="F35" i="69"/>
  <c r="F21" i="69"/>
  <c r="F40" i="69" s="1"/>
  <c r="F20" i="69"/>
  <c r="F39" i="69" s="1"/>
  <c r="E10" i="69"/>
  <c r="E9" i="69"/>
  <c r="C7" i="69"/>
  <c r="W21" i="34"/>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J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M13" i="1" s="1"/>
  <c r="O13" i="1" s="1"/>
  <c r="P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BB494" i="3"/>
  <c r="BC494" i="3"/>
  <c r="BC5"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S5" i="3" s="1"/>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D112" i="34"/>
  <c r="E112" i="34" s="1"/>
  <c r="H37" i="34" s="1"/>
  <c r="U37"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J23" i="39"/>
  <c r="AC23" i="39" s="1"/>
  <c r="D95" i="39"/>
  <c r="E95" i="39" s="1"/>
  <c r="F95" i="39" s="1"/>
  <c r="D93" i="39"/>
  <c r="E93" i="39" s="1"/>
  <c r="F93" i="39" s="1"/>
  <c r="G93" i="39" s="1"/>
  <c r="D91" i="39"/>
  <c r="E91" i="39" s="1"/>
  <c r="F91" i="39" s="1"/>
  <c r="G91" i="39" s="1"/>
  <c r="D89" i="39"/>
  <c r="E89" i="39" s="1"/>
  <c r="F89" i="39" s="1"/>
  <c r="G89" i="39" s="1"/>
  <c r="B86" i="39"/>
  <c r="J14" i="39" s="1"/>
  <c r="AC14" i="39" s="1"/>
  <c r="B84" i="39"/>
  <c r="F13" i="39" s="1"/>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H39" i="37" s="1"/>
  <c r="B108" i="37"/>
  <c r="C23" i="37"/>
  <c r="C19" i="37"/>
  <c r="C17" i="37"/>
  <c r="C15" i="37"/>
  <c r="B112" i="37"/>
  <c r="J40" i="37" s="1"/>
  <c r="AC40" i="37" s="1"/>
  <c r="D107" i="37"/>
  <c r="E107" i="37"/>
  <c r="F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J13" i="36" s="1"/>
  <c r="W13" i="36" s="1"/>
  <c r="B57" i="36"/>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F25" i="35" s="1"/>
  <c r="S25" i="35" s="1"/>
  <c r="B75" i="35"/>
  <c r="B73" i="35"/>
  <c r="B57" i="35"/>
  <c r="B61" i="35"/>
  <c r="B59" i="35"/>
  <c r="B131" i="34"/>
  <c r="B129" i="34"/>
  <c r="B127" i="34"/>
  <c r="B99" i="34"/>
  <c r="F32" i="34" s="1"/>
  <c r="S32" i="34" s="1"/>
  <c r="B97" i="34"/>
  <c r="B95" i="34"/>
  <c r="B93" i="34"/>
  <c r="B75" i="34"/>
  <c r="F14" i="34" s="1"/>
  <c r="S14" i="34" s="1"/>
  <c r="B73" i="34"/>
  <c r="B71" i="34"/>
  <c r="B130" i="33"/>
  <c r="B128" i="33"/>
  <c r="B126" i="33"/>
  <c r="H44" i="33" s="1"/>
  <c r="B98" i="33"/>
  <c r="H31" i="33" s="1"/>
  <c r="AB31" i="33" s="1"/>
  <c r="B96" i="33"/>
  <c r="B94" i="33"/>
  <c r="B74" i="33"/>
  <c r="F14" i="33" s="1"/>
  <c r="B72" i="33"/>
  <c r="H13" i="33" s="1"/>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J44" i="34" s="1"/>
  <c r="W44"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D86" i="34"/>
  <c r="H23" i="34" s="1"/>
  <c r="D82" i="34"/>
  <c r="F19" i="34" s="1"/>
  <c r="D80" i="34"/>
  <c r="D78" i="34"/>
  <c r="H15" i="34" s="1"/>
  <c r="AB15"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AB12" i="34" s="1"/>
  <c r="Q11" i="34"/>
  <c r="Z11" i="34" s="1"/>
  <c r="Q10" i="34"/>
  <c r="Z10" i="34" s="1"/>
  <c r="Q9" i="34"/>
  <c r="Z9" i="34" s="1"/>
  <c r="H9" i="34"/>
  <c r="AB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B96" i="21"/>
  <c r="B94"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H36" i="39"/>
  <c r="U30" i="37"/>
  <c r="E103" i="37"/>
  <c r="F103" i="37" s="1"/>
  <c r="G103" i="37" s="1"/>
  <c r="H103" i="37" s="1"/>
  <c r="I103" i="37" s="1"/>
  <c r="J103" i="37" s="1"/>
  <c r="K103" i="37" s="1"/>
  <c r="L103" i="37" s="1"/>
  <c r="M103" i="37" s="1"/>
  <c r="U14" i="37"/>
  <c r="F29" i="36"/>
  <c r="AA29" i="36" s="1"/>
  <c r="W8" i="36"/>
  <c r="F16" i="36"/>
  <c r="AA16" i="36" s="1"/>
  <c r="W28" i="36"/>
  <c r="S30" i="36"/>
  <c r="AC31" i="36"/>
  <c r="J33" i="36"/>
  <c r="W33" i="36" s="1"/>
  <c r="H22" i="35"/>
  <c r="AB22" i="35" s="1"/>
  <c r="W22" i="35"/>
  <c r="F36" i="34"/>
  <c r="S36" i="34" s="1"/>
  <c r="J35" i="34"/>
  <c r="AC35" i="34" s="1"/>
  <c r="H39" i="33"/>
  <c r="AB39" i="33" s="1"/>
  <c r="S40" i="33"/>
  <c r="F11" i="40"/>
  <c r="AA11" i="40" s="1"/>
  <c r="H11" i="40"/>
  <c r="AB11" i="40" s="1"/>
  <c r="W31" i="40"/>
  <c r="F42" i="39"/>
  <c r="AA42" i="39" s="1"/>
  <c r="F41" i="39"/>
  <c r="H40" i="39"/>
  <c r="AB40" i="39" s="1"/>
  <c r="H39" i="39"/>
  <c r="U39" i="39" s="1"/>
  <c r="S34" i="39"/>
  <c r="H34" i="39"/>
  <c r="U34" i="39" s="1"/>
  <c r="F31" i="39"/>
  <c r="H19" i="39"/>
  <c r="AB19" i="39" s="1"/>
  <c r="F19" i="39"/>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U34" i="21"/>
  <c r="C25" i="39"/>
  <c r="H11" i="39"/>
  <c r="S40" i="39"/>
  <c r="H32" i="33"/>
  <c r="AB32" i="33" s="1"/>
  <c r="H11" i="21"/>
  <c r="J11" i="21"/>
  <c r="W11" i="21" s="1"/>
  <c r="H37" i="40"/>
  <c r="U37" i="40" s="1"/>
  <c r="H36" i="40"/>
  <c r="AB36" i="40" s="1"/>
  <c r="F35" i="40"/>
  <c r="AA35" i="40" s="1"/>
  <c r="H23" i="40"/>
  <c r="H17" i="40"/>
  <c r="U17" i="40" s="1"/>
  <c r="J15" i="40"/>
  <c r="J11" i="40"/>
  <c r="AB8" i="39"/>
  <c r="J30" i="35"/>
  <c r="W30" i="35" s="1"/>
  <c r="H30" i="35"/>
  <c r="F22" i="35"/>
  <c r="AA22" i="35" s="1"/>
  <c r="H10" i="35"/>
  <c r="U10" i="35" s="1"/>
  <c r="AC16" i="36"/>
  <c r="H16" i="36"/>
  <c r="AB16" i="36"/>
  <c r="J29" i="36"/>
  <c r="AC29" i="36" s="1"/>
  <c r="F34" i="36"/>
  <c r="S34" i="36" s="1"/>
  <c r="S10" i="36"/>
  <c r="S8" i="36"/>
  <c r="F14" i="35"/>
  <c r="AA14" i="35" s="1"/>
  <c r="J32" i="35"/>
  <c r="AC32" i="35" s="1"/>
  <c r="J16" i="35"/>
  <c r="AC16" i="35" s="1"/>
  <c r="H16" i="35"/>
  <c r="U16" i="35" s="1"/>
  <c r="F16" i="35"/>
  <c r="S16" i="35" s="1"/>
  <c r="H14" i="35"/>
  <c r="AB14" i="35" s="1"/>
  <c r="J29" i="35"/>
  <c r="AC29" i="35" s="1"/>
  <c r="H33" i="35"/>
  <c r="J20" i="35"/>
  <c r="W20" i="35" s="1"/>
  <c r="F35" i="37"/>
  <c r="S35" i="37" s="1"/>
  <c r="J34" i="37"/>
  <c r="W34" i="37" s="1"/>
  <c r="J33" i="37"/>
  <c r="H40" i="34"/>
  <c r="U40" i="34"/>
  <c r="H36" i="34"/>
  <c r="U36" i="34" s="1"/>
  <c r="F41" i="33"/>
  <c r="F32" i="33"/>
  <c r="AA32" i="33" s="1"/>
  <c r="J19" i="33"/>
  <c r="AC19" i="33" s="1"/>
  <c r="J15" i="33"/>
  <c r="AC15" i="33" s="1"/>
  <c r="F11" i="33"/>
  <c r="AA11" i="33" s="1"/>
  <c r="S8" i="33"/>
  <c r="F37" i="40"/>
  <c r="AA37" i="40"/>
  <c r="F36" i="40"/>
  <c r="AA36" i="40"/>
  <c r="H28" i="40"/>
  <c r="U28" i="40"/>
  <c r="F23" i="40"/>
  <c r="AA23" i="40"/>
  <c r="F17" i="40"/>
  <c r="AA17" i="40" s="1"/>
  <c r="J17" i="40"/>
  <c r="W17" i="40" s="1"/>
  <c r="F15" i="40"/>
  <c r="S15" i="40" s="1"/>
  <c r="H15" i="40"/>
  <c r="AB15" i="40" s="1"/>
  <c r="F29" i="35"/>
  <c r="S29" i="35" s="1"/>
  <c r="H29" i="35"/>
  <c r="AB29" i="35" s="1"/>
  <c r="H33" i="37"/>
  <c r="AB33" i="37" s="1"/>
  <c r="F33" i="37"/>
  <c r="AA33" i="37" s="1"/>
  <c r="U34" i="37"/>
  <c r="S34" i="37"/>
  <c r="J43" i="34"/>
  <c r="AC43" i="34" s="1"/>
  <c r="J40" i="34"/>
  <c r="AC40" i="34" s="1"/>
  <c r="H38" i="34"/>
  <c r="AB38" i="34" s="1"/>
  <c r="J36" i="34"/>
  <c r="W36" i="34" s="1"/>
  <c r="J17" i="34"/>
  <c r="H37" i="33"/>
  <c r="AB37" i="33" s="1"/>
  <c r="H15" i="33"/>
  <c r="AB15" i="33" s="1"/>
  <c r="H11" i="33"/>
  <c r="F28" i="40"/>
  <c r="AA28" i="40" s="1"/>
  <c r="J11" i="33"/>
  <c r="W11" i="33" s="1"/>
  <c r="J42" i="21"/>
  <c r="AC42" i="21" s="1"/>
  <c r="H42" i="21"/>
  <c r="U42" i="21" s="1"/>
  <c r="J10" i="35"/>
  <c r="W10" i="35" s="1"/>
  <c r="H28" i="21"/>
  <c r="AB28" i="21" s="1"/>
  <c r="J44" i="21"/>
  <c r="AC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C13" i="21" s="1"/>
  <c r="F27" i="21"/>
  <c r="AA27" i="21" s="1"/>
  <c r="J31" i="21"/>
  <c r="AC31" i="21" s="1"/>
  <c r="F13" i="33"/>
  <c r="J31" i="33"/>
  <c r="W31" i="33" s="1"/>
  <c r="J45" i="33"/>
  <c r="H14" i="34"/>
  <c r="AB14" i="34" s="1"/>
  <c r="H32" i="34"/>
  <c r="AB32" i="34" s="1"/>
  <c r="F46" i="34"/>
  <c r="S46" i="34" s="1"/>
  <c r="J26" i="36"/>
  <c r="W26" i="36" s="1"/>
  <c r="H28" i="36"/>
  <c r="U28" i="36" s="1"/>
  <c r="J32" i="36"/>
  <c r="W32" i="36" s="1"/>
  <c r="H13" i="36"/>
  <c r="AB13" i="36" s="1"/>
  <c r="J29" i="37"/>
  <c r="W29" i="37" s="1"/>
  <c r="F29" i="37"/>
  <c r="S29" i="37" s="1"/>
  <c r="H36" i="37"/>
  <c r="AB36" i="37" s="1"/>
  <c r="J37" i="37"/>
  <c r="H37" i="37"/>
  <c r="U37" i="37" s="1"/>
  <c r="H14" i="33"/>
  <c r="U14" i="33" s="1"/>
  <c r="J45" i="34"/>
  <c r="W45" i="34" s="1"/>
  <c r="J25" i="35"/>
  <c r="W25" i="35" s="1"/>
  <c r="H25" i="35"/>
  <c r="AB25" i="35" s="1"/>
  <c r="F35" i="35"/>
  <c r="AA35" i="35" s="1"/>
  <c r="F25" i="36"/>
  <c r="S25" i="36" s="1"/>
  <c r="F28" i="37"/>
  <c r="AA28" i="37" s="1"/>
  <c r="J28" i="37"/>
  <c r="AC28" i="37" s="1"/>
  <c r="H28" i="37"/>
  <c r="H38" i="37"/>
  <c r="AB38" i="37" s="1"/>
  <c r="J38" i="37"/>
  <c r="AC38" i="37" s="1"/>
  <c r="F38" i="37"/>
  <c r="S38" i="37" s="1"/>
  <c r="H43" i="39"/>
  <c r="U43" i="39" s="1"/>
  <c r="F12" i="40"/>
  <c r="S12" i="40" s="1"/>
  <c r="H30" i="40"/>
  <c r="AB30" i="40" s="1"/>
  <c r="F33" i="40"/>
  <c r="AA33" i="40" s="1"/>
  <c r="J35" i="40"/>
  <c r="AC35" i="40" s="1"/>
  <c r="J37" i="40"/>
  <c r="AC37" i="40" s="1"/>
  <c r="H13" i="40"/>
  <c r="U13" i="40" s="1"/>
  <c r="F14" i="37"/>
  <c r="S14" i="37" s="1"/>
  <c r="H14" i="40"/>
  <c r="AB14" i="40" s="1"/>
  <c r="J14" i="37"/>
  <c r="AC14" i="37" s="1"/>
  <c r="J27" i="37"/>
  <c r="AC27" i="37" s="1"/>
  <c r="J36" i="37"/>
  <c r="AC36" i="37" s="1"/>
  <c r="G105" i="37"/>
  <c r="J10" i="36"/>
  <c r="AC10" i="36" s="1"/>
  <c r="AA14" i="37"/>
  <c r="AC13" i="36"/>
  <c r="U31" i="33"/>
  <c r="F17" i="21"/>
  <c r="AA17" i="21" s="1"/>
  <c r="H17" i="21"/>
  <c r="AB17" i="21" s="1"/>
  <c r="F15" i="21"/>
  <c r="S15" i="21" s="1"/>
  <c r="J41" i="39"/>
  <c r="W41" i="39" s="1"/>
  <c r="G576" i="3"/>
  <c r="BL568" i="3"/>
  <c r="BL574" i="3"/>
  <c r="BL514" i="3"/>
  <c r="BA564" i="3"/>
  <c r="BA504" i="3"/>
  <c r="BA575" i="3"/>
  <c r="BA567" i="3"/>
  <c r="BA559" i="3"/>
  <c r="BA539" i="3"/>
  <c r="BA503" i="3"/>
  <c r="G573" i="3"/>
  <c r="G565" i="3"/>
  <c r="BA557" i="3"/>
  <c r="AC557" i="3"/>
  <c r="BQ557" i="3"/>
  <c r="BL557" i="3" s="1"/>
  <c r="BQ583" i="3"/>
  <c r="BQ581" i="3"/>
  <c r="BQ579" i="3"/>
  <c r="BQ577" i="3"/>
  <c r="BL577" i="3" s="1"/>
  <c r="BQ575" i="3"/>
  <c r="BL575" i="3"/>
  <c r="BQ573" i="3"/>
  <c r="BQ571" i="3"/>
  <c r="BL571" i="3" s="1"/>
  <c r="BQ569" i="3"/>
  <c r="BQ567" i="3"/>
  <c r="BL567" i="3" s="1"/>
  <c r="BQ565" i="3"/>
  <c r="BQ563" i="3"/>
  <c r="BL563" i="3" s="1"/>
  <c r="BQ561" i="3"/>
  <c r="BQ559" i="3"/>
  <c r="BL559" i="3" s="1"/>
  <c r="G555" i="3"/>
  <c r="G545" i="3"/>
  <c r="BQ555" i="3"/>
  <c r="BL555" i="3" s="1"/>
  <c r="BQ553" i="3"/>
  <c r="BQ551" i="3"/>
  <c r="BQ549" i="3"/>
  <c r="BQ547" i="3"/>
  <c r="BQ545" i="3"/>
  <c r="BQ543" i="3"/>
  <c r="BQ541" i="3"/>
  <c r="BQ539" i="3"/>
  <c r="BQ537" i="3"/>
  <c r="BQ535" i="3"/>
  <c r="BL535" i="3" s="1"/>
  <c r="BQ533" i="3"/>
  <c r="BL533" i="3"/>
  <c r="BQ531" i="3"/>
  <c r="BQ529" i="3"/>
  <c r="BQ527" i="3"/>
  <c r="BQ525" i="3"/>
  <c r="BQ523" i="3"/>
  <c r="AC521" i="3"/>
  <c r="BQ521" i="3"/>
  <c r="G517" i="3"/>
  <c r="BQ519" i="3"/>
  <c r="BQ517" i="3"/>
  <c r="BQ515" i="3"/>
  <c r="BQ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AB43" i="33" s="1"/>
  <c r="H17" i="37"/>
  <c r="U17" i="37" s="1"/>
  <c r="F39" i="33"/>
  <c r="AA39" i="33" s="1"/>
  <c r="E123" i="33"/>
  <c r="F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H32" i="40"/>
  <c r="AB32" i="40" s="1"/>
  <c r="J36" i="40"/>
  <c r="W36" i="40" s="1"/>
  <c r="H19" i="37"/>
  <c r="AB19" i="37"/>
  <c r="G123" i="33"/>
  <c r="H123" i="33" s="1"/>
  <c r="I123" i="33" s="1"/>
  <c r="J123" i="33" s="1"/>
  <c r="K123" i="33" s="1"/>
  <c r="L123" i="33" s="1"/>
  <c r="M123" i="33" s="1"/>
  <c r="H42" i="33"/>
  <c r="AB42" i="33" s="1"/>
  <c r="J43" i="33"/>
  <c r="AC43" i="33" s="1"/>
  <c r="S28" i="31"/>
  <c r="S27" i="31"/>
  <c r="S26" i="31"/>
  <c r="U14" i="40"/>
  <c r="AC32" i="36"/>
  <c r="W23" i="35"/>
  <c r="W14" i="37"/>
  <c r="U33" i="37"/>
  <c r="W26" i="37"/>
  <c r="AC8" i="37"/>
  <c r="AB37" i="34"/>
  <c r="AC31" i="33"/>
  <c r="U19" i="21"/>
  <c r="U26" i="21"/>
  <c r="F43" i="33"/>
  <c r="AA43" i="33" s="1"/>
  <c r="W16" i="35"/>
  <c r="W40" i="37"/>
  <c r="G107" i="37"/>
  <c r="H107" i="37" s="1"/>
  <c r="I107" i="37" s="1"/>
  <c r="J107" i="37" s="1"/>
  <c r="K107" i="37" s="1"/>
  <c r="L107" i="37" s="1"/>
  <c r="M107" i="37" s="1"/>
  <c r="H37" i="21"/>
  <c r="U37" i="21" s="1"/>
  <c r="S42" i="21"/>
  <c r="F36" i="35"/>
  <c r="S36" i="35" s="1"/>
  <c r="J9" i="37"/>
  <c r="W9" i="37" s="1"/>
  <c r="H9" i="37"/>
  <c r="AB9" i="37" s="1"/>
  <c r="F9" i="37"/>
  <c r="S9" i="37" s="1"/>
  <c r="J12" i="37"/>
  <c r="H12" i="37"/>
  <c r="AB12" i="37" s="1"/>
  <c r="F12" i="37"/>
  <c r="S12" i="37" s="1"/>
  <c r="E71" i="37"/>
  <c r="F15" i="37"/>
  <c r="AA15" i="37" s="1"/>
  <c r="E94" i="37"/>
  <c r="F31" i="37"/>
  <c r="S31" i="37"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W23" i="39"/>
  <c r="H37" i="39"/>
  <c r="AB37" i="39" s="1"/>
  <c r="H25" i="39"/>
  <c r="AB25" i="39" s="1"/>
  <c r="J25" i="39"/>
  <c r="W25" i="39" s="1"/>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A4" i="52"/>
  <c r="B41" i="72" s="1"/>
  <c r="J11" i="39"/>
  <c r="W11" i="39" s="1"/>
  <c r="F11" i="39"/>
  <c r="AA11" i="39" s="1"/>
  <c r="A12" i="52"/>
  <c r="B56" i="72" s="1"/>
  <c r="S11" i="39"/>
  <c r="G4" i="4"/>
  <c r="I4" i="4"/>
  <c r="AZ32"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G117" i="3"/>
  <c r="BA119" i="3"/>
  <c r="BL120" i="3"/>
  <c r="G121" i="3"/>
  <c r="BA123" i="3"/>
  <c r="BL124" i="3"/>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AZ152" i="3" s="1"/>
  <c r="G153" i="3"/>
  <c r="BA155" i="3"/>
  <c r="BL156" i="3"/>
  <c r="AZ156" i="3" s="1"/>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AZ195" i="3" s="1"/>
  <c r="BL196" i="3"/>
  <c r="G197" i="3"/>
  <c r="BA199" i="3"/>
  <c r="BL200" i="3"/>
  <c r="G201" i="3"/>
  <c r="BA203" i="3"/>
  <c r="BL204" i="3"/>
  <c r="AZ39" i="3"/>
  <c r="AZ43" i="3"/>
  <c r="AZ47" i="3"/>
  <c r="AZ93" i="3"/>
  <c r="AZ101" i="3"/>
  <c r="G494" i="3"/>
  <c r="G16" i="3"/>
  <c r="G15" i="3"/>
  <c r="BA304" i="3"/>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BA16" i="3"/>
  <c r="BL303" i="3"/>
  <c r="AZ303" i="3" s="1"/>
  <c r="G304" i="3"/>
  <c r="BA306" i="3"/>
  <c r="BL307" i="3"/>
  <c r="AZ307" i="3" s="1"/>
  <c r="G308" i="3"/>
  <c r="BA310" i="3"/>
  <c r="BL311" i="3"/>
  <c r="G312" i="3"/>
  <c r="BA314" i="3"/>
  <c r="AZ314" i="3" s="1"/>
  <c r="BL315" i="3"/>
  <c r="G316" i="3"/>
  <c r="BA318" i="3"/>
  <c r="AZ318" i="3" s="1"/>
  <c r="BL319" i="3"/>
  <c r="G320" i="3"/>
  <c r="BA322" i="3"/>
  <c r="BL323" i="3"/>
  <c r="G324" i="3"/>
  <c r="BA326" i="3"/>
  <c r="AZ326" i="3" s="1"/>
  <c r="BL327" i="3"/>
  <c r="G328" i="3"/>
  <c r="BA330" i="3"/>
  <c r="AZ330" i="3" s="1"/>
  <c r="BL331" i="3"/>
  <c r="AZ331" i="3" s="1"/>
  <c r="G332" i="3"/>
  <c r="BA334" i="3"/>
  <c r="AZ334" i="3" s="1"/>
  <c r="BL335" i="3"/>
  <c r="G336" i="3"/>
  <c r="BA338" i="3"/>
  <c r="BL339" i="3"/>
  <c r="AZ339" i="3" s="1"/>
  <c r="G340" i="3"/>
  <c r="BL343" i="3"/>
  <c r="G344" i="3"/>
  <c r="G348" i="3"/>
  <c r="G355" i="3"/>
  <c r="AZ209" i="3"/>
  <c r="AZ218" i="3"/>
  <c r="AZ33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257" i="3"/>
  <c r="AZ261" i="3"/>
  <c r="AZ265" i="3"/>
  <c r="BA379" i="3"/>
  <c r="BL380" i="3"/>
  <c r="AZ380" i="3" s="1"/>
  <c r="G381" i="3"/>
  <c r="BA383" i="3"/>
  <c r="AZ383" i="3" s="1"/>
  <c r="BL384" i="3"/>
  <c r="G385" i="3"/>
  <c r="BA387" i="3"/>
  <c r="BL388" i="3"/>
  <c r="G389" i="3"/>
  <c r="BA391" i="3"/>
  <c r="AZ391" i="3" s="1"/>
  <c r="BL392" i="3"/>
  <c r="G393" i="3"/>
  <c r="AZ263" i="3"/>
  <c r="G548" i="3"/>
  <c r="BK5" i="3"/>
  <c r="G17" i="3"/>
  <c r="BA17" i="3"/>
  <c r="BA15" i="3"/>
  <c r="AZ15" i="3" s="1"/>
  <c r="BL493" i="3"/>
  <c r="AZ390" i="3"/>
  <c r="F81" i="43"/>
  <c r="H83" i="43" s="1"/>
  <c r="F48" i="43"/>
  <c r="H52" i="43" s="1"/>
  <c r="F70" i="43"/>
  <c r="H73" i="43" s="1"/>
  <c r="D17" i="43"/>
  <c r="I17" i="43"/>
  <c r="J17" i="43"/>
  <c r="F6" i="1"/>
  <c r="U17" i="39"/>
  <c r="U43" i="21"/>
  <c r="AC35" i="21"/>
  <c r="U10" i="21"/>
  <c r="G8" i="1"/>
  <c r="G9" i="1"/>
  <c r="G10" i="1"/>
  <c r="AC44" i="34"/>
  <c r="S15" i="37"/>
  <c r="J37" i="33"/>
  <c r="W37" i="33" s="1"/>
  <c r="F106" i="33"/>
  <c r="G106" i="33" s="1"/>
  <c r="H106" i="33" s="1"/>
  <c r="I106" i="33" s="1"/>
  <c r="J106" i="33" s="1"/>
  <c r="K106" i="33" s="1"/>
  <c r="L106" i="33" s="1"/>
  <c r="M106" i="33" s="1"/>
  <c r="J34" i="33"/>
  <c r="W34" i="33" s="1"/>
  <c r="F33" i="34"/>
  <c r="S33" i="34" s="1"/>
  <c r="H20" i="36"/>
  <c r="U20" i="36" s="1"/>
  <c r="J20" i="36"/>
  <c r="W20" i="36" s="1"/>
  <c r="J27" i="36"/>
  <c r="W27" i="36" s="1"/>
  <c r="H35" i="40"/>
  <c r="W29" i="35"/>
  <c r="H35" i="37"/>
  <c r="U35" i="37" s="1"/>
  <c r="H20" i="35"/>
  <c r="U20" i="35" s="1"/>
  <c r="F20" i="35"/>
  <c r="AA20" i="35" s="1"/>
  <c r="AB29" i="36"/>
  <c r="H32" i="37"/>
  <c r="AB32" i="37" s="1"/>
  <c r="F96" i="37"/>
  <c r="G96" i="37" s="1"/>
  <c r="H96" i="37" s="1"/>
  <c r="I96" i="37" s="1"/>
  <c r="J96" i="37" s="1"/>
  <c r="K96" i="37" s="1"/>
  <c r="L96" i="37" s="1"/>
  <c r="M96" i="37" s="1"/>
  <c r="J27" i="40"/>
  <c r="AC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F97" i="39"/>
  <c r="G97" i="39" s="1"/>
  <c r="AZ386" i="3"/>
  <c r="C40" i="11"/>
  <c r="AZ215" i="3"/>
  <c r="AZ227" i="3"/>
  <c r="AZ259" i="3"/>
  <c r="AZ29" i="3"/>
  <c r="AZ31" i="3"/>
  <c r="AZ33" i="3"/>
  <c r="AZ37" i="3"/>
  <c r="AZ42" i="3"/>
  <c r="AZ45" i="3"/>
  <c r="AZ94" i="3"/>
  <c r="F23" i="39"/>
  <c r="AA23" i="39" s="1"/>
  <c r="H27" i="36"/>
  <c r="U27" i="36" s="1"/>
  <c r="F27" i="36"/>
  <c r="AA27" i="36" s="1"/>
  <c r="H33" i="34"/>
  <c r="U33" i="34" s="1"/>
  <c r="F32" i="37"/>
  <c r="AA32" i="37" s="1"/>
  <c r="F20" i="36"/>
  <c r="AA20" i="36" s="1"/>
  <c r="J33" i="34"/>
  <c r="AC33" i="34" s="1"/>
  <c r="H23" i="39"/>
  <c r="U23" i="39"/>
  <c r="D48" i="9"/>
  <c r="M52" i="9" s="1"/>
  <c r="H86" i="43"/>
  <c r="K9" i="1"/>
  <c r="M9" i="1" s="1"/>
  <c r="O9" i="1" s="1"/>
  <c r="P9" i="1" s="1"/>
  <c r="AE9" i="1"/>
  <c r="AC39" i="40"/>
  <c r="W39" i="40"/>
  <c r="W12" i="33"/>
  <c r="AZ408" i="3"/>
  <c r="BL14" i="3"/>
  <c r="W28" i="37"/>
  <c r="F12" i="33"/>
  <c r="AA12" i="33" s="1"/>
  <c r="F39" i="40"/>
  <c r="S39" i="40" s="1"/>
  <c r="BA14" i="3"/>
  <c r="AZ14" i="3" s="1"/>
  <c r="AZ35" i="3"/>
  <c r="AZ41" i="3"/>
  <c r="S12" i="1"/>
  <c r="AQ12" i="1" s="1"/>
  <c r="R12" i="1"/>
  <c r="B12" i="1"/>
  <c r="E12" i="1" s="1"/>
  <c r="S10" i="1"/>
  <c r="AQ10" i="1" s="1"/>
  <c r="R10" i="1"/>
  <c r="B10" i="1"/>
  <c r="E10" i="1" s="1"/>
  <c r="K12" i="1"/>
  <c r="M12" i="1" s="1"/>
  <c r="S13" i="1"/>
  <c r="AR13" i="1" s="1"/>
  <c r="R13" i="1"/>
  <c r="S11" i="1"/>
  <c r="AQ11" i="1" s="1"/>
  <c r="R11" i="1"/>
  <c r="S9" i="1"/>
  <c r="AR9" i="1" s="1"/>
  <c r="R9" i="1"/>
  <c r="C42" i="1"/>
  <c r="C13" i="12" s="1"/>
  <c r="H100" i="43"/>
  <c r="C30" i="66"/>
  <c r="AC34" i="33"/>
  <c r="J100" i="43"/>
  <c r="AB37" i="40"/>
  <c r="S17" i="40"/>
  <c r="S23" i="40"/>
  <c r="AC17" i="40"/>
  <c r="S28" i="40"/>
  <c r="U21" i="40"/>
  <c r="W42" i="39"/>
  <c r="F32" i="39"/>
  <c r="S32" i="39" s="1"/>
  <c r="F107" i="39"/>
  <c r="G107" i="39" s="1"/>
  <c r="H107" i="39" s="1"/>
  <c r="I107" i="39" s="1"/>
  <c r="J107" i="39" s="1"/>
  <c r="K107" i="39" s="1"/>
  <c r="L107" i="39" s="1"/>
  <c r="M107" i="39" s="1"/>
  <c r="U25" i="39"/>
  <c r="AB27" i="39"/>
  <c r="S25" i="39"/>
  <c r="J21" i="39"/>
  <c r="F21" i="39"/>
  <c r="AA21" i="39" s="1"/>
  <c r="G95" i="39"/>
  <c r="H21" i="39"/>
  <c r="AB21" i="39" s="1"/>
  <c r="U19" i="39"/>
  <c r="AC15" i="39"/>
  <c r="S15" i="39"/>
  <c r="AB15" i="39"/>
  <c r="S9" i="39"/>
  <c r="U13" i="36"/>
  <c r="U26" i="36"/>
  <c r="AA26" i="36"/>
  <c r="S29" i="36"/>
  <c r="AA22" i="36"/>
  <c r="W14" i="36"/>
  <c r="AB14" i="36"/>
  <c r="U22" i="36"/>
  <c r="S16" i="36"/>
  <c r="U16" i="36"/>
  <c r="W10" i="36"/>
  <c r="AA25" i="35"/>
  <c r="U29" i="35"/>
  <c r="AB27" i="35"/>
  <c r="U32" i="35"/>
  <c r="AA33" i="35"/>
  <c r="S32" i="35"/>
  <c r="W32" i="35"/>
  <c r="S28" i="35"/>
  <c r="AB16" i="35"/>
  <c r="U22" i="35"/>
  <c r="AC20" i="35"/>
  <c r="U14" i="35"/>
  <c r="AC10" i="35"/>
  <c r="AA10" i="35"/>
  <c r="AB10" i="35"/>
  <c r="W9" i="35"/>
  <c r="F9" i="35"/>
  <c r="AA9" i="35" s="1"/>
  <c r="F26" i="35"/>
  <c r="AA26" i="35" s="1"/>
  <c r="H26" i="35"/>
  <c r="U26" i="35" s="1"/>
  <c r="W27" i="37"/>
  <c r="S26" i="37"/>
  <c r="AC29" i="37"/>
  <c r="U29" i="37"/>
  <c r="S32" i="37"/>
  <c r="AB31" i="37"/>
  <c r="W30" i="37"/>
  <c r="AA38" i="37"/>
  <c r="W38" i="37"/>
  <c r="AC35" i="37"/>
  <c r="S30" i="37"/>
  <c r="AC15" i="37"/>
  <c r="J17" i="37"/>
  <c r="W17" i="37" s="1"/>
  <c r="G73" i="37"/>
  <c r="F17" i="37"/>
  <c r="AA17" i="37"/>
  <c r="AB17" i="37"/>
  <c r="F75" i="37"/>
  <c r="G75" i="37" s="1"/>
  <c r="F19" i="37"/>
  <c r="F79" i="37"/>
  <c r="G79" i="37" s="1"/>
  <c r="F23" i="37"/>
  <c r="S23" i="37"/>
  <c r="U15" i="37"/>
  <c r="AA13" i="37"/>
  <c r="H10" i="37"/>
  <c r="AB10" i="37" s="1"/>
  <c r="H60" i="37"/>
  <c r="I60" i="37" s="1"/>
  <c r="F63" i="37"/>
  <c r="G63" i="37" s="1"/>
  <c r="H63" i="37" s="1"/>
  <c r="I63" i="37" s="1"/>
  <c r="J63" i="37" s="1"/>
  <c r="K63" i="37" s="1"/>
  <c r="L63" i="37" s="1"/>
  <c r="M63" i="37" s="1"/>
  <c r="F11" i="37"/>
  <c r="S11" i="37" s="1"/>
  <c r="AB8" i="34"/>
  <c r="AC42" i="34"/>
  <c r="U27" i="34"/>
  <c r="F70" i="34"/>
  <c r="G70" i="34" s="1"/>
  <c r="H70" i="34" s="1"/>
  <c r="I70" i="34" s="1"/>
  <c r="J70" i="34" s="1"/>
  <c r="K70" i="34" s="1"/>
  <c r="L70" i="34" s="1"/>
  <c r="M70" i="34" s="1"/>
  <c r="W42" i="33"/>
  <c r="S27" i="33"/>
  <c r="S32" i="33"/>
  <c r="W38" i="33"/>
  <c r="H41" i="33"/>
  <c r="U41" i="33" s="1"/>
  <c r="U42" i="33"/>
  <c r="F36" i="33"/>
  <c r="S36" i="33" s="1"/>
  <c r="G108" i="33"/>
  <c r="H108" i="33" s="1"/>
  <c r="I108" i="33" s="1"/>
  <c r="J108" i="33" s="1"/>
  <c r="K108" i="33" s="1"/>
  <c r="L108" i="33" s="1"/>
  <c r="M108" i="33" s="1"/>
  <c r="J35" i="33"/>
  <c r="S37" i="33"/>
  <c r="F101" i="33"/>
  <c r="G101" i="33" s="1"/>
  <c r="H101" i="33" s="1"/>
  <c r="I101" i="33" s="1"/>
  <c r="J101" i="33" s="1"/>
  <c r="K101" i="33" s="1"/>
  <c r="L101" i="33" s="1"/>
  <c r="M101" i="33" s="1"/>
  <c r="J32" i="33"/>
  <c r="AC32" i="33" s="1"/>
  <c r="S43" i="33"/>
  <c r="F91" i="33"/>
  <c r="H27" i="33"/>
  <c r="U27" i="33" s="1"/>
  <c r="H25" i="33"/>
  <c r="U25" i="33" s="1"/>
  <c r="F25" i="33"/>
  <c r="AA25" i="33" s="1"/>
  <c r="J23" i="33"/>
  <c r="AC23" i="33" s="1"/>
  <c r="F85" i="33"/>
  <c r="H23" i="33"/>
  <c r="AB23" i="33" s="1"/>
  <c r="F19" i="33"/>
  <c r="S19" i="33" s="1"/>
  <c r="J17" i="33"/>
  <c r="AC17" i="33" s="1"/>
  <c r="F79" i="33"/>
  <c r="S15" i="33"/>
  <c r="I66" i="33"/>
  <c r="J10" i="33"/>
  <c r="AC10" i="33" s="1"/>
  <c r="H10" i="33"/>
  <c r="U10" i="33" s="1"/>
  <c r="AC11" i="33"/>
  <c r="W43" i="21"/>
  <c r="W36" i="21"/>
  <c r="W41" i="21"/>
  <c r="AA43" i="21"/>
  <c r="AA38" i="21"/>
  <c r="AA36" i="21"/>
  <c r="J15" i="21"/>
  <c r="W15" i="21" s="1"/>
  <c r="F77" i="21"/>
  <c r="G77" i="21" s="1"/>
  <c r="F23" i="21"/>
  <c r="S23" i="21" s="1"/>
  <c r="E85" i="21"/>
  <c r="F85" i="21" s="1"/>
  <c r="G85" i="21" s="1"/>
  <c r="AB8" i="21"/>
  <c r="S8" i="21"/>
  <c r="D120" i="9"/>
  <c r="D121" i="9" s="1"/>
  <c r="D7" i="52" s="1"/>
  <c r="F34" i="67"/>
  <c r="F62" i="67" s="1"/>
  <c r="M20" i="67"/>
  <c r="F34" i="15"/>
  <c r="F62" i="15" s="1"/>
  <c r="G13" i="3"/>
  <c r="BA13" i="3"/>
  <c r="BL17" i="3"/>
  <c r="AZ17" i="3" s="1"/>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F100" i="43"/>
  <c r="H71" i="43"/>
  <c r="C17" i="43"/>
  <c r="K17" i="43"/>
  <c r="F38" i="43"/>
  <c r="M9" i="43"/>
  <c r="B19" i="53"/>
  <c r="B37" i="72" s="1"/>
  <c r="C7" i="39"/>
  <c r="C68" i="39" s="1"/>
  <c r="C7" i="35"/>
  <c r="C7" i="33"/>
  <c r="C58" i="33" s="1"/>
  <c r="C7" i="21"/>
  <c r="C58" i="21" s="1"/>
  <c r="C7" i="40"/>
  <c r="C63" i="40" s="1"/>
  <c r="M47" i="9"/>
  <c r="G19" i="43"/>
  <c r="O19" i="43" s="1"/>
  <c r="T35" i="4"/>
  <c r="A19" i="51" s="1"/>
  <c r="B14" i="72" s="1"/>
  <c r="C59" i="34"/>
  <c r="D59" i="34" s="1"/>
  <c r="E59" i="34" s="1"/>
  <c r="F59" i="34" s="1"/>
  <c r="G59" i="34" s="1"/>
  <c r="H59" i="34" s="1"/>
  <c r="A4" i="51"/>
  <c r="B6" i="72" s="1"/>
  <c r="C48" i="35"/>
  <c r="D48" i="35" s="1"/>
  <c r="C4" i="12"/>
  <c r="H55" i="43"/>
  <c r="L20" i="6"/>
  <c r="B6" i="1"/>
  <c r="E6" i="1" s="1"/>
  <c r="S8" i="1"/>
  <c r="AQ8" i="1" s="1"/>
  <c r="K11" i="1"/>
  <c r="M11" i="1" s="1"/>
  <c r="O11" i="1" s="1"/>
  <c r="P11" i="1" s="1"/>
  <c r="AP6" i="1"/>
  <c r="B9" i="1"/>
  <c r="E9" i="1" s="1"/>
  <c r="K7" i="1"/>
  <c r="M7" i="1" s="1"/>
  <c r="O7" i="1" s="1"/>
  <c r="P7" i="1" s="1"/>
  <c r="G1" i="15"/>
  <c r="G1" i="69"/>
  <c r="G1" i="67"/>
  <c r="W23" i="40"/>
  <c r="U32" i="40"/>
  <c r="S37" i="40"/>
  <c r="AB28" i="40"/>
  <c r="W28" i="40"/>
  <c r="W34" i="40"/>
  <c r="W19" i="40"/>
  <c r="W27" i="40"/>
  <c r="S36" i="40"/>
  <c r="W37" i="40"/>
  <c r="AA15" i="40"/>
  <c r="U11" i="40"/>
  <c r="AB13" i="40"/>
  <c r="U8" i="40"/>
  <c r="S8" i="40"/>
  <c r="AA39" i="39"/>
  <c r="AB23" i="39"/>
  <c r="U41" i="39"/>
  <c r="AB41" i="39"/>
  <c r="AB43" i="39"/>
  <c r="AB11" i="39"/>
  <c r="U11" i="39"/>
  <c r="AA27" i="39"/>
  <c r="S27" i="39"/>
  <c r="W17" i="39"/>
  <c r="AC17" i="39"/>
  <c r="AB39" i="39"/>
  <c r="W34" i="39"/>
  <c r="U38" i="39"/>
  <c r="S8" i="39"/>
  <c r="S20" i="36"/>
  <c r="S28" i="36"/>
  <c r="AC20" i="36"/>
  <c r="AB28" i="36"/>
  <c r="W22" i="36"/>
  <c r="AC25" i="35"/>
  <c r="S24" i="35"/>
  <c r="W33" i="35"/>
  <c r="S35" i="35"/>
  <c r="AA16" i="35"/>
  <c r="AA35" i="37"/>
  <c r="W36" i="37"/>
  <c r="S28" i="37"/>
  <c r="W32" i="37"/>
  <c r="U38" i="37"/>
  <c r="AB37" i="37"/>
  <c r="S33" i="37"/>
  <c r="AC34" i="37"/>
  <c r="AA11" i="37"/>
  <c r="U19" i="37"/>
  <c r="AA29" i="37"/>
  <c r="AA8" i="37"/>
  <c r="U8" i="37"/>
  <c r="AB40" i="34"/>
  <c r="AB36" i="34"/>
  <c r="AA32" i="34"/>
  <c r="U38" i="34"/>
  <c r="W40" i="34"/>
  <c r="AA36" i="34"/>
  <c r="AA8" i="34"/>
  <c r="S8" i="34"/>
  <c r="U9" i="34"/>
  <c r="U32" i="34"/>
  <c r="U14" i="34"/>
  <c r="W43" i="34"/>
  <c r="U12" i="34"/>
  <c r="AC37" i="33"/>
  <c r="U39" i="33"/>
  <c r="U38" i="33"/>
  <c r="S33" i="33"/>
  <c r="AB34" i="33"/>
  <c r="U44" i="33"/>
  <c r="AB44" i="33"/>
  <c r="U15" i="33"/>
  <c r="S11" i="33"/>
  <c r="S44" i="21"/>
  <c r="AB42" i="21"/>
  <c r="U28" i="21"/>
  <c r="AA11" i="21"/>
  <c r="F33" i="21"/>
  <c r="S33" i="21" s="1"/>
  <c r="J33" i="21"/>
  <c r="W33" i="21" s="1"/>
  <c r="H33" i="21"/>
  <c r="AB33" i="21" s="1"/>
  <c r="F37" i="21"/>
  <c r="AA37" i="21" s="1"/>
  <c r="U40" i="21"/>
  <c r="U13" i="21"/>
  <c r="AB13" i="21"/>
  <c r="W8" i="21"/>
  <c r="AB37" i="21"/>
  <c r="J37" i="21"/>
  <c r="W37" i="21" s="1"/>
  <c r="H15" i="21"/>
  <c r="U15" i="21" s="1"/>
  <c r="J17" i="21"/>
  <c r="AC17" i="21" s="1"/>
  <c r="AC19" i="21"/>
  <c r="H45" i="21"/>
  <c r="U45" i="21" s="1"/>
  <c r="F29" i="21"/>
  <c r="S29" i="21" s="1"/>
  <c r="F13" i="21"/>
  <c r="AA13" i="21" s="1"/>
  <c r="H32" i="21"/>
  <c r="AB32" i="21" s="1"/>
  <c r="J9" i="21"/>
  <c r="W9" i="21" s="1"/>
  <c r="J32" i="21"/>
  <c r="AC32" i="21" s="1"/>
  <c r="F32" i="21"/>
  <c r="AA32" i="21" s="1"/>
  <c r="U17" i="21"/>
  <c r="S19" i="21"/>
  <c r="AA9" i="21"/>
  <c r="K141" i="21"/>
  <c r="K144" i="21"/>
  <c r="K143" i="21"/>
  <c r="AB44" i="21"/>
  <c r="W42" i="21"/>
  <c r="F10" i="21"/>
  <c r="S10" i="21" s="1"/>
  <c r="K145" i="21"/>
  <c r="W17" i="21"/>
  <c r="AA29" i="21"/>
  <c r="S27" i="21"/>
  <c r="AA15" i="21"/>
  <c r="AC26" i="21"/>
  <c r="AC34" i="21"/>
  <c r="AB36" i="21"/>
  <c r="W30" i="40"/>
  <c r="C19" i="39"/>
  <c r="C17" i="40"/>
  <c r="C21" i="40"/>
  <c r="U30" i="40"/>
  <c r="B54" i="43"/>
  <c r="B49" i="43"/>
  <c r="B52" i="43"/>
  <c r="B56" i="43"/>
  <c r="B63" i="43"/>
  <c r="B67" i="43"/>
  <c r="D23" i="15"/>
  <c r="D22" i="15"/>
  <c r="E4" i="4"/>
  <c r="B5" i="62" s="1"/>
  <c r="B73" i="72" s="1"/>
  <c r="C4" i="4"/>
  <c r="S7" i="1"/>
  <c r="AR7" i="1" s="1"/>
  <c r="E7" i="70"/>
  <c r="AA39" i="40"/>
  <c r="S12" i="33"/>
  <c r="J32" i="39"/>
  <c r="W32" i="39" s="1"/>
  <c r="H32" i="39"/>
  <c r="U32" i="39" s="1"/>
  <c r="AA32" i="39"/>
  <c r="S21" i="39"/>
  <c r="AC21" i="39"/>
  <c r="W21" i="39"/>
  <c r="S9" i="35"/>
  <c r="AB26" i="35"/>
  <c r="AC17" i="37"/>
  <c r="S17" i="37"/>
  <c r="J19" i="37"/>
  <c r="W19" i="37" s="1"/>
  <c r="S19" i="37"/>
  <c r="AA19" i="37"/>
  <c r="AA23" i="37"/>
  <c r="J23" i="37"/>
  <c r="W23" i="37" s="1"/>
  <c r="J10" i="37"/>
  <c r="W10" i="37" s="1"/>
  <c r="H11" i="37"/>
  <c r="AB11" i="37" s="1"/>
  <c r="U10" i="37"/>
  <c r="H11" i="34"/>
  <c r="AB11" i="34" s="1"/>
  <c r="AB41" i="33"/>
  <c r="W35" i="33"/>
  <c r="AC35" i="33"/>
  <c r="J36" i="33"/>
  <c r="W36" i="33" s="1"/>
  <c r="H36" i="33"/>
  <c r="U36" i="33" s="1"/>
  <c r="AA36" i="33"/>
  <c r="W32" i="33"/>
  <c r="G91" i="33"/>
  <c r="H91" i="33" s="1"/>
  <c r="I91" i="33" s="1"/>
  <c r="J91" i="33" s="1"/>
  <c r="K91" i="33" s="1"/>
  <c r="L91" i="33" s="1"/>
  <c r="M91" i="33" s="1"/>
  <c r="J27" i="33"/>
  <c r="W27" i="33" s="1"/>
  <c r="S25" i="33"/>
  <c r="J25" i="33"/>
  <c r="W25" i="33" s="1"/>
  <c r="F23" i="33"/>
  <c r="AA23" i="33" s="1"/>
  <c r="G85" i="33"/>
  <c r="W23" i="33"/>
  <c r="H19" i="33"/>
  <c r="AB19" i="33" s="1"/>
  <c r="G79" i="33"/>
  <c r="H17" i="33"/>
  <c r="AB17" i="33" s="1"/>
  <c r="F17" i="33"/>
  <c r="AA17" i="33" s="1"/>
  <c r="W17" i="33"/>
  <c r="AB10" i="33"/>
  <c r="W10" i="33"/>
  <c r="AC37" i="21"/>
  <c r="U33" i="21"/>
  <c r="AA23" i="21"/>
  <c r="J23" i="21"/>
  <c r="AC23" i="21" s="1"/>
  <c r="H23" i="21"/>
  <c r="AB23" i="21" s="1"/>
  <c r="AP7" i="1"/>
  <c r="AA33" i="21"/>
  <c r="S32" i="21"/>
  <c r="AC9" i="21"/>
  <c r="U32" i="21"/>
  <c r="A18" i="62"/>
  <c r="B64" i="72" s="1"/>
  <c r="AC19" i="37"/>
  <c r="J11" i="37"/>
  <c r="W11" i="37" s="1"/>
  <c r="U11" i="34"/>
  <c r="J11" i="34"/>
  <c r="AC11" i="34" s="1"/>
  <c r="AB36" i="33"/>
  <c r="S23" i="33"/>
  <c r="S17" i="33"/>
  <c r="U17" i="33"/>
  <c r="W23" i="21"/>
  <c r="AC11" i="37"/>
  <c r="R7" i="1"/>
  <c r="F34" i="11"/>
  <c r="F11" i="12"/>
  <c r="F34" i="68"/>
  <c r="R8" i="1"/>
  <c r="AE7" i="1"/>
  <c r="AE8" i="1"/>
  <c r="H112" i="9"/>
  <c r="D21" i="53" s="1"/>
  <c r="B39" i="72" s="1"/>
  <c r="H111" i="9"/>
  <c r="D126" i="9" s="1"/>
  <c r="I14" i="74" s="1"/>
  <c r="B8" i="74" s="1"/>
  <c r="AD3" i="71"/>
  <c r="J1" i="73"/>
  <c r="C77" i="9"/>
  <c r="C74" i="9" s="1"/>
  <c r="M5" i="43"/>
  <c r="M2" i="43"/>
  <c r="H70" i="43"/>
  <c r="H54" i="43"/>
  <c r="N10" i="43"/>
  <c r="N7" i="43"/>
  <c r="N17" i="43"/>
  <c r="O17" i="43"/>
  <c r="E17" i="43"/>
  <c r="AB18" i="71"/>
  <c r="X16" i="71"/>
  <c r="X15" i="71"/>
  <c r="AA16" i="71"/>
  <c r="AA15" i="71"/>
  <c r="X19" i="71"/>
  <c r="Y15" i="71"/>
  <c r="Z15" i="71" s="1"/>
  <c r="AB16" i="71"/>
  <c r="AB15" i="71"/>
  <c r="C94" i="9"/>
  <c r="C92" i="9"/>
  <c r="Y16" i="71"/>
  <c r="Z16" i="71" s="1"/>
  <c r="X3" i="71"/>
  <c r="E17" i="71"/>
  <c r="E16" i="71" s="1"/>
  <c r="I59" i="34"/>
  <c r="J59" i="34" s="1"/>
  <c r="E10" i="76"/>
  <c r="E8" i="76"/>
  <c r="AO9" i="1"/>
  <c r="AO7" i="1"/>
  <c r="AO13" i="1"/>
  <c r="F7" i="73"/>
  <c r="F37" i="67"/>
  <c r="F42" i="15"/>
  <c r="F8" i="15"/>
  <c r="J15" i="67"/>
  <c r="F36" i="15"/>
  <c r="D2" i="37"/>
  <c r="E13" i="76"/>
  <c r="F16" i="67"/>
  <c r="F16" i="15"/>
  <c r="M6" i="15"/>
  <c r="F3" i="73"/>
  <c r="AO11" i="1"/>
  <c r="B8" i="76"/>
  <c r="D2" i="36"/>
  <c r="E2" i="69"/>
  <c r="M26" i="15"/>
  <c r="M8" i="15"/>
  <c r="F40" i="67"/>
  <c r="B7" i="76"/>
  <c r="M28" i="15"/>
  <c r="D2" i="21"/>
  <c r="F4" i="73"/>
  <c r="F7" i="15"/>
  <c r="L48" i="15"/>
  <c r="F6" i="73"/>
  <c r="M28" i="67"/>
  <c r="D2" i="33"/>
  <c r="AO12" i="1"/>
  <c r="B9" i="76"/>
  <c r="E11" i="76"/>
  <c r="E12" i="76"/>
  <c r="F37" i="15"/>
  <c r="L47" i="67"/>
  <c r="AO10" i="1"/>
  <c r="E9" i="76"/>
  <c r="B10" i="76"/>
  <c r="D2" i="34"/>
  <c r="F13" i="15"/>
  <c r="F41" i="15"/>
  <c r="C76" i="15"/>
  <c r="E7" i="76"/>
  <c r="F26" i="15"/>
  <c r="B12" i="76"/>
  <c r="F5" i="73"/>
  <c r="AO8" i="1"/>
  <c r="E2" i="68"/>
  <c r="B13" i="76"/>
  <c r="B11" i="76"/>
  <c r="M22" i="15"/>
  <c r="F20" i="31"/>
  <c r="M24" i="15"/>
  <c r="F42" i="67"/>
  <c r="D35" i="9"/>
  <c r="F36" i="67"/>
  <c r="M26" i="67"/>
  <c r="M21" i="15"/>
  <c r="D34" i="9"/>
  <c r="D2" i="35"/>
  <c r="U23" i="34" l="1"/>
  <c r="AB23" i="34"/>
  <c r="W11" i="40"/>
  <c r="AC11" i="40"/>
  <c r="AB36" i="39"/>
  <c r="U36" i="39"/>
  <c r="AA34" i="21"/>
  <c r="S34" i="21"/>
  <c r="J9" i="34"/>
  <c r="F9" i="34"/>
  <c r="AA9" i="34" s="1"/>
  <c r="W27" i="35"/>
  <c r="AC27" i="35"/>
  <c r="U8" i="36"/>
  <c r="AB8" i="36"/>
  <c r="J33" i="40"/>
  <c r="H33" i="40"/>
  <c r="BL580" i="3"/>
  <c r="BA580" i="3"/>
  <c r="AZ580" i="3" s="1"/>
  <c r="BA579" i="3"/>
  <c r="BA573" i="3"/>
  <c r="BA569" i="3"/>
  <c r="BA568" i="3"/>
  <c r="AZ568" i="3" s="1"/>
  <c r="BL566" i="3"/>
  <c r="BA565" i="3"/>
  <c r="BA561" i="3"/>
  <c r="BL560" i="3"/>
  <c r="BA560" i="3"/>
  <c r="AZ560" i="3" s="1"/>
  <c r="BL558" i="3"/>
  <c r="BA553" i="3"/>
  <c r="BA545" i="3"/>
  <c r="BL536" i="3"/>
  <c r="BA531" i="3"/>
  <c r="BA516" i="3"/>
  <c r="BA513" i="3"/>
  <c r="BL498" i="3"/>
  <c r="BA496" i="3"/>
  <c r="BA495" i="3"/>
  <c r="AA41" i="33"/>
  <c r="S41" i="33"/>
  <c r="U11" i="21"/>
  <c r="AB11" i="21"/>
  <c r="AB8" i="35"/>
  <c r="U8" i="35"/>
  <c r="AB13" i="33"/>
  <c r="U13" i="33"/>
  <c r="J29" i="33"/>
  <c r="F29" i="33"/>
  <c r="H45" i="33"/>
  <c r="F45" i="33"/>
  <c r="J12" i="34"/>
  <c r="F12" i="34"/>
  <c r="S12" i="34" s="1"/>
  <c r="H30" i="34"/>
  <c r="J30" i="34"/>
  <c r="J46" i="34"/>
  <c r="H46" i="34"/>
  <c r="U46" i="34" s="1"/>
  <c r="J12" i="35"/>
  <c r="F12" i="35"/>
  <c r="S12" i="35" s="1"/>
  <c r="H11" i="35"/>
  <c r="F11" i="35"/>
  <c r="S38" i="34"/>
  <c r="AA38" i="34"/>
  <c r="AC25" i="33"/>
  <c r="AC36" i="33"/>
  <c r="AC10" i="37"/>
  <c r="W32" i="21"/>
  <c r="AC33" i="21"/>
  <c r="D6" i="52"/>
  <c r="S37" i="21"/>
  <c r="S26" i="35"/>
  <c r="W13" i="21"/>
  <c r="S35" i="21"/>
  <c r="AC15" i="21"/>
  <c r="AA26" i="21"/>
  <c r="W35" i="34"/>
  <c r="AA46" i="34"/>
  <c r="AA40" i="34"/>
  <c r="AB35" i="37"/>
  <c r="U25" i="35"/>
  <c r="AB20" i="35"/>
  <c r="W29" i="36"/>
  <c r="AC25" i="39"/>
  <c r="AC41" i="39"/>
  <c r="AB17" i="40"/>
  <c r="S33" i="40"/>
  <c r="AC40" i="21"/>
  <c r="W19" i="33"/>
  <c r="S39" i="33"/>
  <c r="F11" i="34"/>
  <c r="S11" i="34" s="1"/>
  <c r="U39" i="34"/>
  <c r="W41" i="34"/>
  <c r="AA9" i="37"/>
  <c r="S37" i="37"/>
  <c r="AC9" i="37"/>
  <c r="J26" i="35"/>
  <c r="H9" i="35"/>
  <c r="U10" i="36"/>
  <c r="AB20" i="36"/>
  <c r="AC26" i="36"/>
  <c r="W19" i="39"/>
  <c r="W39" i="39"/>
  <c r="AA19" i="40"/>
  <c r="S35" i="40"/>
  <c r="AA39" i="34"/>
  <c r="AC14" i="35"/>
  <c r="S14" i="35"/>
  <c r="G6" i="1"/>
  <c r="F41" i="67"/>
  <c r="AZ379" i="3"/>
  <c r="AZ338" i="3"/>
  <c r="AZ327" i="3"/>
  <c r="AZ306" i="3"/>
  <c r="AZ372" i="3"/>
  <c r="AZ347" i="3"/>
  <c r="AZ344" i="3"/>
  <c r="AZ329" i="3"/>
  <c r="BL507" i="3"/>
  <c r="BL519" i="3"/>
  <c r="BL545" i="3"/>
  <c r="AZ545" i="3" s="1"/>
  <c r="BL561" i="3"/>
  <c r="AZ561" i="3" s="1"/>
  <c r="AA14" i="34"/>
  <c r="J11" i="35"/>
  <c r="J32" i="34"/>
  <c r="F30" i="34"/>
  <c r="J14" i="34"/>
  <c r="F31" i="33"/>
  <c r="H29" i="33"/>
  <c r="J13" i="33"/>
  <c r="AC38" i="34"/>
  <c r="AC33" i="37"/>
  <c r="W33" i="37"/>
  <c r="BL585" i="3"/>
  <c r="J27" i="21"/>
  <c r="H27" i="21"/>
  <c r="J29" i="21"/>
  <c r="H29" i="21"/>
  <c r="AC40" i="33"/>
  <c r="W40" i="33"/>
  <c r="AC8" i="34"/>
  <c r="W8" i="34"/>
  <c r="H12" i="35"/>
  <c r="H23" i="35"/>
  <c r="F23" i="35"/>
  <c r="AA23" i="35" s="1"/>
  <c r="J35" i="35"/>
  <c r="H35" i="35"/>
  <c r="AC32" i="40"/>
  <c r="W32" i="40"/>
  <c r="BL419" i="3"/>
  <c r="BL435" i="3"/>
  <c r="G438" i="3"/>
  <c r="G440" i="3"/>
  <c r="BL441" i="3"/>
  <c r="BA443" i="3"/>
  <c r="BL443" i="3"/>
  <c r="G444" i="3"/>
  <c r="BL445" i="3"/>
  <c r="BL447" i="3"/>
  <c r="BL451" i="3"/>
  <c r="G473" i="3"/>
  <c r="G484" i="3"/>
  <c r="BA485" i="3"/>
  <c r="G486" i="3"/>
  <c r="G488" i="3"/>
  <c r="BA489" i="3"/>
  <c r="BL489" i="3"/>
  <c r="BA491" i="3"/>
  <c r="BL491" i="3"/>
  <c r="BA492" i="3"/>
  <c r="AZ492" i="3" s="1"/>
  <c r="BA319" i="3"/>
  <c r="AZ319" i="3" s="1"/>
  <c r="BA323" i="3"/>
  <c r="AZ323" i="3" s="1"/>
  <c r="G347" i="3"/>
  <c r="BL348" i="3"/>
  <c r="G349" i="3"/>
  <c r="BA350" i="3"/>
  <c r="AZ350" i="3" s="1"/>
  <c r="BA353" i="3"/>
  <c r="AZ353" i="3" s="1"/>
  <c r="BL353" i="3"/>
  <c r="G358" i="3"/>
  <c r="BL359" i="3"/>
  <c r="AZ359" i="3" s="1"/>
  <c r="G362" i="3"/>
  <c r="BA368" i="3"/>
  <c r="G369" i="3"/>
  <c r="BA370" i="3"/>
  <c r="AZ370" i="3" s="1"/>
  <c r="BA374" i="3"/>
  <c r="AZ374" i="3" s="1"/>
  <c r="G213" i="3"/>
  <c r="BL565" i="3"/>
  <c r="AZ565" i="3" s="1"/>
  <c r="BL569" i="3"/>
  <c r="AZ569" i="3" s="1"/>
  <c r="BL573" i="3"/>
  <c r="AZ573" i="3" s="1"/>
  <c r="G557" i="3"/>
  <c r="BA587" i="3"/>
  <c r="G584" i="3"/>
  <c r="G552" i="3"/>
  <c r="G550" i="3"/>
  <c r="BA547" i="3"/>
  <c r="G547" i="3"/>
  <c r="BL546" i="3"/>
  <c r="G544" i="3"/>
  <c r="BA543" i="3"/>
  <c r="G543" i="3"/>
  <c r="BL541" i="3"/>
  <c r="G537" i="3"/>
  <c r="G536" i="3"/>
  <c r="BA535" i="3"/>
  <c r="G532" i="3"/>
  <c r="G530" i="3"/>
  <c r="BL528" i="3"/>
  <c r="BA527" i="3"/>
  <c r="BL525" i="3"/>
  <c r="BA524" i="3"/>
  <c r="G524" i="3"/>
  <c r="G523" i="3"/>
  <c r="BL521" i="3"/>
  <c r="AZ521" i="3" s="1"/>
  <c r="BA521" i="3"/>
  <c r="G521" i="3"/>
  <c r="G520" i="3"/>
  <c r="BA517" i="3"/>
  <c r="BL516" i="3"/>
  <c r="G514" i="3"/>
  <c r="G513" i="3"/>
  <c r="BA510" i="3"/>
  <c r="G508" i="3"/>
  <c r="BA507" i="3"/>
  <c r="G506" i="3"/>
  <c r="G505" i="3"/>
  <c r="BA499" i="3"/>
  <c r="BA498" i="3"/>
  <c r="AZ498" i="3" s="1"/>
  <c r="G497" i="3"/>
  <c r="BL496" i="3"/>
  <c r="BN5" i="3"/>
  <c r="BG5" i="3"/>
  <c r="AC5" i="3"/>
  <c r="BL229" i="3"/>
  <c r="AZ229" i="3" s="1"/>
  <c r="BA230" i="3"/>
  <c r="AZ230" i="3" s="1"/>
  <c r="BA232" i="3"/>
  <c r="BL232" i="3"/>
  <c r="BA234" i="3"/>
  <c r="BL234" i="3"/>
  <c r="BL236" i="3"/>
  <c r="G237" i="3"/>
  <c r="BL238" i="3"/>
  <c r="G239" i="3"/>
  <c r="BA240" i="3"/>
  <c r="G241" i="3"/>
  <c r="BL242" i="3"/>
  <c r="BA244" i="3"/>
  <c r="G245" i="3"/>
  <c r="BL246" i="3"/>
  <c r="G249" i="3"/>
  <c r="G251" i="3"/>
  <c r="G271" i="3"/>
  <c r="G275" i="3"/>
  <c r="BA276" i="3"/>
  <c r="G277" i="3"/>
  <c r="BA278" i="3"/>
  <c r="BL278" i="3"/>
  <c r="BA280" i="3"/>
  <c r="BL280" i="3"/>
  <c r="BA282" i="3"/>
  <c r="AZ282" i="3" s="1"/>
  <c r="BA283" i="3"/>
  <c r="AZ283" i="3" s="1"/>
  <c r="BA285" i="3"/>
  <c r="AZ285" i="3" s="1"/>
  <c r="BA286" i="3"/>
  <c r="AZ286" i="3" s="1"/>
  <c r="BA287" i="3"/>
  <c r="AZ287" i="3" s="1"/>
  <c r="BA288" i="3"/>
  <c r="AZ288" i="3" s="1"/>
  <c r="BA290" i="3"/>
  <c r="AZ290" i="3" s="1"/>
  <c r="BA291" i="3"/>
  <c r="AZ291" i="3" s="1"/>
  <c r="BA293" i="3"/>
  <c r="AZ293" i="3" s="1"/>
  <c r="BA295" i="3"/>
  <c r="AZ295" i="3" s="1"/>
  <c r="BL295" i="3"/>
  <c r="BA297" i="3"/>
  <c r="AZ297" i="3" s="1"/>
  <c r="BL297" i="3"/>
  <c r="BA298" i="3"/>
  <c r="AZ298" i="3" s="1"/>
  <c r="BA299" i="3"/>
  <c r="AZ299" i="3" s="1"/>
  <c r="BL301" i="3"/>
  <c r="G302" i="3"/>
  <c r="BA113" i="3"/>
  <c r="AZ113" i="3" s="1"/>
  <c r="BL113" i="3"/>
  <c r="BL115" i="3"/>
  <c r="AZ115" i="3" s="1"/>
  <c r="G116" i="3"/>
  <c r="BA117" i="3"/>
  <c r="AZ117" i="3" s="1"/>
  <c r="BL119" i="3"/>
  <c r="AZ119" i="3" s="1"/>
  <c r="G120" i="3"/>
  <c r="T48" i="71"/>
  <c r="D48" i="71"/>
  <c r="T56" i="71"/>
  <c r="D56" i="71"/>
  <c r="X25" i="71"/>
  <c r="X26" i="71"/>
  <c r="AB32" i="71"/>
  <c r="BL122" i="3"/>
  <c r="G123" i="3"/>
  <c r="BA124" i="3"/>
  <c r="AZ124" i="3" s="1"/>
  <c r="BA126" i="3"/>
  <c r="BL126" i="3"/>
  <c r="BA128" i="3"/>
  <c r="AZ128" i="3" s="1"/>
  <c r="BA130" i="3"/>
  <c r="G131" i="3"/>
  <c r="BA134" i="3"/>
  <c r="G135" i="3"/>
  <c r="G139" i="3"/>
  <c r="G158" i="3"/>
  <c r="BA161" i="3"/>
  <c r="G162" i="3"/>
  <c r="BL163" i="3"/>
  <c r="AZ163" i="3" s="1"/>
  <c r="BL165" i="3"/>
  <c r="G166" i="3"/>
  <c r="G168" i="3"/>
  <c r="BL169" i="3"/>
  <c r="G170" i="3"/>
  <c r="G172" i="3"/>
  <c r="BA173" i="3"/>
  <c r="BL173" i="3"/>
  <c r="BL175" i="3"/>
  <c r="AZ175" i="3" s="1"/>
  <c r="G176" i="3"/>
  <c r="BA178" i="3"/>
  <c r="BL178" i="3"/>
  <c r="BA180" i="3"/>
  <c r="AZ180" i="3" s="1"/>
  <c r="BL182" i="3"/>
  <c r="G183" i="3"/>
  <c r="BA184" i="3"/>
  <c r="AZ184" i="3" s="1"/>
  <c r="BL186" i="3"/>
  <c r="G187" i="3"/>
  <c r="BA188" i="3"/>
  <c r="AZ188" i="3" s="1"/>
  <c r="BA190" i="3"/>
  <c r="G191" i="3"/>
  <c r="G195" i="3"/>
  <c r="G53" i="3"/>
  <c r="G57" i="3"/>
  <c r="BL58" i="3"/>
  <c r="BA60" i="3"/>
  <c r="G61" i="3"/>
  <c r="G65" i="3"/>
  <c r="BL66" i="3"/>
  <c r="BA68" i="3"/>
  <c r="G69" i="3"/>
  <c r="BL70" i="3"/>
  <c r="BL72" i="3"/>
  <c r="G75" i="3"/>
  <c r="G79" i="3"/>
  <c r="G81" i="3"/>
  <c r="BL82" i="3"/>
  <c r="BL84" i="3"/>
  <c r="BL86" i="3"/>
  <c r="G89" i="3"/>
  <c r="G105" i="3"/>
  <c r="G107" i="3"/>
  <c r="BL108" i="3"/>
  <c r="BL110" i="3"/>
  <c r="BA112" i="3"/>
  <c r="I20" i="66"/>
  <c r="AB21" i="33"/>
  <c r="B55" i="43"/>
  <c r="V24" i="71"/>
  <c r="AA24" i="71"/>
  <c r="AJ10" i="43"/>
  <c r="AZ546" i="3"/>
  <c r="AA26" i="33"/>
  <c r="S26" i="33"/>
  <c r="AA19" i="34"/>
  <c r="S19" i="34"/>
  <c r="U11" i="36"/>
  <c r="AB11" i="36"/>
  <c r="AA13" i="39"/>
  <c r="S13" i="39"/>
  <c r="AZ516" i="3"/>
  <c r="BL587" i="3"/>
  <c r="AZ587" i="3" s="1"/>
  <c r="BA586" i="3"/>
  <c r="H30" i="21"/>
  <c r="J30" i="21"/>
  <c r="B74" i="43"/>
  <c r="C27" i="39"/>
  <c r="H9" i="33"/>
  <c r="F9" i="33"/>
  <c r="H34" i="36"/>
  <c r="J34" i="36"/>
  <c r="H33" i="36"/>
  <c r="F33" i="36"/>
  <c r="H31" i="39"/>
  <c r="J31" i="39"/>
  <c r="J43" i="39"/>
  <c r="F43" i="39"/>
  <c r="H45" i="39"/>
  <c r="F45" i="39"/>
  <c r="AA38" i="40"/>
  <c r="S38" i="40"/>
  <c r="AC35" i="39"/>
  <c r="W35" i="39"/>
  <c r="BA548" i="3"/>
  <c r="BL506" i="3"/>
  <c r="BL504" i="3"/>
  <c r="AZ504" i="3" s="1"/>
  <c r="BA502" i="3"/>
  <c r="C24" i="12"/>
  <c r="H74" i="43"/>
  <c r="H77" i="43"/>
  <c r="C36" i="11"/>
  <c r="AC27" i="33"/>
  <c r="AC23" i="37"/>
  <c r="AC32" i="39"/>
  <c r="AA10" i="21"/>
  <c r="S13" i="21"/>
  <c r="AB15" i="21"/>
  <c r="U23" i="33"/>
  <c r="AB25" i="33"/>
  <c r="AB27" i="33"/>
  <c r="U21" i="39"/>
  <c r="B60" i="43"/>
  <c r="B65" i="43"/>
  <c r="C23" i="40"/>
  <c r="C15" i="40"/>
  <c r="W10" i="21"/>
  <c r="S17" i="21"/>
  <c r="W31" i="21"/>
  <c r="W25" i="21"/>
  <c r="AB25" i="21"/>
  <c r="H9" i="21"/>
  <c r="AC38" i="21"/>
  <c r="S46" i="21"/>
  <c r="W39" i="21"/>
  <c r="AB46" i="21"/>
  <c r="W8" i="33"/>
  <c r="U37" i="33"/>
  <c r="AA31" i="37"/>
  <c r="U36" i="37"/>
  <c r="AA30" i="35"/>
  <c r="S23" i="39"/>
  <c r="U42" i="39"/>
  <c r="U15" i="40"/>
  <c r="S31" i="40"/>
  <c r="H84" i="43"/>
  <c r="AC11" i="21"/>
  <c r="S39" i="21"/>
  <c r="AB39" i="21"/>
  <c r="AB14" i="33"/>
  <c r="W15" i="33"/>
  <c r="W43" i="33"/>
  <c r="S42" i="33"/>
  <c r="U15" i="34"/>
  <c r="AB41" i="34"/>
  <c r="AA33" i="34"/>
  <c r="AA12" i="37"/>
  <c r="U9" i="37"/>
  <c r="U23" i="37"/>
  <c r="U32" i="37"/>
  <c r="S36" i="37"/>
  <c r="S8" i="35"/>
  <c r="S22" i="35"/>
  <c r="AA36" i="35"/>
  <c r="AC30" i="35"/>
  <c r="U28" i="35"/>
  <c r="S23" i="35"/>
  <c r="S14" i="36"/>
  <c r="AA25" i="36"/>
  <c r="AA34" i="36"/>
  <c r="S27" i="36"/>
  <c r="S17" i="39"/>
  <c r="U37" i="39"/>
  <c r="AB19" i="40"/>
  <c r="S30" i="40"/>
  <c r="AC36" i="40"/>
  <c r="I20" i="43"/>
  <c r="AA12" i="40"/>
  <c r="U36" i="40"/>
  <c r="AZ322" i="3"/>
  <c r="AZ311" i="3"/>
  <c r="AZ337" i="3"/>
  <c r="AZ376" i="3"/>
  <c r="AZ362" i="3"/>
  <c r="AZ360" i="3"/>
  <c r="AZ341" i="3"/>
  <c r="AZ309" i="3"/>
  <c r="W35" i="40"/>
  <c r="W44" i="21"/>
  <c r="U26" i="37"/>
  <c r="AA12" i="35"/>
  <c r="AC33" i="36"/>
  <c r="U43" i="33"/>
  <c r="H31" i="40"/>
  <c r="H28" i="34"/>
  <c r="AB28" i="34" s="1"/>
  <c r="BL511" i="3"/>
  <c r="BL527" i="3"/>
  <c r="AZ527" i="3" s="1"/>
  <c r="BL543" i="3"/>
  <c r="AZ543" i="3" s="1"/>
  <c r="BL547" i="3"/>
  <c r="AZ559" i="3"/>
  <c r="F13" i="40"/>
  <c r="F13" i="36"/>
  <c r="W30" i="34"/>
  <c r="AC30" i="34"/>
  <c r="AA45" i="33"/>
  <c r="S45" i="33"/>
  <c r="AC29" i="33"/>
  <c r="W29" i="33"/>
  <c r="F30" i="21"/>
  <c r="F28" i="34"/>
  <c r="AA28" i="34" s="1"/>
  <c r="U42" i="34"/>
  <c r="AA12" i="34"/>
  <c r="C21" i="39"/>
  <c r="F35" i="39"/>
  <c r="AA35" i="39" s="1"/>
  <c r="J45" i="39"/>
  <c r="H31" i="21"/>
  <c r="F31" i="21"/>
  <c r="AA40" i="21"/>
  <c r="S40" i="21"/>
  <c r="B70" i="43"/>
  <c r="C15" i="39"/>
  <c r="J9" i="33"/>
  <c r="AC33" i="33"/>
  <c r="W33" i="33"/>
  <c r="W41" i="33"/>
  <c r="AC31" i="35"/>
  <c r="J23" i="36"/>
  <c r="H23" i="36"/>
  <c r="F23" i="36"/>
  <c r="J25" i="36"/>
  <c r="H25" i="36"/>
  <c r="F32" i="36"/>
  <c r="H32" i="36"/>
  <c r="S31" i="36"/>
  <c r="AA31" i="36"/>
  <c r="AC31" i="37"/>
  <c r="W31" i="37"/>
  <c r="H40" i="37"/>
  <c r="F40" i="37"/>
  <c r="AB9" i="39"/>
  <c r="U9" i="39"/>
  <c r="H35" i="39"/>
  <c r="H44" i="39"/>
  <c r="F44" i="39"/>
  <c r="AA44" i="39" s="1"/>
  <c r="J44" i="39"/>
  <c r="F40" i="40"/>
  <c r="AB31" i="35"/>
  <c r="U31" i="35"/>
  <c r="BA576" i="3"/>
  <c r="BL572" i="3"/>
  <c r="AZ572" i="3" s="1"/>
  <c r="BL570" i="3"/>
  <c r="BA570" i="3"/>
  <c r="AZ570" i="3" s="1"/>
  <c r="BA566" i="3"/>
  <c r="BL564" i="3"/>
  <c r="AZ564" i="3" s="1"/>
  <c r="BL562" i="3"/>
  <c r="BA562" i="3"/>
  <c r="AZ562" i="3" s="1"/>
  <c r="BA558" i="3"/>
  <c r="AZ558" i="3" s="1"/>
  <c r="BL554" i="3"/>
  <c r="AZ377" i="3"/>
  <c r="W12" i="34"/>
  <c r="AC12" i="34"/>
  <c r="J11" i="36"/>
  <c r="AC11" i="36" s="1"/>
  <c r="F11" i="36"/>
  <c r="AA10" i="37"/>
  <c r="S10" i="37"/>
  <c r="J13" i="39"/>
  <c r="H13" i="39"/>
  <c r="W40" i="40"/>
  <c r="AC40" i="40"/>
  <c r="AA42" i="34"/>
  <c r="S42" i="34"/>
  <c r="BA584" i="3"/>
  <c r="BL582" i="3"/>
  <c r="BL544" i="3"/>
  <c r="BA544" i="3"/>
  <c r="BL542" i="3"/>
  <c r="BA542" i="3"/>
  <c r="BL532" i="3"/>
  <c r="BA528" i="3"/>
  <c r="BL526" i="3"/>
  <c r="BL524" i="3"/>
  <c r="AZ524" i="3" s="1"/>
  <c r="BA520" i="3"/>
  <c r="BA512" i="3"/>
  <c r="BA508" i="3"/>
  <c r="G583" i="3"/>
  <c r="G580" i="3"/>
  <c r="G579" i="3"/>
  <c r="G575" i="3"/>
  <c r="G558" i="3"/>
  <c r="G556" i="3"/>
  <c r="G554" i="3"/>
  <c r="G553" i="3"/>
  <c r="G542" i="3"/>
  <c r="G540" i="3"/>
  <c r="G539" i="3"/>
  <c r="G538" i="3"/>
  <c r="G535" i="3"/>
  <c r="G534" i="3"/>
  <c r="G533" i="3"/>
  <c r="G531" i="3"/>
  <c r="G529" i="3"/>
  <c r="G527" i="3"/>
  <c r="G526" i="3"/>
  <c r="G525" i="3"/>
  <c r="G522" i="3"/>
  <c r="G519" i="3"/>
  <c r="G518" i="3"/>
  <c r="G515" i="3"/>
  <c r="G512" i="3"/>
  <c r="G511" i="3"/>
  <c r="G510" i="3"/>
  <c r="G507" i="3"/>
  <c r="G504" i="3"/>
  <c r="G503" i="3"/>
  <c r="G502" i="3"/>
  <c r="G499" i="3"/>
  <c r="G498" i="3"/>
  <c r="G496" i="3"/>
  <c r="G495" i="3"/>
  <c r="G493"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AZ439" i="3" s="1"/>
  <c r="BL439" i="3"/>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G215" i="3"/>
  <c r="G218" i="3"/>
  <c r="G221" i="3"/>
  <c r="BL222" i="3"/>
  <c r="G223" i="3"/>
  <c r="BL224" i="3"/>
  <c r="G225" i="3"/>
  <c r="G229" i="3"/>
  <c r="G232" i="3"/>
  <c r="G234" i="3"/>
  <c r="G236"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A275" i="3"/>
  <c r="AZ275" i="3" s="1"/>
  <c r="BL277" i="3"/>
  <c r="G278" i="3"/>
  <c r="G280" i="3"/>
  <c r="G282" i="3"/>
  <c r="G285" i="3"/>
  <c r="G290" i="3"/>
  <c r="G293" i="3"/>
  <c r="G295" i="3"/>
  <c r="G297" i="3"/>
  <c r="G301" i="3"/>
  <c r="BA302" i="3"/>
  <c r="AZ302" i="3" s="1"/>
  <c r="BL302"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G19" i="3"/>
  <c r="BA20" i="3"/>
  <c r="G21" i="3"/>
  <c r="G25" i="3"/>
  <c r="BL26" i="3"/>
  <c r="G27" i="3"/>
  <c r="G29" i="3"/>
  <c r="G35" i="3"/>
  <c r="G39" i="3"/>
  <c r="G45" i="3"/>
  <c r="G49" i="3"/>
  <c r="BL50" i="3"/>
  <c r="G51" i="3"/>
  <c r="BA52" i="3"/>
  <c r="BL52" i="3"/>
  <c r="BL54" i="3"/>
  <c r="G55" i="3"/>
  <c r="BA56" i="3"/>
  <c r="BL56" i="3"/>
  <c r="BA57" i="3"/>
  <c r="AZ57" i="3" s="1"/>
  <c r="BA58" i="3"/>
  <c r="AZ58" i="3" s="1"/>
  <c r="BA59" i="3"/>
  <c r="AZ59" i="3" s="1"/>
  <c r="BA61" i="3"/>
  <c r="AZ61" i="3" s="1"/>
  <c r="BL61" i="3"/>
  <c r="BL62" i="3"/>
  <c r="G63" i="3"/>
  <c r="BA64" i="3"/>
  <c r="BL64" i="3"/>
  <c r="BA65" i="3"/>
  <c r="AZ65" i="3" s="1"/>
  <c r="BA66" i="3"/>
  <c r="AZ66" i="3" s="1"/>
  <c r="BA67" i="3"/>
  <c r="AZ67" i="3" s="1"/>
  <c r="BA69" i="3"/>
  <c r="BL69" i="3"/>
  <c r="BA70" i="3"/>
  <c r="AZ70" i="3" s="1"/>
  <c r="BA71" i="3"/>
  <c r="AZ71" i="3" s="1"/>
  <c r="BA72" i="3"/>
  <c r="AZ72" i="3" s="1"/>
  <c r="BA74" i="3"/>
  <c r="AZ74" i="3" s="1"/>
  <c r="D31" i="71"/>
  <c r="C32" i="71"/>
  <c r="BL74" i="3"/>
  <c r="BL76" i="3"/>
  <c r="G77" i="3"/>
  <c r="BA78" i="3"/>
  <c r="BL78" i="3"/>
  <c r="BA80" i="3"/>
  <c r="AZ80" i="3" s="1"/>
  <c r="BL80" i="3"/>
  <c r="BA81" i="3"/>
  <c r="AZ81" i="3" s="1"/>
  <c r="BA82" i="3"/>
  <c r="AZ82" i="3" s="1"/>
  <c r="BA83" i="3"/>
  <c r="AZ83" i="3" s="1"/>
  <c r="BA84" i="3"/>
  <c r="AZ84" i="3" s="1"/>
  <c r="BA85" i="3"/>
  <c r="AZ85" i="3" s="1"/>
  <c r="BA86" i="3"/>
  <c r="AZ86" i="3" s="1"/>
  <c r="BA88" i="3"/>
  <c r="AZ88" i="3" s="1"/>
  <c r="BL88" i="3"/>
  <c r="BL90" i="3"/>
  <c r="G91" i="3"/>
  <c r="G96" i="3"/>
  <c r="BL97" i="3"/>
  <c r="G98" i="3"/>
  <c r="G101" i="3"/>
  <c r="G103" i="3"/>
  <c r="BA104" i="3"/>
  <c r="BL104" i="3"/>
  <c r="BA106" i="3"/>
  <c r="BL106" i="3"/>
  <c r="BA108" i="3"/>
  <c r="AZ108" i="3" s="1"/>
  <c r="BA109" i="3"/>
  <c r="AZ109" i="3" s="1"/>
  <c r="BA110" i="3"/>
  <c r="AZ110" i="3" s="1"/>
  <c r="BA111" i="3"/>
  <c r="AZ111" i="3" s="1"/>
  <c r="J61" i="43"/>
  <c r="J65" i="43"/>
  <c r="I15" i="66"/>
  <c r="C32" i="66"/>
  <c r="E26" i="66" s="1"/>
  <c r="W21" i="33"/>
  <c r="W21" i="37"/>
  <c r="S21" i="33"/>
  <c r="C29" i="39"/>
  <c r="B66" i="43"/>
  <c r="P62" i="71"/>
  <c r="C74" i="71"/>
  <c r="D74" i="71" s="1"/>
  <c r="AB22" i="71"/>
  <c r="D30" i="71"/>
  <c r="Y21" i="71"/>
  <c r="Z21" i="71" s="1"/>
  <c r="AB25" i="71"/>
  <c r="E30" i="71"/>
  <c r="E31" i="71" s="1"/>
  <c r="E32" i="71" s="1"/>
  <c r="U32" i="71" s="1"/>
  <c r="B30" i="71"/>
  <c r="B31" i="71" s="1"/>
  <c r="B32" i="71" s="1"/>
  <c r="S32" i="71" s="1"/>
  <c r="Y26" i="71"/>
  <c r="Z26" i="71" s="1"/>
  <c r="AB26" i="71"/>
  <c r="Y27" i="71"/>
  <c r="Z27" i="71" s="1"/>
  <c r="X27" i="71"/>
  <c r="AB30" i="71"/>
  <c r="Y29" i="71"/>
  <c r="Z29" i="71" s="1"/>
  <c r="AB31" i="71"/>
  <c r="F35" i="71"/>
  <c r="F36" i="71" s="1"/>
  <c r="V36" i="71" s="1"/>
  <c r="B39" i="71"/>
  <c r="B40" i="71" s="1"/>
  <c r="S40" i="71" s="1"/>
  <c r="AI10" i="43"/>
  <c r="D68" i="39"/>
  <c r="C70" i="39"/>
  <c r="U23" i="21"/>
  <c r="U19" i="33"/>
  <c r="U11" i="37"/>
  <c r="AB32" i="39"/>
  <c r="AZ13" i="3"/>
  <c r="AB35" i="40"/>
  <c r="U35" i="40"/>
  <c r="AZ343" i="3"/>
  <c r="W12" i="37"/>
  <c r="AC12" i="37"/>
  <c r="S32" i="40"/>
  <c r="AA32" i="40"/>
  <c r="S25" i="21"/>
  <c r="AA25" i="21"/>
  <c r="AZ517" i="3"/>
  <c r="U28" i="37"/>
  <c r="AB28" i="37"/>
  <c r="AB33" i="35"/>
  <c r="U33" i="35"/>
  <c r="W15" i="40"/>
  <c r="AC15" i="40"/>
  <c r="AB23" i="40"/>
  <c r="U23" i="40"/>
  <c r="AA21" i="40"/>
  <c r="S21" i="40"/>
  <c r="AA19" i="39"/>
  <c r="S19" i="39"/>
  <c r="AA31" i="39"/>
  <c r="S31" i="39"/>
  <c r="S35" i="39"/>
  <c r="S14" i="33"/>
  <c r="AA14" i="33"/>
  <c r="H30" i="33"/>
  <c r="J30" i="33"/>
  <c r="F30" i="33"/>
  <c r="J44" i="33"/>
  <c r="F44" i="33"/>
  <c r="J46" i="33"/>
  <c r="F46" i="33"/>
  <c r="H46" i="33"/>
  <c r="H13" i="34"/>
  <c r="J13" i="34"/>
  <c r="F13" i="34"/>
  <c r="J29" i="34"/>
  <c r="H29" i="34"/>
  <c r="F29" i="34"/>
  <c r="H31" i="34"/>
  <c r="AB31" i="34" s="1"/>
  <c r="F31" i="34"/>
  <c r="H45" i="34"/>
  <c r="F45" i="34"/>
  <c r="F47" i="34"/>
  <c r="H47" i="34"/>
  <c r="U47" i="34" s="1"/>
  <c r="F13" i="35"/>
  <c r="S13" i="35" s="1"/>
  <c r="H13" i="35"/>
  <c r="J13" i="35"/>
  <c r="U23" i="35"/>
  <c r="AB23" i="35"/>
  <c r="J24" i="35"/>
  <c r="H24" i="35"/>
  <c r="J34" i="35"/>
  <c r="F34" i="35"/>
  <c r="H36" i="35"/>
  <c r="J36" i="35"/>
  <c r="AA27" i="35"/>
  <c r="S27" i="35"/>
  <c r="H25" i="37"/>
  <c r="J25" i="37"/>
  <c r="F25" i="37"/>
  <c r="S44" i="39"/>
  <c r="J12" i="39"/>
  <c r="F12" i="39"/>
  <c r="H12" i="39"/>
  <c r="AB12" i="39" s="1"/>
  <c r="H14" i="39"/>
  <c r="F14" i="39"/>
  <c r="AA38" i="39"/>
  <c r="S38" i="39"/>
  <c r="S9" i="40"/>
  <c r="AA9" i="40"/>
  <c r="W9" i="40"/>
  <c r="AC9" i="40"/>
  <c r="AB40" i="40"/>
  <c r="U40" i="40"/>
  <c r="J12" i="40"/>
  <c r="H12" i="40"/>
  <c r="J14" i="40"/>
  <c r="F14" i="40"/>
  <c r="H27" i="40"/>
  <c r="U27" i="40" s="1"/>
  <c r="F27" i="40"/>
  <c r="S27" i="40" s="1"/>
  <c r="U41" i="21"/>
  <c r="AB41" i="21"/>
  <c r="AA31" i="35"/>
  <c r="S31" i="35"/>
  <c r="F36" i="39"/>
  <c r="J36" i="39"/>
  <c r="BL584" i="3"/>
  <c r="AZ584" i="3" s="1"/>
  <c r="BA582" i="3"/>
  <c r="AZ582" i="3" s="1"/>
  <c r="BL581" i="3"/>
  <c r="BA581" i="3"/>
  <c r="BL579" i="3"/>
  <c r="AZ579" i="3" s="1"/>
  <c r="BL578" i="3"/>
  <c r="BA578" i="3"/>
  <c r="BA577" i="3"/>
  <c r="AZ577" i="3" s="1"/>
  <c r="BL576" i="3"/>
  <c r="AZ576" i="3" s="1"/>
  <c r="BA574" i="3"/>
  <c r="AZ574" i="3" s="1"/>
  <c r="BA556" i="3"/>
  <c r="AZ556" i="3" s="1"/>
  <c r="BA555" i="3"/>
  <c r="AZ555" i="3" s="1"/>
  <c r="BA554" i="3"/>
  <c r="AZ554" i="3" s="1"/>
  <c r="BL552" i="3"/>
  <c r="BA552" i="3"/>
  <c r="BL551" i="3"/>
  <c r="BA541" i="3"/>
  <c r="AZ541" i="3" s="1"/>
  <c r="BL540" i="3"/>
  <c r="BA540" i="3"/>
  <c r="BL538" i="3"/>
  <c r="BA538" i="3"/>
  <c r="BL537" i="3"/>
  <c r="BA537" i="3"/>
  <c r="BA536" i="3"/>
  <c r="AZ536" i="3" s="1"/>
  <c r="BA534" i="3"/>
  <c r="AZ534" i="3" s="1"/>
  <c r="BA533" i="3"/>
  <c r="AZ533" i="3" s="1"/>
  <c r="BA532" i="3"/>
  <c r="AZ532" i="3" s="1"/>
  <c r="BL530" i="3"/>
  <c r="BA530" i="3"/>
  <c r="BL529" i="3"/>
  <c r="BA529" i="3"/>
  <c r="BA526" i="3"/>
  <c r="BA525" i="3"/>
  <c r="AZ525" i="3" s="1"/>
  <c r="BL522" i="3"/>
  <c r="BA522" i="3"/>
  <c r="BL520" i="3"/>
  <c r="BA519" i="3"/>
  <c r="AZ519" i="3" s="1"/>
  <c r="BL518" i="3"/>
  <c r="BA518" i="3"/>
  <c r="BA515" i="3"/>
  <c r="BA514" i="3"/>
  <c r="AZ514" i="3" s="1"/>
  <c r="BL513" i="3"/>
  <c r="AZ513" i="3" s="1"/>
  <c r="BL512" i="3"/>
  <c r="AZ512" i="3" s="1"/>
  <c r="BA511" i="3"/>
  <c r="BL510" i="3"/>
  <c r="AZ510" i="3" s="1"/>
  <c r="BA509" i="3"/>
  <c r="AZ509" i="3" s="1"/>
  <c r="G509" i="3"/>
  <c r="BL508" i="3"/>
  <c r="BA506" i="3"/>
  <c r="AZ506" i="3" s="1"/>
  <c r="BA505" i="3"/>
  <c r="BL502" i="3"/>
  <c r="AZ502" i="3" s="1"/>
  <c r="BL501" i="3"/>
  <c r="BA501" i="3"/>
  <c r="BL500" i="3"/>
  <c r="BA500" i="3"/>
  <c r="BL499" i="3"/>
  <c r="AZ499" i="3" s="1"/>
  <c r="BL497" i="3"/>
  <c r="BA497" i="3"/>
  <c r="BL495" i="3"/>
  <c r="AZ495" i="3" s="1"/>
  <c r="BP5" i="3"/>
  <c r="BL494" i="3"/>
  <c r="BI5" i="3"/>
  <c r="BE5" i="3"/>
  <c r="BA494" i="3"/>
  <c r="BT5" i="3"/>
  <c r="BR5" i="3"/>
  <c r="BO5" i="3"/>
  <c r="BD5" i="3"/>
  <c r="BA493" i="3"/>
  <c r="AZ493" i="3" s="1"/>
  <c r="S22" i="31"/>
  <c r="R22" i="31" s="1"/>
  <c r="C7" i="43"/>
  <c r="S20" i="35"/>
  <c r="AC27" i="36"/>
  <c r="AZ373" i="3"/>
  <c r="AZ355" i="3"/>
  <c r="U32" i="33"/>
  <c r="AC28" i="34"/>
  <c r="AZ505" i="3"/>
  <c r="AZ507" i="3"/>
  <c r="AZ511" i="3"/>
  <c r="AZ535" i="3"/>
  <c r="AZ563" i="3"/>
  <c r="AZ567" i="3"/>
  <c r="AZ571" i="3"/>
  <c r="AZ575" i="3"/>
  <c r="AZ496" i="3"/>
  <c r="AZ528" i="3"/>
  <c r="J47" i="34"/>
  <c r="J31" i="34"/>
  <c r="J14" i="33"/>
  <c r="AC37" i="37"/>
  <c r="W37" i="37"/>
  <c r="W11" i="36"/>
  <c r="W45" i="33"/>
  <c r="AC45" i="33"/>
  <c r="S13" i="33"/>
  <c r="AA13" i="33"/>
  <c r="W46" i="21"/>
  <c r="AC46" i="21"/>
  <c r="AA29" i="35"/>
  <c r="AB11" i="33"/>
  <c r="U11" i="33"/>
  <c r="W17" i="34"/>
  <c r="AC17" i="34"/>
  <c r="AB30" i="36"/>
  <c r="AB30" i="35"/>
  <c r="U30" i="35"/>
  <c r="W34" i="36"/>
  <c r="AC34" i="36"/>
  <c r="S41" i="39"/>
  <c r="AA41" i="39"/>
  <c r="S34" i="40"/>
  <c r="AB39" i="37"/>
  <c r="U39" i="37"/>
  <c r="AB35" i="21"/>
  <c r="U35" i="21"/>
  <c r="U38" i="21"/>
  <c r="AB38" i="21"/>
  <c r="BL586" i="3"/>
  <c r="AZ586" i="3" s="1"/>
  <c r="BA585" i="3"/>
  <c r="AZ585" i="3" s="1"/>
  <c r="F12" i="21"/>
  <c r="J12" i="21"/>
  <c r="H12" i="21"/>
  <c r="J14" i="21"/>
  <c r="H14" i="21"/>
  <c r="F14" i="21"/>
  <c r="F28" i="21"/>
  <c r="J28" i="21"/>
  <c r="J45" i="21"/>
  <c r="F45" i="21"/>
  <c r="H12" i="33"/>
  <c r="AB33" i="33"/>
  <c r="U33" i="33"/>
  <c r="AB35" i="33"/>
  <c r="U35" i="33"/>
  <c r="AA38" i="33"/>
  <c r="S38" i="33"/>
  <c r="AC39" i="33"/>
  <c r="W39" i="33"/>
  <c r="E78" i="34"/>
  <c r="F78" i="34" s="1"/>
  <c r="G78" i="34" s="1"/>
  <c r="J15" i="34"/>
  <c r="F15" i="34"/>
  <c r="E82" i="34"/>
  <c r="F82" i="34" s="1"/>
  <c r="G82" i="34" s="1"/>
  <c r="J19" i="34"/>
  <c r="H19" i="34"/>
  <c r="AB19" i="34" s="1"/>
  <c r="F88" i="34"/>
  <c r="G88" i="34" s="1"/>
  <c r="H88" i="34" s="1"/>
  <c r="I88" i="34" s="1"/>
  <c r="J88" i="34" s="1"/>
  <c r="K88" i="34" s="1"/>
  <c r="L88" i="34" s="1"/>
  <c r="M88" i="34" s="1"/>
  <c r="J25" i="34"/>
  <c r="AC25" i="34" s="1"/>
  <c r="G67" i="34"/>
  <c r="F10" i="34"/>
  <c r="W8" i="35"/>
  <c r="AC8" i="35"/>
  <c r="H34" i="35"/>
  <c r="J12" i="36"/>
  <c r="F12" i="36"/>
  <c r="J24" i="36"/>
  <c r="F24" i="36"/>
  <c r="AB31" i="36"/>
  <c r="U31" i="36"/>
  <c r="AZ387" i="3"/>
  <c r="AZ369" i="3"/>
  <c r="AZ357" i="3"/>
  <c r="AZ310" i="3"/>
  <c r="AZ382" i="3"/>
  <c r="AZ371" i="3"/>
  <c r="AZ364" i="3"/>
  <c r="AZ356" i="3"/>
  <c r="AZ342" i="3"/>
  <c r="AZ336" i="3"/>
  <c r="AZ321" i="3"/>
  <c r="AZ304" i="3"/>
  <c r="AZ394" i="3"/>
  <c r="AZ325" i="3"/>
  <c r="K5" i="4"/>
  <c r="B47" i="48" s="1"/>
  <c r="BL503" i="3"/>
  <c r="AZ503" i="3" s="1"/>
  <c r="BL515" i="3"/>
  <c r="AZ515" i="3" s="1"/>
  <c r="BL523" i="3"/>
  <c r="AZ523" i="3" s="1"/>
  <c r="BL531" i="3"/>
  <c r="AZ531" i="3" s="1"/>
  <c r="BL539" i="3"/>
  <c r="AZ539" i="3" s="1"/>
  <c r="AZ547" i="3"/>
  <c r="BL553" i="3"/>
  <c r="AZ553" i="3" s="1"/>
  <c r="BL583" i="3"/>
  <c r="AZ583" i="3" s="1"/>
  <c r="AZ566" i="3"/>
  <c r="AB8" i="33"/>
  <c r="U8" i="33"/>
  <c r="AB40" i="33"/>
  <c r="U40" i="33"/>
  <c r="H28" i="33"/>
  <c r="F28" i="33"/>
  <c r="J28" i="33"/>
  <c r="J26" i="33"/>
  <c r="H26" i="33"/>
  <c r="AC9" i="34"/>
  <c r="W9" i="34"/>
  <c r="E80" i="34"/>
  <c r="F80" i="34" s="1"/>
  <c r="G80" i="34" s="1"/>
  <c r="H17" i="34"/>
  <c r="U17" i="34" s="1"/>
  <c r="F17" i="34"/>
  <c r="E86" i="34"/>
  <c r="F86" i="34" s="1"/>
  <c r="G86" i="34" s="1"/>
  <c r="J23" i="34"/>
  <c r="F23" i="34"/>
  <c r="J27" i="34"/>
  <c r="F27" i="34"/>
  <c r="E126" i="34"/>
  <c r="F126" i="34" s="1"/>
  <c r="G126" i="34" s="1"/>
  <c r="F44" i="34"/>
  <c r="AA44" i="34" s="1"/>
  <c r="AC28" i="35"/>
  <c r="W28" i="35"/>
  <c r="J9" i="36"/>
  <c r="H9" i="36"/>
  <c r="F9" i="36"/>
  <c r="H13" i="37"/>
  <c r="J13" i="37"/>
  <c r="H27" i="37"/>
  <c r="F27" i="37"/>
  <c r="J39" i="37"/>
  <c r="F39" i="37"/>
  <c r="AC40" i="39"/>
  <c r="W40" i="39"/>
  <c r="J37" i="39"/>
  <c r="F37" i="39"/>
  <c r="AC8" i="40"/>
  <c r="W8" i="40"/>
  <c r="AB9" i="40"/>
  <c r="U9" i="40"/>
  <c r="AB34" i="40"/>
  <c r="U34" i="40"/>
  <c r="AA40" i="40"/>
  <c r="S40" i="40"/>
  <c r="F112" i="34"/>
  <c r="G112" i="34" s="1"/>
  <c r="H112" i="34" s="1"/>
  <c r="I112" i="34" s="1"/>
  <c r="J112" i="34" s="1"/>
  <c r="K112" i="34" s="1"/>
  <c r="L112" i="34" s="1"/>
  <c r="M112" i="34" s="1"/>
  <c r="F37" i="34"/>
  <c r="J37" i="34"/>
  <c r="G551" i="3"/>
  <c r="BL550" i="3"/>
  <c r="BA550" i="3"/>
  <c r="G578" i="3"/>
  <c r="G562" i="3"/>
  <c r="BA551" i="3"/>
  <c r="AZ551" i="3" s="1"/>
  <c r="BL548" i="3"/>
  <c r="AZ548" i="3" s="1"/>
  <c r="BL16" i="3"/>
  <c r="AZ16" i="3" s="1"/>
  <c r="AZ438" i="3"/>
  <c r="AZ443" i="3"/>
  <c r="E5" i="6"/>
  <c r="D9" i="11" s="1"/>
  <c r="C9" i="11" s="1"/>
  <c r="I4" i="6"/>
  <c r="G3" i="43" s="1"/>
  <c r="F19" i="6"/>
  <c r="E19" i="6" s="1"/>
  <c r="K6" i="1" s="1"/>
  <c r="G14"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G276" i="3"/>
  <c r="BL276" i="3"/>
  <c r="AZ276" i="3" s="1"/>
  <c r="BA277" i="3"/>
  <c r="AZ277" i="3" s="1"/>
  <c r="BL279" i="3"/>
  <c r="AZ279" i="3" s="1"/>
  <c r="BL281" i="3"/>
  <c r="AZ281" i="3" s="1"/>
  <c r="G283" i="3"/>
  <c r="G284" i="3"/>
  <c r="BL284" i="3"/>
  <c r="G286" i="3"/>
  <c r="G287" i="3"/>
  <c r="G288" i="3"/>
  <c r="G289" i="3"/>
  <c r="BL289" i="3"/>
  <c r="G291" i="3"/>
  <c r="G292" i="3"/>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W21" i="21"/>
  <c r="AC21" i="21"/>
  <c r="AA21" i="37"/>
  <c r="S21" i="37"/>
  <c r="AB18" i="35"/>
  <c r="U18" i="35"/>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BL18" i="3"/>
  <c r="BA19" i="3"/>
  <c r="BL19" i="3"/>
  <c r="BA21" i="3"/>
  <c r="BL22" i="3"/>
  <c r="G23"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K108" i="43"/>
  <c r="K100" i="43"/>
  <c r="AB21" i="21"/>
  <c r="U21" i="21"/>
  <c r="AC18" i="36"/>
  <c r="W18" i="36"/>
  <c r="AA18" i="36"/>
  <c r="S18" i="36"/>
  <c r="O62" i="71"/>
  <c r="O61" i="71"/>
  <c r="D62" i="71"/>
  <c r="C28" i="71"/>
  <c r="D27" i="71"/>
  <c r="C23" i="71"/>
  <c r="C22" i="71" s="1"/>
  <c r="D22" i="71" s="1"/>
  <c r="T24" i="71"/>
  <c r="D24" i="71"/>
  <c r="U24" i="71" s="1"/>
  <c r="C40" i="71"/>
  <c r="D39" i="71"/>
  <c r="D50" i="71"/>
  <c r="C51"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L107" i="3"/>
  <c r="AZ107" i="3" s="1"/>
  <c r="G109" i="3"/>
  <c r="G110" i="3"/>
  <c r="G111" i="3"/>
  <c r="G112" i="3"/>
  <c r="BL112" i="3"/>
  <c r="I10" i="66"/>
  <c r="T60" i="71"/>
  <c r="D35" i="71"/>
  <c r="N61" i="71"/>
  <c r="D63" i="71"/>
  <c r="AA23" i="71"/>
  <c r="AA21" i="71"/>
  <c r="AB24" i="71"/>
  <c r="F24" i="71"/>
  <c r="F23" i="71" s="1"/>
  <c r="F22" i="71" s="1"/>
  <c r="X23" i="71"/>
  <c r="X21" i="71"/>
  <c r="Y24" i="71"/>
  <c r="Z24" i="71" s="1"/>
  <c r="Y22" i="71"/>
  <c r="Z22" i="71" s="1"/>
  <c r="AB33" i="71"/>
  <c r="AB29" i="71"/>
  <c r="X28" i="71"/>
  <c r="AA26" i="71"/>
  <c r="Y25" i="71"/>
  <c r="Z25" i="71" s="1"/>
  <c r="F27" i="71"/>
  <c r="F28" i="71" s="1"/>
  <c r="V28" i="71" s="1"/>
  <c r="F31" i="71"/>
  <c r="F32" i="71" s="1"/>
  <c r="V32" i="71" s="1"/>
  <c r="Y30" i="71"/>
  <c r="Z30" i="71" s="1"/>
  <c r="B47" i="71"/>
  <c r="B48" i="71" s="1"/>
  <c r="S48" i="71" s="1"/>
  <c r="AE10" i="43"/>
  <c r="V20" i="71"/>
  <c r="G20" i="77"/>
  <c r="A2" i="9"/>
  <c r="A118" i="9"/>
  <c r="H25" i="34"/>
  <c r="AB25" i="34" s="1"/>
  <c r="F25" i="34"/>
  <c r="S25" i="34" s="1"/>
  <c r="AB17" i="34"/>
  <c r="W46" i="34"/>
  <c r="AC46" i="34"/>
  <c r="AB47" i="34"/>
  <c r="AC45" i="34"/>
  <c r="AB46" i="34"/>
  <c r="W33" i="34"/>
  <c r="S44" i="34"/>
  <c r="S35" i="34"/>
  <c r="U28" i="34"/>
  <c r="U31" i="34"/>
  <c r="S28" i="34"/>
  <c r="J64" i="43"/>
  <c r="J63" i="43"/>
  <c r="J62" i="43"/>
  <c r="D60" i="43"/>
  <c r="J59" i="43"/>
  <c r="E59" i="43"/>
  <c r="B57" i="43" s="1"/>
  <c r="C24" i="43" s="1"/>
  <c r="M17" i="43"/>
  <c r="L17" i="43"/>
  <c r="N2" i="43"/>
  <c r="N9" i="43"/>
  <c r="N11" i="43"/>
  <c r="M12" i="43"/>
  <c r="F37" i="43"/>
  <c r="F34" i="43"/>
  <c r="F33" i="43"/>
  <c r="H17" i="43"/>
  <c r="M1" i="43"/>
  <c r="F35" i="43"/>
  <c r="F39" i="43"/>
  <c r="H113" i="43"/>
  <c r="F36" i="43"/>
  <c r="H49" i="43"/>
  <c r="H48" i="43"/>
  <c r="H51" i="43"/>
  <c r="H56" i="43"/>
  <c r="H53" i="43"/>
  <c r="H85" i="43"/>
  <c r="H87" i="43"/>
  <c r="N4" i="43"/>
  <c r="M6" i="43"/>
  <c r="M8" i="43"/>
  <c r="M7" i="43"/>
  <c r="M10" i="43"/>
  <c r="N12" i="43"/>
  <c r="M4" i="43"/>
  <c r="H76" i="43"/>
  <c r="H72" i="43"/>
  <c r="N5" i="43"/>
  <c r="N3" i="43"/>
  <c r="F59" i="43" s="1"/>
  <c r="N6" i="43"/>
  <c r="H78" i="43"/>
  <c r="H88" i="43"/>
  <c r="H81" i="43"/>
  <c r="N8" i="43"/>
  <c r="M3" i="43"/>
  <c r="C6" i="43" s="1"/>
  <c r="H82" i="43"/>
  <c r="M11" i="43"/>
  <c r="H50" i="43"/>
  <c r="S9" i="34"/>
  <c r="S43" i="34"/>
  <c r="U43" i="34"/>
  <c r="AB35" i="34"/>
  <c r="AA41" i="34"/>
  <c r="AC36" i="34"/>
  <c r="W25" i="34"/>
  <c r="U25" i="34"/>
  <c r="S21" i="34"/>
  <c r="U19" i="34"/>
  <c r="W11" i="34"/>
  <c r="AA11" i="34"/>
  <c r="B41" i="1"/>
  <c r="D93" i="9"/>
  <c r="C40" i="69"/>
  <c r="C21" i="69"/>
  <c r="D22" i="67"/>
  <c r="AR11" i="1"/>
  <c r="O10" i="1"/>
  <c r="P10" i="1" s="1"/>
  <c r="BB5" i="3"/>
  <c r="E8" i="6" s="1"/>
  <c r="F27" i="6" s="1"/>
  <c r="F22" i="43"/>
  <c r="F101" i="43"/>
  <c r="F103" i="43" s="1"/>
  <c r="L101" i="43"/>
  <c r="L106" i="43" s="1"/>
  <c r="D101" i="43"/>
  <c r="D109" i="43" s="1"/>
  <c r="I101" i="43"/>
  <c r="I109" i="43" s="1"/>
  <c r="G22" i="43"/>
  <c r="AH11" i="43"/>
  <c r="AD11" i="43"/>
  <c r="Z11" i="43"/>
  <c r="S5" i="43"/>
  <c r="AG11" i="43"/>
  <c r="AC11" i="43"/>
  <c r="Y11" i="43"/>
  <c r="Y13" i="43" s="1"/>
  <c r="C23" i="43"/>
  <c r="S3" i="43"/>
  <c r="J22" i="43"/>
  <c r="S6" i="43"/>
  <c r="S4" i="43"/>
  <c r="S7" i="43"/>
  <c r="C101" i="43"/>
  <c r="C102" i="43" s="1"/>
  <c r="H22" i="43"/>
  <c r="H101" i="43"/>
  <c r="H105" i="43" s="1"/>
  <c r="M101" i="43"/>
  <c r="M105" i="43" s="1"/>
  <c r="E101" i="43"/>
  <c r="E102" i="43" s="1"/>
  <c r="S2" i="43"/>
  <c r="AJ11" i="43"/>
  <c r="AJ13" i="43" s="1"/>
  <c r="AF11" i="43"/>
  <c r="AB11" i="43"/>
  <c r="AB13" i="43" s="1"/>
  <c r="Z7" i="43"/>
  <c r="AI11" i="43"/>
  <c r="AI13" i="43" s="1"/>
  <c r="AE11" i="43"/>
  <c r="AE13" i="43" s="1"/>
  <c r="AA11" i="43"/>
  <c r="AA13" i="43" s="1"/>
  <c r="BL23" i="3"/>
  <c r="T13" i="1"/>
  <c r="T10" i="1"/>
  <c r="AZ23" i="3"/>
  <c r="BA22" i="3"/>
  <c r="AZ22" i="3" s="1"/>
  <c r="M106" i="43"/>
  <c r="T11" i="1"/>
  <c r="BL21" i="3"/>
  <c r="AZ21" i="3" s="1"/>
  <c r="BL20" i="3"/>
  <c r="AZ20" i="3" s="1"/>
  <c r="T8" i="1"/>
  <c r="T9" i="1"/>
  <c r="D9" i="69"/>
  <c r="C9" i="69" s="1"/>
  <c r="AQ13" i="1"/>
  <c r="N104" i="46"/>
  <c r="E22" i="43"/>
  <c r="B113" i="43"/>
  <c r="B117" i="43" s="1"/>
  <c r="C117" i="43" s="1"/>
  <c r="BM5" i="3"/>
  <c r="F29" i="6" s="1"/>
  <c r="BQ5" i="3"/>
  <c r="F28" i="6" s="1"/>
  <c r="T7" i="1"/>
  <c r="AR12" i="1"/>
  <c r="J101" i="43"/>
  <c r="J103" i="43" s="1"/>
  <c r="G101" i="43"/>
  <c r="G109" i="43" s="1"/>
  <c r="N101" i="43"/>
  <c r="N107" i="43" s="1"/>
  <c r="K101" i="43"/>
  <c r="K104" i="43" s="1"/>
  <c r="G28" i="6"/>
  <c r="C36" i="69"/>
  <c r="AQ7" i="1"/>
  <c r="AR8" i="1"/>
  <c r="BJ5" i="3"/>
  <c r="BF5" i="3"/>
  <c r="D19" i="12"/>
  <c r="C19" i="12" s="1"/>
  <c r="AQ9" i="1"/>
  <c r="T12" i="1"/>
  <c r="L27" i="6"/>
  <c r="G29" i="6"/>
  <c r="D127" i="9"/>
  <c r="D13" i="52" s="1"/>
  <c r="E15" i="71"/>
  <c r="E14" i="71" s="1"/>
  <c r="E13" i="71" s="1"/>
  <c r="E12" i="71" s="1"/>
  <c r="V16" i="71"/>
  <c r="D12" i="52"/>
  <c r="D19" i="53"/>
  <c r="AZ557" i="3"/>
  <c r="P6" i="1"/>
  <c r="O12" i="1"/>
  <c r="G5" i="3"/>
  <c r="B3" i="3" s="1"/>
  <c r="F7" i="67" s="1"/>
  <c r="M7" i="67" s="1"/>
  <c r="C23" i="12"/>
  <c r="AB45" i="21"/>
  <c r="H16" i="1"/>
  <c r="Q16" i="1"/>
  <c r="D107" i="43"/>
  <c r="D104" i="43"/>
  <c r="D103" i="43"/>
  <c r="I103" i="43"/>
  <c r="E109" i="43"/>
  <c r="M104" i="43"/>
  <c r="E105" i="43"/>
  <c r="E107" i="43"/>
  <c r="AA19" i="33"/>
  <c r="AB33" i="34"/>
  <c r="AR10" i="1"/>
  <c r="F105" i="43"/>
  <c r="F102" i="43"/>
  <c r="AA10" i="33"/>
  <c r="AA35" i="33"/>
  <c r="AC39" i="34"/>
  <c r="U44" i="34"/>
  <c r="AB27" i="36"/>
  <c r="U12" i="39"/>
  <c r="AA27" i="40"/>
  <c r="AB27" i="40"/>
  <c r="AA34" i="33"/>
  <c r="H75" i="43"/>
  <c r="AC11" i="39"/>
  <c r="AA13" i="35"/>
  <c r="AZ398" i="3"/>
  <c r="AZ405" i="3"/>
  <c r="AZ407" i="3"/>
  <c r="AZ410" i="3"/>
  <c r="AZ415" i="3"/>
  <c r="AZ420" i="3"/>
  <c r="AZ426" i="3"/>
  <c r="AZ431" i="3"/>
  <c r="AZ436" i="3"/>
  <c r="AZ448" i="3"/>
  <c r="AZ452" i="3"/>
  <c r="AZ461" i="3"/>
  <c r="AZ463" i="3"/>
  <c r="AZ468" i="3"/>
  <c r="AZ470" i="3"/>
  <c r="AZ479" i="3"/>
  <c r="AZ485" i="3"/>
  <c r="AZ489" i="3"/>
  <c r="H12" i="36"/>
  <c r="H24" i="36"/>
  <c r="H38" i="40"/>
  <c r="J38" i="40"/>
  <c r="H39" i="40"/>
  <c r="AZ385" i="3"/>
  <c r="AZ210" i="3"/>
  <c r="AZ225" i="3"/>
  <c r="AZ239" i="3"/>
  <c r="AZ255" i="3"/>
  <c r="AZ247" i="3"/>
  <c r="AZ260" i="3"/>
  <c r="AZ264" i="3"/>
  <c r="AZ284" i="3"/>
  <c r="AZ289" i="3"/>
  <c r="AZ292" i="3"/>
  <c r="AZ294" i="3"/>
  <c r="AZ300" i="3"/>
  <c r="AZ118" i="3"/>
  <c r="AZ121" i="3"/>
  <c r="AZ134" i="3"/>
  <c r="AZ137" i="3"/>
  <c r="AZ145" i="3"/>
  <c r="AZ161" i="3"/>
  <c r="AZ177" i="3"/>
  <c r="AZ193" i="3"/>
  <c r="AZ34" i="3"/>
  <c r="AZ38" i="3"/>
  <c r="AZ44" i="3"/>
  <c r="AZ48" i="3"/>
  <c r="AZ60" i="3"/>
  <c r="AZ64" i="3"/>
  <c r="AZ78" i="3"/>
  <c r="AZ91" i="3"/>
  <c r="AZ98" i="3"/>
  <c r="AZ104" i="3"/>
  <c r="AZ112" i="3"/>
  <c r="F3" i="35"/>
  <c r="D36" i="71"/>
  <c r="M19" i="43" s="1"/>
  <c r="T36" i="71"/>
  <c r="D40" i="71"/>
  <c r="T40" i="71"/>
  <c r="M100" i="43"/>
  <c r="I100" i="43"/>
  <c r="E100" i="43"/>
  <c r="D100" i="43"/>
  <c r="C40" i="68"/>
  <c r="C21" i="68"/>
  <c r="AA5" i="71"/>
  <c r="AA6" i="71"/>
  <c r="AA35" i="71"/>
  <c r="V64" i="71"/>
  <c r="F63" i="71"/>
  <c r="X17" i="71"/>
  <c r="AA14" i="71"/>
  <c r="X14" i="71"/>
  <c r="AA9" i="71"/>
  <c r="D23" i="71"/>
  <c r="AB23" i="71"/>
  <c r="S24" i="71"/>
  <c r="AA25" i="71"/>
  <c r="Y31" i="71"/>
  <c r="Z31" i="71" s="1"/>
  <c r="Y32" i="71"/>
  <c r="Z32" i="71" s="1"/>
  <c r="Y5" i="71"/>
  <c r="Z5" i="71" s="1"/>
  <c r="Y6" i="71"/>
  <c r="Z6" i="71" s="1"/>
  <c r="Y35" i="71"/>
  <c r="Z35" i="71" s="1"/>
  <c r="V76" i="71"/>
  <c r="F75" i="71"/>
  <c r="F74" i="71" s="1"/>
  <c r="Z12" i="43"/>
  <c r="Z13" i="43" s="1"/>
  <c r="Z10" i="43"/>
  <c r="AD12" i="43"/>
  <c r="AD13" i="43" s="1"/>
  <c r="AD10" i="43"/>
  <c r="AF12" i="43"/>
  <c r="AF13" i="43" s="1"/>
  <c r="AF10" i="43"/>
  <c r="AH12" i="43"/>
  <c r="AH13" i="43" s="1"/>
  <c r="AH10" i="43"/>
  <c r="Y17" i="71"/>
  <c r="Z17" i="71" s="1"/>
  <c r="X5" i="71"/>
  <c r="X6" i="71"/>
  <c r="AB5" i="71"/>
  <c r="AC12" i="43"/>
  <c r="AC13" i="43" s="1"/>
  <c r="AC10" i="43"/>
  <c r="AG12" i="43"/>
  <c r="AG13" i="43" s="1"/>
  <c r="AG10" i="43"/>
  <c r="X20" i="71"/>
  <c r="Y18" i="71"/>
  <c r="Z18" i="71" s="1"/>
  <c r="Y19" i="71"/>
  <c r="Z19" i="71" s="1"/>
  <c r="C20" i="71"/>
  <c r="AB19" i="71"/>
  <c r="AB20" i="71"/>
  <c r="Y14" i="71"/>
  <c r="Z14" i="71" s="1"/>
  <c r="AB14" i="71"/>
  <c r="Y10" i="71"/>
  <c r="Z10" i="71" s="1"/>
  <c r="Y13" i="71"/>
  <c r="Z13" i="71" s="1"/>
  <c r="AB13" i="71"/>
  <c r="AB9" i="71"/>
  <c r="Y9" i="71"/>
  <c r="Z9" i="71" s="1"/>
  <c r="X8" i="71"/>
  <c r="Y20" i="71"/>
  <c r="Z20" i="71" s="1"/>
  <c r="F20" i="71"/>
  <c r="F19" i="71" s="1"/>
  <c r="F18" i="71" s="1"/>
  <c r="F17" i="71" s="1"/>
  <c r="F16" i="71" s="1"/>
  <c r="F15" i="71" s="1"/>
  <c r="F14" i="71" s="1"/>
  <c r="F13" i="71" s="1"/>
  <c r="AA19" i="71"/>
  <c r="AA20" i="71"/>
  <c r="X18" i="71"/>
  <c r="B20" i="71"/>
  <c r="AA18" i="71"/>
  <c r="AB17" i="71"/>
  <c r="AA17" i="71"/>
  <c r="X11" i="71"/>
  <c r="X10" i="71"/>
  <c r="X7" i="71"/>
  <c r="AA11" i="71"/>
  <c r="AA8" i="71"/>
  <c r="AA7" i="71"/>
  <c r="X13" i="71"/>
  <c r="AA13" i="71"/>
  <c r="AB7" i="71"/>
  <c r="AB6" i="71"/>
  <c r="Y7" i="71"/>
  <c r="Z7" i="71" s="1"/>
  <c r="AA10" i="71"/>
  <c r="X9" i="71"/>
  <c r="AB11" i="71"/>
  <c r="AB8" i="71"/>
  <c r="AB10" i="71"/>
  <c r="Y8" i="71"/>
  <c r="Z8" i="71" s="1"/>
  <c r="G16" i="1"/>
  <c r="F10" i="40" s="1"/>
  <c r="D23" i="67"/>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F51" i="67"/>
  <c r="F65" i="67"/>
  <c r="B12" i="70"/>
  <c r="F69" i="15"/>
  <c r="M7" i="15"/>
  <c r="F50" i="15"/>
  <c r="F51" i="15"/>
  <c r="B7" i="70"/>
  <c r="F69" i="67"/>
  <c r="B11" i="70"/>
  <c r="B8" i="70"/>
  <c r="F64" i="15"/>
  <c r="F70" i="67"/>
  <c r="C27" i="15"/>
  <c r="F65" i="15"/>
  <c r="B9" i="70"/>
  <c r="N59" i="67"/>
  <c r="L59" i="67"/>
  <c r="M59" i="67"/>
  <c r="B13" i="70"/>
  <c r="F50" i="67"/>
  <c r="F68" i="67"/>
  <c r="F64" i="67"/>
  <c r="J20" i="15"/>
  <c r="F26" i="67"/>
  <c r="F38" i="67"/>
  <c r="F35" i="15"/>
  <c r="D9" i="68"/>
  <c r="M29" i="67"/>
  <c r="F9" i="67"/>
  <c r="M27" i="15"/>
  <c r="F6" i="15"/>
  <c r="F43" i="15"/>
  <c r="J15" i="15"/>
  <c r="L47" i="15"/>
  <c r="D7" i="73"/>
  <c r="M6" i="67"/>
  <c r="D3" i="73"/>
  <c r="L48" i="67"/>
  <c r="M22" i="67"/>
  <c r="D6" i="73"/>
  <c r="M9" i="15"/>
  <c r="F9" i="15"/>
  <c r="F40" i="15"/>
  <c r="C14" i="15"/>
  <c r="C36" i="68"/>
  <c r="C76" i="67"/>
  <c r="M9" i="67"/>
  <c r="M24" i="67"/>
  <c r="C16" i="15"/>
  <c r="F13" i="67"/>
  <c r="M23" i="15"/>
  <c r="M29" i="15"/>
  <c r="D5" i="73"/>
  <c r="D4" i="73"/>
  <c r="M8" i="67"/>
  <c r="F38" i="15"/>
  <c r="M23" i="67"/>
  <c r="F43" i="67"/>
  <c r="C6" i="15" l="1"/>
  <c r="F66" i="15"/>
  <c r="J57" i="67"/>
  <c r="J55" i="67" s="1"/>
  <c r="J58" i="67" s="1"/>
  <c r="Q50" i="67" s="1"/>
  <c r="I54" i="67"/>
  <c r="L58" i="67"/>
  <c r="Q60" i="67" s="1"/>
  <c r="J53" i="67"/>
  <c r="Q52" i="67" s="1"/>
  <c r="L56" i="67"/>
  <c r="Q71" i="67"/>
  <c r="F63" i="15"/>
  <c r="C62" i="15" s="1"/>
  <c r="C34" i="15"/>
  <c r="F68" i="15"/>
  <c r="N59" i="15"/>
  <c r="M59" i="15"/>
  <c r="L58" i="15"/>
  <c r="Q73" i="15" s="1"/>
  <c r="L59" i="15"/>
  <c r="Q74" i="15" s="1"/>
  <c r="F66" i="67"/>
  <c r="C27" i="67"/>
  <c r="F71" i="15"/>
  <c r="AZ178" i="3"/>
  <c r="AZ173" i="3"/>
  <c r="AZ126" i="3"/>
  <c r="AZ280" i="3"/>
  <c r="AZ278" i="3"/>
  <c r="AZ234" i="3"/>
  <c r="AZ232" i="3"/>
  <c r="AB35" i="35"/>
  <c r="U35" i="35"/>
  <c r="U12" i="35"/>
  <c r="AB12" i="35"/>
  <c r="AC29" i="21"/>
  <c r="W29" i="21"/>
  <c r="W27" i="21"/>
  <c r="AC27" i="21"/>
  <c r="U29" i="33"/>
  <c r="AB29" i="33"/>
  <c r="W14" i="34"/>
  <c r="AC14" i="34"/>
  <c r="W32" i="34"/>
  <c r="AC32" i="34"/>
  <c r="AC26" i="35"/>
  <c r="W26" i="35"/>
  <c r="S11" i="35"/>
  <c r="AA11" i="35"/>
  <c r="S29" i="33"/>
  <c r="AA29" i="33"/>
  <c r="W33" i="40"/>
  <c r="AC33" i="40"/>
  <c r="J6" i="15"/>
  <c r="J18" i="15" s="1"/>
  <c r="D115" i="43"/>
  <c r="E115" i="43" s="1"/>
  <c r="F115" i="43" s="1"/>
  <c r="G115" i="43" s="1"/>
  <c r="H115" i="43" s="1"/>
  <c r="AZ19" i="3"/>
  <c r="AZ18" i="3"/>
  <c r="AZ491" i="3"/>
  <c r="AC35" i="35"/>
  <c r="W35" i="35"/>
  <c r="U29" i="21"/>
  <c r="AB29" i="21"/>
  <c r="AB27" i="21"/>
  <c r="U27" i="21"/>
  <c r="W13" i="33"/>
  <c r="AC13" i="33"/>
  <c r="S31" i="33"/>
  <c r="AA31" i="33"/>
  <c r="S30" i="34"/>
  <c r="AA30" i="34"/>
  <c r="AC11" i="35"/>
  <c r="W11" i="35"/>
  <c r="AB9" i="35"/>
  <c r="U9" i="35"/>
  <c r="U11" i="35"/>
  <c r="AB11" i="35"/>
  <c r="W12" i="35"/>
  <c r="AC12" i="35"/>
  <c r="U30" i="34"/>
  <c r="AB30" i="34"/>
  <c r="U45" i="33"/>
  <c r="AB45" i="33"/>
  <c r="U33" i="40"/>
  <c r="AB33" i="40"/>
  <c r="BA5" i="3"/>
  <c r="H107" i="43"/>
  <c r="AZ487" i="3"/>
  <c r="AZ481" i="3"/>
  <c r="AZ454" i="3"/>
  <c r="AZ422" i="3"/>
  <c r="AZ494" i="3"/>
  <c r="AZ497" i="3"/>
  <c r="AZ508" i="3"/>
  <c r="AZ520" i="3"/>
  <c r="AZ526" i="3"/>
  <c r="AZ529" i="3"/>
  <c r="AZ537" i="3"/>
  <c r="AZ581" i="3"/>
  <c r="AZ106" i="3"/>
  <c r="AZ69" i="3"/>
  <c r="AZ56" i="3"/>
  <c r="AZ52" i="3"/>
  <c r="AZ194" i="3"/>
  <c r="AZ189" i="3"/>
  <c r="AZ138" i="3"/>
  <c r="AZ274" i="3"/>
  <c r="AZ270" i="3"/>
  <c r="AZ250" i="3"/>
  <c r="AZ248" i="3"/>
  <c r="AZ214" i="3"/>
  <c r="AZ212" i="3"/>
  <c r="AZ332" i="3"/>
  <c r="AZ446" i="3"/>
  <c r="AZ542" i="3"/>
  <c r="AZ544" i="3"/>
  <c r="AB13" i="39"/>
  <c r="U13" i="39"/>
  <c r="AA11" i="36"/>
  <c r="S11" i="36"/>
  <c r="AC44" i="39"/>
  <c r="W44" i="39"/>
  <c r="AB44" i="39"/>
  <c r="U44" i="39"/>
  <c r="AA40" i="37"/>
  <c r="S40" i="37"/>
  <c r="AB32" i="36"/>
  <c r="U32" i="36"/>
  <c r="AB25" i="36"/>
  <c r="U25" i="36"/>
  <c r="AA23" i="36"/>
  <c r="S23" i="36"/>
  <c r="AC23" i="36"/>
  <c r="W23" i="36"/>
  <c r="S31" i="21"/>
  <c r="AA31" i="21"/>
  <c r="W45" i="39"/>
  <c r="AC45" i="39"/>
  <c r="S30" i="21"/>
  <c r="AA30" i="21"/>
  <c r="AA13" i="40"/>
  <c r="S13" i="40"/>
  <c r="U45" i="39"/>
  <c r="AB45" i="39"/>
  <c r="AC43" i="39"/>
  <c r="W43" i="39"/>
  <c r="AB31" i="39"/>
  <c r="U31" i="39"/>
  <c r="U33" i="36"/>
  <c r="AB33" i="36"/>
  <c r="U34" i="36"/>
  <c r="AB34" i="36"/>
  <c r="AB9" i="33"/>
  <c r="U9" i="33"/>
  <c r="U30" i="21"/>
  <c r="AB30" i="21"/>
  <c r="T32" i="71"/>
  <c r="D32" i="71"/>
  <c r="W13" i="39"/>
  <c r="AC13" i="39"/>
  <c r="AB35" i="39"/>
  <c r="U35" i="39"/>
  <c r="U40" i="37"/>
  <c r="AB40" i="37"/>
  <c r="S32" i="36"/>
  <c r="AA32" i="36"/>
  <c r="W25" i="36"/>
  <c r="AC25" i="36"/>
  <c r="AB23" i="36"/>
  <c r="U23" i="36"/>
  <c r="AC9" i="33"/>
  <c r="W9" i="33"/>
  <c r="AB31" i="21"/>
  <c r="U31" i="21"/>
  <c r="S13" i="36"/>
  <c r="AA13" i="36"/>
  <c r="U31" i="40"/>
  <c r="AB31" i="40"/>
  <c r="U9" i="21"/>
  <c r="AB9" i="21"/>
  <c r="S45" i="39"/>
  <c r="AA45" i="39"/>
  <c r="AA43" i="39"/>
  <c r="S43" i="39"/>
  <c r="W31" i="39"/>
  <c r="AC31" i="39"/>
  <c r="AA33" i="36"/>
  <c r="S33" i="36"/>
  <c r="AA9" i="33"/>
  <c r="S9" i="33"/>
  <c r="AC30" i="21"/>
  <c r="W30" i="21"/>
  <c r="AA25" i="34"/>
  <c r="F71" i="67"/>
  <c r="J7" i="34"/>
  <c r="W7" i="34" s="1"/>
  <c r="I102" i="43"/>
  <c r="I105" i="43"/>
  <c r="I107" i="43"/>
  <c r="BL5" i="3"/>
  <c r="L105" i="43"/>
  <c r="I21" i="66"/>
  <c r="D1" i="66" s="1"/>
  <c r="E10" i="66" s="1"/>
  <c r="AZ450" i="3"/>
  <c r="AZ434" i="3"/>
  <c r="AZ418" i="3"/>
  <c r="AZ550" i="3"/>
  <c r="AA37" i="34"/>
  <c r="S37" i="34"/>
  <c r="AA37" i="39"/>
  <c r="S37" i="39"/>
  <c r="S39" i="37"/>
  <c r="AA39" i="37"/>
  <c r="AA27" i="37"/>
  <c r="S27" i="37"/>
  <c r="W13" i="37"/>
  <c r="AC13" i="37"/>
  <c r="S9" i="36"/>
  <c r="AA9" i="36"/>
  <c r="AC9" i="36"/>
  <c r="W9" i="36"/>
  <c r="AC27" i="34"/>
  <c r="W27" i="34"/>
  <c r="W23" i="34"/>
  <c r="AC23" i="34"/>
  <c r="AA17" i="34"/>
  <c r="S17" i="34"/>
  <c r="W26" i="33"/>
  <c r="AC26" i="33"/>
  <c r="AA28" i="33"/>
  <c r="S28" i="33"/>
  <c r="S24" i="36"/>
  <c r="AA24" i="36"/>
  <c r="AA12" i="36"/>
  <c r="S12" i="36"/>
  <c r="AB34" i="35"/>
  <c r="U34" i="35"/>
  <c r="H67" i="34"/>
  <c r="I67" i="34" s="1"/>
  <c r="H10" i="34"/>
  <c r="J10" i="34"/>
  <c r="AC19" i="34"/>
  <c r="W19" i="34"/>
  <c r="AA15" i="34"/>
  <c r="S15" i="34"/>
  <c r="AA45" i="21"/>
  <c r="S45" i="21"/>
  <c r="W28" i="21"/>
  <c r="AC28" i="21"/>
  <c r="S14" i="21"/>
  <c r="AA14" i="21"/>
  <c r="W14" i="21"/>
  <c r="AC14" i="21"/>
  <c r="AC12" i="21"/>
  <c r="W12" i="21"/>
  <c r="AC31" i="34"/>
  <c r="W31" i="34"/>
  <c r="AZ500" i="3"/>
  <c r="AZ501" i="3"/>
  <c r="AZ518" i="3"/>
  <c r="AZ522" i="3"/>
  <c r="AZ530" i="3"/>
  <c r="AZ538" i="3"/>
  <c r="AZ540" i="3"/>
  <c r="AZ552" i="3"/>
  <c r="AZ578" i="3"/>
  <c r="S36" i="39"/>
  <c r="AA36" i="39"/>
  <c r="W14" i="40"/>
  <c r="AC14" i="40"/>
  <c r="W12" i="40"/>
  <c r="AC12" i="40"/>
  <c r="AB14" i="39"/>
  <c r="U14" i="39"/>
  <c r="AA12" i="39"/>
  <c r="S12" i="39"/>
  <c r="AA25" i="37"/>
  <c r="S25" i="37"/>
  <c r="U25" i="37"/>
  <c r="AB25" i="37"/>
  <c r="AB36" i="35"/>
  <c r="U36" i="35"/>
  <c r="AC34" i="35"/>
  <c r="W34" i="35"/>
  <c r="AC24" i="35"/>
  <c r="W24" i="35"/>
  <c r="U13" i="35"/>
  <c r="AB13" i="35"/>
  <c r="S45" i="34"/>
  <c r="AA45" i="34"/>
  <c r="S31" i="34"/>
  <c r="AA31" i="34"/>
  <c r="S29" i="34"/>
  <c r="AA29" i="34"/>
  <c r="AC29" i="34"/>
  <c r="W29" i="34"/>
  <c r="W13" i="34"/>
  <c r="AC13" i="34"/>
  <c r="AB46" i="33"/>
  <c r="U46" i="33"/>
  <c r="AC46" i="33"/>
  <c r="W46" i="33"/>
  <c r="AC44" i="33"/>
  <c r="W44" i="33"/>
  <c r="AC30" i="33"/>
  <c r="W30" i="33"/>
  <c r="E586" i="3"/>
  <c r="J6" i="67"/>
  <c r="D29" i="43"/>
  <c r="D1" i="43" s="1"/>
  <c r="C20" i="77"/>
  <c r="D20" i="77" s="1"/>
  <c r="C18" i="77"/>
  <c r="C16" i="77"/>
  <c r="C14" i="77"/>
  <c r="C12" i="77"/>
  <c r="C10" i="77"/>
  <c r="C8" i="77"/>
  <c r="C6" i="77"/>
  <c r="C4" i="77"/>
  <c r="C2" i="77"/>
  <c r="H2" i="77" s="1"/>
  <c r="C34" i="34"/>
  <c r="C21" i="77"/>
  <c r="D21" i="77" s="1"/>
  <c r="C19" i="77"/>
  <c r="C17" i="77"/>
  <c r="C15" i="77"/>
  <c r="C13" i="77"/>
  <c r="C11" i="77"/>
  <c r="C9" i="77"/>
  <c r="C7" i="77"/>
  <c r="C5" i="77"/>
  <c r="C3" i="77"/>
  <c r="AH6" i="1"/>
  <c r="C19" i="43"/>
  <c r="C52" i="71"/>
  <c r="D51" i="71"/>
  <c r="D28" i="71"/>
  <c r="T28" i="71"/>
  <c r="M6" i="1"/>
  <c r="O6" i="1" s="1"/>
  <c r="W37" i="34"/>
  <c r="AC37" i="34"/>
  <c r="AC37" i="39"/>
  <c r="W37" i="39"/>
  <c r="AC39" i="37"/>
  <c r="W39" i="37"/>
  <c r="U27" i="37"/>
  <c r="AB27" i="37"/>
  <c r="AB13" i="37"/>
  <c r="U13" i="37"/>
  <c r="U9" i="36"/>
  <c r="AB9" i="36"/>
  <c r="AA27" i="34"/>
  <c r="S27" i="34"/>
  <c r="AA23" i="34"/>
  <c r="S23" i="34"/>
  <c r="U26" i="33"/>
  <c r="AB26" i="33"/>
  <c r="W28" i="33"/>
  <c r="AC28" i="33"/>
  <c r="U28" i="33"/>
  <c r="AB28" i="33"/>
  <c r="AC24" i="36"/>
  <c r="W24" i="36"/>
  <c r="W12" i="36"/>
  <c r="AC12" i="36"/>
  <c r="AA10" i="34"/>
  <c r="S10" i="34"/>
  <c r="W15" i="34"/>
  <c r="AC15" i="34"/>
  <c r="U12" i="33"/>
  <c r="AB12" i="33"/>
  <c r="W45" i="21"/>
  <c r="AC45" i="21"/>
  <c r="AA28" i="21"/>
  <c r="S28" i="21"/>
  <c r="U14" i="21"/>
  <c r="AB14" i="21"/>
  <c r="U12" i="21"/>
  <c r="AB12" i="21"/>
  <c r="S12" i="21"/>
  <c r="AA12" i="21"/>
  <c r="AC14" i="33"/>
  <c r="W14" i="33"/>
  <c r="AC47" i="34"/>
  <c r="W47" i="34"/>
  <c r="AC36" i="39"/>
  <c r="W36" i="39"/>
  <c r="AA14" i="40"/>
  <c r="S14" i="40"/>
  <c r="AB12" i="40"/>
  <c r="U12" i="40"/>
  <c r="S14" i="39"/>
  <c r="AA14" i="39"/>
  <c r="W12" i="39"/>
  <c r="AC12" i="39"/>
  <c r="AC25" i="37"/>
  <c r="W25" i="37"/>
  <c r="AC36" i="35"/>
  <c r="W36" i="35"/>
  <c r="AA34" i="35"/>
  <c r="S34" i="35"/>
  <c r="AB24" i="35"/>
  <c r="U24" i="35"/>
  <c r="AC13" i="35"/>
  <c r="W13" i="35"/>
  <c r="S47" i="34"/>
  <c r="AA47" i="34"/>
  <c r="U45" i="34"/>
  <c r="AB45" i="34"/>
  <c r="AB29" i="34"/>
  <c r="U29" i="34"/>
  <c r="AA13" i="34"/>
  <c r="S13" i="34"/>
  <c r="U13" i="34"/>
  <c r="AB13" i="34"/>
  <c r="S46" i="33"/>
  <c r="AA46" i="33"/>
  <c r="AA44" i="33"/>
  <c r="S44" i="33"/>
  <c r="S30" i="33"/>
  <c r="AA30" i="33"/>
  <c r="AB30" i="33"/>
  <c r="U30" i="33"/>
  <c r="D70" i="39"/>
  <c r="E68" i="39"/>
  <c r="G21" i="77"/>
  <c r="G17" i="43"/>
  <c r="C16" i="43" s="1"/>
  <c r="D5" i="43" s="1"/>
  <c r="H62" i="43"/>
  <c r="H65" i="43"/>
  <c r="H63" i="43"/>
  <c r="H59" i="43"/>
  <c r="H61" i="43"/>
  <c r="H66" i="43"/>
  <c r="H64" i="43"/>
  <c r="H67" i="43"/>
  <c r="H60" i="43"/>
  <c r="C9" i="68"/>
  <c r="F48" i="9"/>
  <c r="O52" i="9" s="1"/>
  <c r="F30" i="68"/>
  <c r="F28" i="67"/>
  <c r="C28" i="67" s="1"/>
  <c r="F52" i="9"/>
  <c r="F32" i="67"/>
  <c r="F60" i="67" s="1"/>
  <c r="F32" i="15"/>
  <c r="F60" i="15" s="1"/>
  <c r="F28" i="15"/>
  <c r="C28" i="15" s="1"/>
  <c r="F54" i="9"/>
  <c r="F53" i="9"/>
  <c r="F30" i="11"/>
  <c r="F31" i="12"/>
  <c r="C31" i="12" s="1"/>
  <c r="M18" i="67"/>
  <c r="F30" i="69"/>
  <c r="M18" i="15"/>
  <c r="D68" i="9"/>
  <c r="D102" i="43"/>
  <c r="F106" i="43"/>
  <c r="C109" i="43"/>
  <c r="E103" i="43"/>
  <c r="H103" i="43"/>
  <c r="H109" i="43"/>
  <c r="C103" i="43"/>
  <c r="E51" i="40"/>
  <c r="E56" i="39"/>
  <c r="E27" i="6"/>
  <c r="D106" i="43"/>
  <c r="C105" i="43"/>
  <c r="D105" i="43"/>
  <c r="D22" i="43"/>
  <c r="C21" i="43" s="1"/>
  <c r="H104" i="43"/>
  <c r="M109" i="43"/>
  <c r="M103" i="43"/>
  <c r="L109" i="43"/>
  <c r="L107" i="43"/>
  <c r="M107" i="43"/>
  <c r="I106" i="43"/>
  <c r="I104" i="43"/>
  <c r="J109" i="43"/>
  <c r="L102" i="43"/>
  <c r="L104" i="43"/>
  <c r="M102" i="43"/>
  <c r="L103" i="43"/>
  <c r="E104" i="43"/>
  <c r="E106" i="43"/>
  <c r="H102" i="43"/>
  <c r="H106" i="43"/>
  <c r="C104" i="43"/>
  <c r="C107" i="43"/>
  <c r="C106" i="43"/>
  <c r="F104" i="43"/>
  <c r="F109" i="43"/>
  <c r="F107" i="43"/>
  <c r="F10" i="39"/>
  <c r="S10" i="39" s="1"/>
  <c r="K102" i="43"/>
  <c r="E10" i="6"/>
  <c r="N105" i="43"/>
  <c r="N104" i="43"/>
  <c r="N106" i="43"/>
  <c r="D116" i="43"/>
  <c r="E116" i="43" s="1"/>
  <c r="F116" i="43" s="1"/>
  <c r="G116" i="43" s="1"/>
  <c r="H116" i="43" s="1"/>
  <c r="G103" i="43"/>
  <c r="K109" i="43"/>
  <c r="E15" i="6"/>
  <c r="E60" i="40" s="1"/>
  <c r="B118" i="43"/>
  <c r="C118" i="43" s="1"/>
  <c r="E29" i="6"/>
  <c r="K15" i="1" s="1"/>
  <c r="E12" i="6"/>
  <c r="E62" i="39" s="1"/>
  <c r="I115" i="43"/>
  <c r="J115" i="43" s="1"/>
  <c r="K115" i="43" s="1"/>
  <c r="L115" i="43" s="1"/>
  <c r="M115" i="43" s="1"/>
  <c r="G118" i="43"/>
  <c r="H118" i="43" s="1"/>
  <c r="E11" i="6"/>
  <c r="E61" i="39" s="1"/>
  <c r="E28" i="6"/>
  <c r="F30" i="6"/>
  <c r="F31" i="6" s="1"/>
  <c r="E13" i="6"/>
  <c r="E63" i="39" s="1"/>
  <c r="E65" i="39"/>
  <c r="K105" i="43"/>
  <c r="G30" i="6"/>
  <c r="G31" i="6" s="1"/>
  <c r="G106" i="43"/>
  <c r="E14" i="6"/>
  <c r="E64" i="39" s="1"/>
  <c r="B115" i="43"/>
  <c r="D117" i="43"/>
  <c r="E117" i="43" s="1"/>
  <c r="F117" i="43" s="1"/>
  <c r="G117" i="43" s="1"/>
  <c r="H117" i="43" s="1"/>
  <c r="D118" i="43"/>
  <c r="E118" i="43" s="1"/>
  <c r="F118" i="43" s="1"/>
  <c r="I117" i="43"/>
  <c r="J117" i="43" s="1"/>
  <c r="K117" i="43" s="1"/>
  <c r="L117" i="43" s="1"/>
  <c r="M117" i="43" s="1"/>
  <c r="I118" i="43"/>
  <c r="J118" i="43" s="1"/>
  <c r="K118" i="43" s="1"/>
  <c r="L118" i="43" s="1"/>
  <c r="M118" i="43" s="1"/>
  <c r="B116" i="43"/>
  <c r="C116" i="43" s="1"/>
  <c r="I116" i="43"/>
  <c r="J116" i="43" s="1"/>
  <c r="K116" i="43" s="1"/>
  <c r="L116" i="43" s="1"/>
  <c r="M116" i="43" s="1"/>
  <c r="N102" i="43"/>
  <c r="N103" i="43"/>
  <c r="N109" i="43"/>
  <c r="J104" i="43"/>
  <c r="J102" i="43"/>
  <c r="J105" i="43"/>
  <c r="J107" i="43"/>
  <c r="J106" i="43"/>
  <c r="K103" i="43"/>
  <c r="K107" i="43"/>
  <c r="K106" i="43"/>
  <c r="G105" i="43"/>
  <c r="G104" i="43"/>
  <c r="G102" i="43"/>
  <c r="G107" i="43"/>
  <c r="C15" i="15"/>
  <c r="C18" i="15"/>
  <c r="J10" i="39"/>
  <c r="H10" i="40"/>
  <c r="AB10" i="40" s="1"/>
  <c r="H10" i="39"/>
  <c r="AB10" i="39" s="1"/>
  <c r="J10" i="40"/>
  <c r="AC10" i="40" s="1"/>
  <c r="K1" i="73"/>
  <c r="F62" i="71"/>
  <c r="Q63" i="71"/>
  <c r="AC38" i="40"/>
  <c r="W38" i="40"/>
  <c r="AB24" i="36"/>
  <c r="U24" i="36"/>
  <c r="F28" i="12"/>
  <c r="C29" i="12" s="1"/>
  <c r="D28" i="12" s="1"/>
  <c r="F27" i="11"/>
  <c r="F27" i="69"/>
  <c r="E53" i="3"/>
  <c r="E175" i="3"/>
  <c r="E366" i="3"/>
  <c r="E526" i="3"/>
  <c r="E501" i="3"/>
  <c r="E268" i="3"/>
  <c r="E153" i="3"/>
  <c r="E305" i="3"/>
  <c r="E426"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19" i="3"/>
  <c r="E530" i="3"/>
  <c r="E553" i="3"/>
  <c r="E343" i="3"/>
  <c r="E282" i="3"/>
  <c r="E322" i="3"/>
  <c r="N6" i="3"/>
  <c r="E50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86" i="3"/>
  <c r="E34" i="3"/>
  <c r="E49" i="3"/>
  <c r="E206" i="3"/>
  <c r="E232" i="3"/>
  <c r="E251" i="3"/>
  <c r="AF6" i="3"/>
  <c r="E102" i="3"/>
  <c r="E113" i="3"/>
  <c r="E287" i="3"/>
  <c r="E326" i="3"/>
  <c r="E83"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5" i="3"/>
  <c r="E370" i="3"/>
  <c r="E80" i="3"/>
  <c r="E158" i="3"/>
  <c r="E308" i="3"/>
  <c r="E22" i="3"/>
  <c r="P12" i="1"/>
  <c r="K20" i="6"/>
  <c r="M20" i="6" s="1"/>
  <c r="I20" i="6" s="1"/>
  <c r="S20" i="6" s="1"/>
  <c r="K22" i="6"/>
  <c r="M22" i="6" s="1"/>
  <c r="I22" i="6" s="1"/>
  <c r="S22" i="6" s="1"/>
  <c r="K23" i="6"/>
  <c r="M23" i="6" s="1"/>
  <c r="I23" i="6" s="1"/>
  <c r="S23" i="6" s="1"/>
  <c r="K14" i="1"/>
  <c r="K26" i="6"/>
  <c r="M26" i="6" s="1"/>
  <c r="I26" i="6" s="1"/>
  <c r="S26" i="6" s="1"/>
  <c r="B38" i="72"/>
  <c r="D20" i="53"/>
  <c r="B40" i="72" s="1"/>
  <c r="F7" i="34"/>
  <c r="AA7" i="34" s="1"/>
  <c r="B19" i="71"/>
  <c r="B18" i="71" s="1"/>
  <c r="B17" i="71" s="1"/>
  <c r="B16" i="71" s="1"/>
  <c r="S20" i="71"/>
  <c r="C19" i="71"/>
  <c r="D20" i="71"/>
  <c r="U20" i="71" s="1"/>
  <c r="T20" i="71"/>
  <c r="U39" i="40"/>
  <c r="AB39" i="40"/>
  <c r="AB38" i="40"/>
  <c r="U38" i="40"/>
  <c r="U12" i="36"/>
  <c r="AB12" i="36"/>
  <c r="E557" i="3"/>
  <c r="E11" i="71"/>
  <c r="E10" i="71" s="1"/>
  <c r="E9" i="71" s="1"/>
  <c r="E8" i="71" s="1"/>
  <c r="V12" i="71"/>
  <c r="F59" i="67"/>
  <c r="H7" i="37"/>
  <c r="AB7" i="37" s="1"/>
  <c r="T42" i="37" s="1"/>
  <c r="G42" i="37" s="1"/>
  <c r="W10" i="39"/>
  <c r="AC10" i="39"/>
  <c r="U10" i="40"/>
  <c r="AA10" i="39"/>
  <c r="H7" i="33"/>
  <c r="J7" i="33"/>
  <c r="D65" i="40"/>
  <c r="E63" i="40"/>
  <c r="F48" i="35"/>
  <c r="S7" i="36"/>
  <c r="AA7" i="36"/>
  <c r="R36" i="36" s="1"/>
  <c r="AC7" i="37"/>
  <c r="V42" i="37" s="1"/>
  <c r="I42" i="37" s="1"/>
  <c r="W7" i="37"/>
  <c r="U7" i="37"/>
  <c r="AB7" i="36"/>
  <c r="T36" i="36" s="1"/>
  <c r="G36" i="36" s="1"/>
  <c r="U7" i="36"/>
  <c r="AB7" i="34"/>
  <c r="U7" i="34"/>
  <c r="U10" i="39"/>
  <c r="AA10" i="40"/>
  <c r="S10" i="40"/>
  <c r="F7" i="33"/>
  <c r="E58" i="21"/>
  <c r="AC7" i="36"/>
  <c r="V36" i="36" s="1"/>
  <c r="I36" i="36" s="1"/>
  <c r="W7" i="36"/>
  <c r="F7" i="37"/>
  <c r="M17" i="67"/>
  <c r="M17" i="15"/>
  <c r="F59" i="15"/>
  <c r="P24" i="43"/>
  <c r="B66" i="40" s="1"/>
  <c r="P21" i="43"/>
  <c r="C49" i="67"/>
  <c r="P25" i="43"/>
  <c r="P23" i="43"/>
  <c r="B71" i="39" s="1"/>
  <c r="C49" i="15"/>
  <c r="M28" i="43"/>
  <c r="N28" i="43"/>
  <c r="G20" i="43" s="1"/>
  <c r="O28" i="43"/>
  <c r="P28" i="43"/>
  <c r="M11" i="67"/>
  <c r="F11" i="15"/>
  <c r="M11" i="15"/>
  <c r="F11" i="67"/>
  <c r="F1" i="15"/>
  <c r="Q52" i="15"/>
  <c r="Q61" i="67"/>
  <c r="Q74" i="67"/>
  <c r="G1" i="73"/>
  <c r="C17" i="15"/>
  <c r="C16" i="67"/>
  <c r="F27" i="68"/>
  <c r="Q61" i="15" l="1"/>
  <c r="AC7" i="34"/>
  <c r="Q60" i="15"/>
  <c r="F1" i="67"/>
  <c r="J10" i="15"/>
  <c r="J5" i="15" s="1"/>
  <c r="J24" i="15" s="1"/>
  <c r="Q73" i="67"/>
  <c r="E58" i="40"/>
  <c r="C5" i="43"/>
  <c r="H20" i="77"/>
  <c r="AZ5" i="3"/>
  <c r="AY6" i="3" s="1"/>
  <c r="J10" i="67"/>
  <c r="J5" i="67" s="1"/>
  <c r="J24" i="67" s="1"/>
  <c r="E3" i="6"/>
  <c r="C32" i="15"/>
  <c r="W10" i="40"/>
  <c r="E30" i="6"/>
  <c r="E31" i="6" s="1"/>
  <c r="E16" i="6"/>
  <c r="H21" i="77"/>
  <c r="E70" i="39"/>
  <c r="F68" i="39"/>
  <c r="H3" i="77"/>
  <c r="I3" i="77" s="1"/>
  <c r="D3" i="77"/>
  <c r="H7" i="77"/>
  <c r="D7" i="77"/>
  <c r="D11" i="77"/>
  <c r="H11" i="77"/>
  <c r="D15" i="77"/>
  <c r="H15" i="77"/>
  <c r="D19" i="77"/>
  <c r="H19" i="77"/>
  <c r="H34" i="34"/>
  <c r="J34" i="34"/>
  <c r="F34" i="34"/>
  <c r="H4" i="77"/>
  <c r="D4" i="77"/>
  <c r="D8" i="77"/>
  <c r="H8" i="77"/>
  <c r="D12" i="77"/>
  <c r="H12" i="77"/>
  <c r="D16" i="77"/>
  <c r="H16" i="77"/>
  <c r="W10" i="34"/>
  <c r="AC10" i="34"/>
  <c r="E41" i="43"/>
  <c r="C41" i="43" s="1"/>
  <c r="C20" i="43"/>
  <c r="T13" i="43" s="1"/>
  <c r="V13" i="43" s="1"/>
  <c r="K19" i="6"/>
  <c r="S6" i="1" s="1"/>
  <c r="AQ6" i="1" s="1"/>
  <c r="K24" i="6"/>
  <c r="M24" i="6" s="1"/>
  <c r="I24" i="6" s="1"/>
  <c r="S24" i="6" s="1"/>
  <c r="K25" i="6"/>
  <c r="M25" i="6" s="1"/>
  <c r="I25" i="6" s="1"/>
  <c r="S25" i="6" s="1"/>
  <c r="K21" i="6"/>
  <c r="M21" i="6" s="1"/>
  <c r="I21" i="6" s="1"/>
  <c r="S21" i="6" s="1"/>
  <c r="E57" i="40"/>
  <c r="J18" i="67"/>
  <c r="D52" i="71"/>
  <c r="T52" i="71"/>
  <c r="H5" i="77"/>
  <c r="D5" i="77"/>
  <c r="D9" i="77"/>
  <c r="H9" i="77"/>
  <c r="D13" i="77"/>
  <c r="H13" i="77"/>
  <c r="D17" i="77"/>
  <c r="H17" i="77"/>
  <c r="H6" i="77"/>
  <c r="D6" i="77"/>
  <c r="D10" i="77"/>
  <c r="H10" i="77"/>
  <c r="D14" i="77"/>
  <c r="H14" i="77"/>
  <c r="D18" i="77"/>
  <c r="H18" i="77"/>
  <c r="AB10" i="34"/>
  <c r="U10" i="34"/>
  <c r="J4" i="77"/>
  <c r="S7" i="34"/>
  <c r="C29" i="43"/>
  <c r="E29" i="43" s="1"/>
  <c r="T4" i="43"/>
  <c r="V4" i="43" s="1"/>
  <c r="T5" i="43"/>
  <c r="V5" i="43" s="1"/>
  <c r="T16" i="43"/>
  <c r="V16" i="43" s="1"/>
  <c r="T14" i="43"/>
  <c r="V14" i="43" s="1"/>
  <c r="T9" i="43"/>
  <c r="V9" i="43" s="1"/>
  <c r="T2" i="43"/>
  <c r="V2" i="43" s="1"/>
  <c r="T3" i="43"/>
  <c r="V3" i="43" s="1"/>
  <c r="T12" i="43"/>
  <c r="V12" i="43" s="1"/>
  <c r="T6" i="43"/>
  <c r="V6" i="43" s="1"/>
  <c r="T10" i="43"/>
  <c r="V10" i="43" s="1"/>
  <c r="T8" i="43"/>
  <c r="V8" i="43" s="1"/>
  <c r="T7" i="43"/>
  <c r="V7" i="43" s="1"/>
  <c r="T15" i="43"/>
  <c r="V15" i="43" s="1"/>
  <c r="C35" i="43"/>
  <c r="C37" i="43"/>
  <c r="C34" i="43"/>
  <c r="C36" i="43"/>
  <c r="C39" i="43"/>
  <c r="C33" i="43"/>
  <c r="C38" i="43"/>
  <c r="AG6" i="1"/>
  <c r="C48" i="11"/>
  <c r="C30" i="11"/>
  <c r="F48" i="68"/>
  <c r="C48" i="68"/>
  <c r="C30" i="68"/>
  <c r="F48" i="69"/>
  <c r="C30" i="69"/>
  <c r="C48" i="69"/>
  <c r="C19" i="15"/>
  <c r="C20" i="15" s="1"/>
  <c r="C26" i="15" s="1"/>
  <c r="T6" i="1"/>
  <c r="S16" i="1"/>
  <c r="H6" i="3"/>
  <c r="AC6" i="3"/>
  <c r="E6" i="3" s="1"/>
  <c r="E59" i="40"/>
  <c r="E56" i="40"/>
  <c r="E66" i="39"/>
  <c r="C115" i="43"/>
  <c r="D113" i="43" s="1"/>
  <c r="B40" i="1"/>
  <c r="F25" i="12" s="1"/>
  <c r="C18" i="71"/>
  <c r="D19" i="71"/>
  <c r="B15" i="71"/>
  <c r="B14" i="71" s="1"/>
  <c r="B13" i="71" s="1"/>
  <c r="B12" i="71" s="1"/>
  <c r="S16" i="71"/>
  <c r="M14" i="1"/>
  <c r="K16" i="1"/>
  <c r="C34" i="69"/>
  <c r="C47" i="69"/>
  <c r="D45" i="69" s="1"/>
  <c r="F45" i="69"/>
  <c r="C29" i="69"/>
  <c r="D27" i="69" s="1"/>
  <c r="Q62" i="71"/>
  <c r="Q61" i="71"/>
  <c r="AY543" i="3"/>
  <c r="AY81" i="3"/>
  <c r="AY153" i="3"/>
  <c r="AY396" i="3"/>
  <c r="AY320" i="3"/>
  <c r="AY476" i="3"/>
  <c r="AY434" i="3"/>
  <c r="AY415" i="3"/>
  <c r="AY538" i="3"/>
  <c r="AY551" i="3"/>
  <c r="AY79" i="3"/>
  <c r="AY151" i="3"/>
  <c r="AY394" i="3"/>
  <c r="AY451" i="3"/>
  <c r="AY568" i="3"/>
  <c r="AY200" i="3"/>
  <c r="AY240" i="3"/>
  <c r="AY477" i="3"/>
  <c r="AY56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89" i="3"/>
  <c r="AY204" i="3"/>
  <c r="AY363" i="3"/>
  <c r="AY412" i="3"/>
  <c r="AY229" i="3"/>
  <c r="AY326" i="3"/>
  <c r="AY557" i="3"/>
  <c r="AY539" i="3"/>
  <c r="AY84" i="3"/>
  <c r="AY193" i="3"/>
  <c r="AY134" i="3"/>
  <c r="AY270" i="3"/>
  <c r="AY373" i="3"/>
  <c r="AY88" i="3"/>
  <c r="AY181" i="3"/>
  <c r="AY215" i="3"/>
  <c r="AY324" i="3"/>
  <c r="AY438" i="3"/>
  <c r="AY580" i="3"/>
  <c r="AY552" i="3"/>
  <c r="AY523" i="3"/>
  <c r="AY174" i="3"/>
  <c r="AY250" i="3"/>
  <c r="AY305" i="3"/>
  <c r="AY545" i="3"/>
  <c r="AY62" i="3"/>
  <c r="AY301" i="3"/>
  <c r="AY359" i="3"/>
  <c r="AY408" i="3"/>
  <c r="AY107" i="3"/>
  <c r="AY164" i="3"/>
  <c r="AY257" i="3"/>
  <c r="AY307" i="3"/>
  <c r="AY521" i="3"/>
  <c r="E7" i="71"/>
  <c r="E6" i="71" s="1"/>
  <c r="E5" i="71" s="1"/>
  <c r="V8" i="71"/>
  <c r="M19" i="6"/>
  <c r="K27" i="6"/>
  <c r="C29" i="68"/>
  <c r="D27" i="68" s="1"/>
  <c r="F45" i="68"/>
  <c r="C47" i="68"/>
  <c r="D45" i="68" s="1"/>
  <c r="C47" i="11"/>
  <c r="D45" i="11" s="1"/>
  <c r="C29" i="11"/>
  <c r="D27" i="11" s="1"/>
  <c r="D3" i="21"/>
  <c r="D19" i="11"/>
  <c r="C19" i="11" s="1"/>
  <c r="C17" i="4"/>
  <c r="B4" i="52" s="1"/>
  <c r="B43" i="72" s="1"/>
  <c r="D3" i="37"/>
  <c r="D3" i="33"/>
  <c r="D37" i="11"/>
  <c r="C37" i="11" s="1"/>
  <c r="M18" i="9"/>
  <c r="B118" i="9" s="1"/>
  <c r="B14" i="74" s="1"/>
  <c r="B1" i="74" s="1"/>
  <c r="C8" i="74" s="1"/>
  <c r="D3" i="34"/>
  <c r="E6" i="6"/>
  <c r="D14" i="12"/>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53" i="15"/>
  <c r="C48" i="15" s="1"/>
  <c r="C10" i="15"/>
  <c r="C5" i="15" s="1"/>
  <c r="AE6" i="1"/>
  <c r="C17" i="67"/>
  <c r="M27" i="67"/>
  <c r="C14" i="67"/>
  <c r="J26" i="15" l="1"/>
  <c r="J29" i="15"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03" i="3"/>
  <c r="AY50" i="3"/>
  <c r="AY139" i="3"/>
  <c r="AY183" i="3"/>
  <c r="AY284" i="3"/>
  <c r="AY319" i="3"/>
  <c r="AY497" i="3"/>
  <c r="AY212" i="3"/>
  <c r="AY478" i="3"/>
  <c r="AY540" i="3"/>
  <c r="AY69" i="3"/>
  <c r="AY198" i="3"/>
  <c r="AY141" i="3"/>
  <c r="AY255" i="3"/>
  <c r="AY384" i="3"/>
  <c r="BB6" i="3"/>
  <c r="AY161" i="3"/>
  <c r="AY258" i="3"/>
  <c r="AY309" i="3"/>
  <c r="AY449" i="3"/>
  <c r="AY503" i="3"/>
  <c r="AY520" i="3"/>
  <c r="AY496" i="3"/>
  <c r="AY21" i="3"/>
  <c r="AY267" i="3"/>
  <c r="AY337" i="3"/>
  <c r="AY479" i="3"/>
  <c r="AY445" i="3"/>
  <c r="AY402" i="3"/>
  <c r="AY505" i="3"/>
  <c r="AY515" i="3"/>
  <c r="BP6" i="3"/>
  <c r="AY19" i="3"/>
  <c r="AY265" i="3"/>
  <c r="AY315" i="3"/>
  <c r="AY500" i="3"/>
  <c r="AY71" i="3"/>
  <c r="AY293" i="3"/>
  <c r="AY351" i="3"/>
  <c r="AY400" i="3"/>
  <c r="BT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60" i="3"/>
  <c r="AY123" i="3"/>
  <c r="AY252" i="3"/>
  <c r="AY489" i="3"/>
  <c r="AY43" i="3"/>
  <c r="AY379" i="3"/>
  <c r="AY436" i="3"/>
  <c r="AY573" i="3"/>
  <c r="AY100" i="3"/>
  <c r="AY20" i="3"/>
  <c r="AY173" i="3"/>
  <c r="AY286" i="3"/>
  <c r="AY227" i="3"/>
  <c r="AY507" i="3"/>
  <c r="AY72" i="3"/>
  <c r="AY121" i="3"/>
  <c r="AY341" i="3"/>
  <c r="AY480" i="3"/>
  <c r="AY419" i="3"/>
  <c r="AY536" i="3"/>
  <c r="AY532" i="3"/>
  <c r="AY64" i="3"/>
  <c r="AY113" i="3"/>
  <c r="AY361" i="3"/>
  <c r="AY522" i="3"/>
  <c r="AY493" i="3"/>
  <c r="AY172" i="3"/>
  <c r="AY248" i="3"/>
  <c r="AY485" i="3"/>
  <c r="AY547" i="3"/>
  <c r="AY54" i="3"/>
  <c r="AY143" i="3"/>
  <c r="AY386" i="3"/>
  <c r="AY44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196" i="3"/>
  <c r="AY74" i="3"/>
  <c r="AY261" i="3"/>
  <c r="AY209" i="3"/>
  <c r="AY455" i="3"/>
  <c r="AY116" i="3"/>
  <c r="AY343" i="3"/>
  <c r="AY417" i="3"/>
  <c r="AY105" i="3"/>
  <c r="AY52" i="3"/>
  <c r="AY162" i="3"/>
  <c r="AY291" i="3"/>
  <c r="AY238" i="3"/>
  <c r="AY368" i="3"/>
  <c r="AY29" i="3"/>
  <c r="AY275" i="3"/>
  <c r="AY370" i="3"/>
  <c r="AY483" i="3"/>
  <c r="AY406" i="3"/>
  <c r="AY572" i="3"/>
  <c r="AR6" i="1"/>
  <c r="C18" i="67"/>
  <c r="C15" i="67"/>
  <c r="E6" i="70"/>
  <c r="E2" i="70" s="1"/>
  <c r="AC34" i="34"/>
  <c r="V49" i="34" s="1"/>
  <c r="I49" i="34" s="1"/>
  <c r="W34" i="34"/>
  <c r="D22" i="77"/>
  <c r="AA34" i="34"/>
  <c r="R49" i="34" s="1"/>
  <c r="S34" i="34"/>
  <c r="AB34" i="34"/>
  <c r="T49" i="34" s="1"/>
  <c r="G49" i="34" s="1"/>
  <c r="U34" i="34"/>
  <c r="F70" i="39"/>
  <c r="G68" i="39"/>
  <c r="T11" i="43"/>
  <c r="V11" i="43" s="1"/>
  <c r="C30" i="43"/>
  <c r="E30" i="43" s="1"/>
  <c r="E33" i="43"/>
  <c r="G33" i="43"/>
  <c r="I33" i="43" s="1"/>
  <c r="E36" i="43"/>
  <c r="G36" i="43"/>
  <c r="I36" i="43" s="1"/>
  <c r="E37" i="43"/>
  <c r="G37" i="43"/>
  <c r="I37" i="43" s="1"/>
  <c r="G38" i="43"/>
  <c r="I38" i="43" s="1"/>
  <c r="E38" i="43"/>
  <c r="G39" i="43"/>
  <c r="I39" i="43" s="1"/>
  <c r="E39" i="43"/>
  <c r="E34" i="43"/>
  <c r="G34" i="43"/>
  <c r="I34" i="43" s="1"/>
  <c r="E35" i="43"/>
  <c r="G35" i="43"/>
  <c r="I35" i="43" s="1"/>
  <c r="F22" i="11"/>
  <c r="C23" i="11" s="1"/>
  <c r="F24" i="15"/>
  <c r="C24" i="15" s="1"/>
  <c r="F22" i="69"/>
  <c r="F41" i="69" s="1"/>
  <c r="F22" i="68"/>
  <c r="F41" i="68" s="1"/>
  <c r="F24" i="67"/>
  <c r="C24" i="67" s="1"/>
  <c r="D10" i="69"/>
  <c r="D20" i="12"/>
  <c r="C20" i="12" s="1"/>
  <c r="C18" i="12" s="1"/>
  <c r="D10" i="11"/>
  <c r="C10" i="11" s="1"/>
  <c r="I19" i="6"/>
  <c r="L18" i="9" s="1"/>
  <c r="M27" i="6"/>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D6" i="6"/>
  <c r="H22" i="6"/>
  <c r="D25" i="6"/>
  <c r="D22" i="6"/>
  <c r="R22" i="6" s="1"/>
  <c r="D24" i="6"/>
  <c r="D9" i="6"/>
  <c r="L19" i="9"/>
  <c r="H25" i="6"/>
  <c r="H21" i="6"/>
  <c r="H20" i="6"/>
  <c r="D15" i="6"/>
  <c r="D21" i="6"/>
  <c r="D20" i="6"/>
  <c r="D10" i="6"/>
  <c r="D29" i="6"/>
  <c r="H24" i="6"/>
  <c r="C35" i="69"/>
  <c r="C38" i="69"/>
  <c r="O14" i="1"/>
  <c r="O16" i="1" s="1"/>
  <c r="T16" i="1"/>
  <c r="M16" i="1"/>
  <c r="B11" i="71"/>
  <c r="B10" i="71" s="1"/>
  <c r="B9" i="71" s="1"/>
  <c r="B8" i="71" s="1"/>
  <c r="S12" i="71"/>
  <c r="D18" i="71"/>
  <c r="C1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C60" i="15"/>
  <c r="C66" i="15"/>
  <c r="C26" i="12"/>
  <c r="D25" i="12" s="1"/>
  <c r="C38" i="15"/>
  <c r="C66" i="67"/>
  <c r="C60" i="67"/>
  <c r="D10" i="68"/>
  <c r="F6" i="67"/>
  <c r="C19" i="67" l="1"/>
  <c r="C20" i="67" s="1"/>
  <c r="C26" i="67" s="1"/>
  <c r="C6" i="67"/>
  <c r="C10" i="67" s="1"/>
  <c r="G53" i="34"/>
  <c r="H53" i="34" s="1"/>
  <c r="G54" i="34"/>
  <c r="H54" i="34" s="1"/>
  <c r="I53" i="34"/>
  <c r="J53" i="34" s="1"/>
  <c r="R50" i="34"/>
  <c r="G70" i="39"/>
  <c r="H68" i="39"/>
  <c r="J5" i="77"/>
  <c r="C25" i="11"/>
  <c r="C26" i="43"/>
  <c r="C27" i="43"/>
  <c r="C26" i="11"/>
  <c r="D22" i="11" s="1"/>
  <c r="C44" i="11"/>
  <c r="D41" i="11" s="1"/>
  <c r="C24" i="11"/>
  <c r="C23" i="15"/>
  <c r="C29" i="15" s="1"/>
  <c r="J14" i="15" s="1"/>
  <c r="C44" i="69"/>
  <c r="D41" i="69" s="1"/>
  <c r="C26" i="69"/>
  <c r="D22" i="69" s="1"/>
  <c r="H27" i="6"/>
  <c r="D30" i="6"/>
  <c r="D16" i="6"/>
  <c r="R20" i="6"/>
  <c r="R21" i="6"/>
  <c r="C23" i="67"/>
  <c r="C29" i="67" s="1"/>
  <c r="C26" i="68"/>
  <c r="D22" i="68" s="1"/>
  <c r="C44" i="68"/>
  <c r="D41" i="68" s="1"/>
  <c r="D17" i="71"/>
  <c r="C16" i="71"/>
  <c r="L16" i="1"/>
  <c r="N16" i="1"/>
  <c r="C34" i="11"/>
  <c r="R26" i="6"/>
  <c r="D8" i="74"/>
  <c r="C10" i="69"/>
  <c r="C8" i="69" s="1"/>
  <c r="C5" i="69" s="1"/>
  <c r="D19" i="69"/>
  <c r="B7" i="71"/>
  <c r="B6" i="71" s="1"/>
  <c r="B5" i="71" s="1"/>
  <c r="S8" i="71"/>
  <c r="P14" i="1"/>
  <c r="P16" i="1" s="1"/>
  <c r="C11" i="12" s="1"/>
  <c r="R24" i="6"/>
  <c r="R25" i="6"/>
  <c r="R23" i="6"/>
  <c r="A7" i="51"/>
  <c r="B7" i="72" s="1"/>
  <c r="C4" i="52"/>
  <c r="B45" i="72" s="1"/>
  <c r="A10" i="51"/>
  <c r="B9" i="72" s="1"/>
  <c r="D27" i="6"/>
  <c r="D31" i="6" s="1"/>
  <c r="R19" i="6"/>
  <c r="I27" i="6"/>
  <c r="S19" i="6"/>
  <c r="S27" i="6" s="1"/>
  <c r="C10" i="68"/>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C34" i="68"/>
  <c r="E6" i="76"/>
  <c r="C33" i="67" l="1"/>
  <c r="E53" i="34"/>
  <c r="F53" i="34" s="1"/>
  <c r="E54" i="34"/>
  <c r="F54" i="34" s="1"/>
  <c r="H70" i="39"/>
  <c r="I68" i="39"/>
  <c r="B2" i="34"/>
  <c r="I54" i="34"/>
  <c r="J54" i="34" s="1"/>
  <c r="C32" i="67"/>
  <c r="C5" i="67"/>
  <c r="C38" i="67" s="1"/>
  <c r="C22" i="11"/>
  <c r="C31" i="11" s="1"/>
  <c r="E2" i="76"/>
  <c r="B2" i="43"/>
  <c r="C6" i="68" s="1"/>
  <c r="C7" i="68" s="1"/>
  <c r="C36" i="67"/>
  <c r="J59" i="15"/>
  <c r="J60" i="15" s="1"/>
  <c r="L46" i="15" s="1"/>
  <c r="C33" i="15"/>
  <c r="C31" i="15" s="1"/>
  <c r="J19" i="67"/>
  <c r="Q49" i="15"/>
  <c r="C57" i="15"/>
  <c r="C61" i="15" s="1"/>
  <c r="C59" i="15" s="1"/>
  <c r="Q49" i="67"/>
  <c r="J14" i="67"/>
  <c r="J22" i="67" s="1"/>
  <c r="J19" i="15"/>
  <c r="J17" i="15" s="1"/>
  <c r="C13" i="15"/>
  <c r="C56" i="15" s="1"/>
  <c r="C65" i="15" s="1"/>
  <c r="C36" i="15"/>
  <c r="J59" i="67"/>
  <c r="J60" i="67" s="1"/>
  <c r="Q48" i="67" s="1"/>
  <c r="C57" i="67"/>
  <c r="C61" i="67" s="1"/>
  <c r="C13" i="67"/>
  <c r="C56" i="67" s="1"/>
  <c r="C65" i="67" s="1"/>
  <c r="R27" i="6"/>
  <c r="R6" i="1"/>
  <c r="C19" i="68"/>
  <c r="D37" i="68"/>
  <c r="C37" i="68" s="1"/>
  <c r="I6" i="6"/>
  <c r="I5" i="6"/>
  <c r="C15" i="12"/>
  <c r="C12" i="12"/>
  <c r="C23" i="69"/>
  <c r="C38" i="68"/>
  <c r="C35" i="68"/>
  <c r="F50" i="11"/>
  <c r="F50" i="68"/>
  <c r="F50" i="69"/>
  <c r="C15" i="71"/>
  <c r="T16" i="71"/>
  <c r="D16" i="71"/>
  <c r="U16" i="71" s="1"/>
  <c r="C19" i="69"/>
  <c r="C24" i="69" s="1"/>
  <c r="D37" i="69"/>
  <c r="C37" i="69" s="1"/>
  <c r="C33" i="69" s="1"/>
  <c r="C38" i="11"/>
  <c r="C35" i="11"/>
  <c r="I63" i="40"/>
  <c r="H65" i="40"/>
  <c r="I58" i="21"/>
  <c r="J58" i="21" s="1"/>
  <c r="K58" i="21" s="1"/>
  <c r="L58" i="21" s="1"/>
  <c r="M58" i="21" s="1"/>
  <c r="N58" i="21" s="1"/>
  <c r="O58" i="21" s="1"/>
  <c r="H7" i="21" s="1"/>
  <c r="F7" i="21"/>
  <c r="J48" i="35"/>
  <c r="J22" i="15"/>
  <c r="J13" i="15"/>
  <c r="J23" i="15" s="1"/>
  <c r="B6" i="76"/>
  <c r="D19" i="9"/>
  <c r="M21" i="67"/>
  <c r="F35" i="67"/>
  <c r="Q48" i="15" l="1"/>
  <c r="D102" i="9"/>
  <c r="D21" i="9"/>
  <c r="J68" i="39"/>
  <c r="I70" i="39"/>
  <c r="J7" i="21"/>
  <c r="B3" i="34"/>
  <c r="C5" i="68"/>
  <c r="C23" i="68" s="1"/>
  <c r="B2" i="76"/>
  <c r="B3" i="76" s="1"/>
  <c r="B3" i="43"/>
  <c r="C37" i="67"/>
  <c r="C75" i="15"/>
  <c r="J13" i="67"/>
  <c r="J23" i="67" s="1"/>
  <c r="Q70" i="15"/>
  <c r="C64" i="15"/>
  <c r="C58" i="15" s="1"/>
  <c r="C67" i="15" s="1"/>
  <c r="C68" i="15" s="1"/>
  <c r="C71" i="15" s="1"/>
  <c r="C37" i="15"/>
  <c r="C30" i="15" s="1"/>
  <c r="C39" i="15" s="1"/>
  <c r="C64" i="67"/>
  <c r="C75" i="67"/>
  <c r="C34" i="67"/>
  <c r="C31" i="67" s="1"/>
  <c r="C30" i="67" s="1"/>
  <c r="C39" i="67" s="1"/>
  <c r="F63" i="67"/>
  <c r="C62" i="67" s="1"/>
  <c r="C59" i="67" s="1"/>
  <c r="J20" i="67"/>
  <c r="J17" i="67" s="1"/>
  <c r="J16" i="67" s="1"/>
  <c r="J25" i="67" s="1"/>
  <c r="J26" i="67" s="1"/>
  <c r="J29" i="67" s="1"/>
  <c r="R16" i="1"/>
  <c r="Q70" i="67"/>
  <c r="C33" i="11"/>
  <c r="C42" i="11" s="1"/>
  <c r="C16" i="12"/>
  <c r="C21" i="12" s="1"/>
  <c r="C22" i="12" s="1"/>
  <c r="C20" i="69"/>
  <c r="C33" i="68"/>
  <c r="C39" i="11"/>
  <c r="C39" i="69"/>
  <c r="C43" i="69" s="1"/>
  <c r="C42" i="69"/>
  <c r="C14" i="71"/>
  <c r="D15" i="71"/>
  <c r="C24" i="68"/>
  <c r="U7" i="21"/>
  <c r="AB7" i="21"/>
  <c r="T48" i="21" s="1"/>
  <c r="G48" i="21" s="1"/>
  <c r="S7" i="21"/>
  <c r="AA7" i="21"/>
  <c r="R48" i="21" s="1"/>
  <c r="J63" i="40"/>
  <c r="I65" i="40"/>
  <c r="K48" i="35"/>
  <c r="L48" i="35" s="1"/>
  <c r="M48" i="35" s="1"/>
  <c r="N48" i="35" s="1"/>
  <c r="O48" i="35" s="1"/>
  <c r="H7" i="35" s="1"/>
  <c r="J7" i="35"/>
  <c r="AC7" i="21"/>
  <c r="V48" i="21" s="1"/>
  <c r="I48" i="21" s="1"/>
  <c r="W7" i="21"/>
  <c r="J16" i="15"/>
  <c r="J25" i="15" s="1"/>
  <c r="D20" i="9"/>
  <c r="L51" i="15"/>
  <c r="L51" i="67"/>
  <c r="C20" i="68" l="1"/>
  <c r="C25" i="68" s="1"/>
  <c r="C22" i="68" s="1"/>
  <c r="D103" i="9"/>
  <c r="J70" i="39"/>
  <c r="K68" i="39"/>
  <c r="Q69" i="15"/>
  <c r="Q68" i="15" s="1"/>
  <c r="C80" i="15"/>
  <c r="C79" i="15" s="1"/>
  <c r="C40" i="15"/>
  <c r="Q56" i="15" s="1"/>
  <c r="C58" i="67"/>
  <c r="C67" i="67" s="1"/>
  <c r="C68" i="67" s="1"/>
  <c r="C71" i="67" s="1"/>
  <c r="C80" i="67"/>
  <c r="C79" i="67" s="1"/>
  <c r="C40" i="67"/>
  <c r="Q69" i="67"/>
  <c r="Q68" i="67" s="1"/>
  <c r="C41" i="69"/>
  <c r="C30" i="12"/>
  <c r="C28" i="12" s="1"/>
  <c r="C27" i="12"/>
  <c r="C25" i="12" s="1"/>
  <c r="C28" i="68"/>
  <c r="C27" i="68" s="1"/>
  <c r="C13" i="71"/>
  <c r="D14" i="71"/>
  <c r="C46" i="69"/>
  <c r="C45" i="69" s="1"/>
  <c r="C49" i="69" s="1"/>
  <c r="C51" i="69" s="1"/>
  <c r="C39" i="68"/>
  <c r="C42" i="68"/>
  <c r="C46" i="11"/>
  <c r="C45" i="11" s="1"/>
  <c r="C43" i="11"/>
  <c r="C41" i="11" s="1"/>
  <c r="C28" i="69"/>
  <c r="C27" i="69" s="1"/>
  <c r="C25" i="69"/>
  <c r="C22" i="69" s="1"/>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L46" i="67" s="1"/>
  <c r="C45" i="67" l="1"/>
  <c r="C46" i="67" s="1"/>
  <c r="C31" i="68"/>
  <c r="L68" i="39"/>
  <c r="K70" i="39"/>
  <c r="B2" i="15"/>
  <c r="D2" i="67"/>
  <c r="B3" i="67" s="1"/>
  <c r="Q47" i="15"/>
  <c r="Q53" i="15" s="1"/>
  <c r="Q56" i="67"/>
  <c r="Q65" i="15"/>
  <c r="C46" i="15"/>
  <c r="C83" i="15"/>
  <c r="C82" i="15" s="1"/>
  <c r="C43" i="15"/>
  <c r="C83" i="67"/>
  <c r="C82" i="67" s="1"/>
  <c r="Q65" i="67"/>
  <c r="Q47" i="67"/>
  <c r="Q53" i="67" s="1"/>
  <c r="C43" i="67"/>
  <c r="B3" i="15"/>
  <c r="C49" i="11"/>
  <c r="C51" i="11" s="1"/>
  <c r="C52" i="11" s="1"/>
  <c r="B2" i="11" s="1"/>
  <c r="B3" i="11" s="1"/>
  <c r="C32" i="12"/>
  <c r="B2" i="12" s="1"/>
  <c r="B3" i="12" s="1"/>
  <c r="C31" i="69"/>
  <c r="C52" i="69" s="1"/>
  <c r="B2" i="69" s="1"/>
  <c r="B3" i="69" s="1"/>
  <c r="C46" i="68"/>
  <c r="C45" i="68" s="1"/>
  <c r="C43" i="68"/>
  <c r="C4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57" i="67"/>
  <c r="C20" i="9"/>
  <c r="B2" i="67" l="1"/>
  <c r="Q75" i="67"/>
  <c r="M68" i="39"/>
  <c r="L70" i="39"/>
  <c r="G20" i="9"/>
  <c r="C32" i="9" s="1"/>
  <c r="C103" i="9"/>
  <c r="Q62" i="67"/>
  <c r="Q75" i="15"/>
  <c r="C49" i="68"/>
  <c r="C51" i="68" s="1"/>
  <c r="C52" i="68" s="1"/>
  <c r="B2" i="68" s="1"/>
  <c r="C57" i="69"/>
  <c r="C56" i="69" s="1"/>
  <c r="C11" i="71"/>
  <c r="T12" i="71"/>
  <c r="D12" i="71"/>
  <c r="U12" i="71" s="1"/>
  <c r="C56" i="11"/>
  <c r="C57" i="11" s="1"/>
  <c r="R39" i="35"/>
  <c r="E38" i="35"/>
  <c r="M63" i="40"/>
  <c r="L65" i="40"/>
  <c r="AO6" i="1"/>
  <c r="C19" i="9"/>
  <c r="B3" i="68"/>
  <c r="B6" i="70" l="1"/>
  <c r="B2" i="70" s="1"/>
  <c r="B3" i="70" s="1"/>
  <c r="G19" i="9"/>
  <c r="G21" i="9" s="1"/>
  <c r="C102" i="9"/>
  <c r="D22" i="9"/>
  <c r="C21" i="9"/>
  <c r="N68" i="39"/>
  <c r="M70" i="39"/>
  <c r="C35" i="9"/>
  <c r="C34" i="9" s="1"/>
  <c r="C57" i="68"/>
  <c r="C56" i="68" s="1"/>
  <c r="C10" i="71"/>
  <c r="D11" i="71"/>
  <c r="C39" i="35"/>
  <c r="B2" i="35" s="1"/>
  <c r="B3" i="35" s="1"/>
  <c r="C38" i="35"/>
  <c r="N63" i="40"/>
  <c r="M65" i="40"/>
  <c r="E43" i="35"/>
  <c r="F43" i="35" s="1"/>
  <c r="E42" i="35"/>
  <c r="F42" i="35" s="1"/>
  <c r="I43" i="35"/>
  <c r="J43" i="35" s="1"/>
  <c r="O68" i="39" l="1"/>
  <c r="O70" i="39" s="1"/>
  <c r="N70" i="39"/>
  <c r="C9" i="71"/>
  <c r="D10" i="71"/>
  <c r="O63" i="40"/>
  <c r="O65" i="40" s="1"/>
  <c r="N65" i="40"/>
  <c r="J7" i="39" l="1"/>
  <c r="W7" i="39" s="1"/>
  <c r="AC7" i="39"/>
  <c r="V47" i="39" s="1"/>
  <c r="I47" i="39" s="1"/>
  <c r="H7" i="39"/>
  <c r="F7" i="39"/>
  <c r="D9" i="71"/>
  <c r="C8" i="71"/>
  <c r="J7" i="40"/>
  <c r="F7" i="40"/>
  <c r="H7" i="40"/>
  <c r="U7" i="39" l="1"/>
  <c r="AB7" i="39"/>
  <c r="T47" i="39" s="1"/>
  <c r="G47" i="39" s="1"/>
  <c r="S7" i="39"/>
  <c r="AA7" i="39"/>
  <c r="R47" i="39" s="1"/>
  <c r="I51" i="39"/>
  <c r="J51" i="39" s="1"/>
  <c r="C7" i="71"/>
  <c r="T8" i="71"/>
  <c r="D8" i="71"/>
  <c r="U8" i="71" s="1"/>
  <c r="U7" i="40"/>
  <c r="AB7" i="40"/>
  <c r="T42" i="40" s="1"/>
  <c r="G42" i="40" s="1"/>
  <c r="AA7" i="40"/>
  <c r="R42" i="40" s="1"/>
  <c r="S7" i="40"/>
  <c r="AC7" i="40"/>
  <c r="V42" i="40" s="1"/>
  <c r="I42" i="40" s="1"/>
  <c r="W7" i="40"/>
  <c r="E47" i="39" l="1"/>
  <c r="R48" i="39"/>
  <c r="G51" i="39"/>
  <c r="H51" i="39" s="1"/>
  <c r="G52" i="39"/>
  <c r="H52" i="39" s="1"/>
  <c r="D7" i="71"/>
  <c r="C6" i="71"/>
  <c r="I46" i="40"/>
  <c r="J46" i="40" s="1"/>
  <c r="R43" i="40"/>
  <c r="E42" i="40"/>
  <c r="G47" i="40"/>
  <c r="H47" i="40" s="1"/>
  <c r="G46" i="40"/>
  <c r="H46" i="40" s="1"/>
  <c r="C48" i="39" l="1"/>
  <c r="C47" i="39"/>
  <c r="E52" i="39"/>
  <c r="F52" i="39" s="1"/>
  <c r="E51" i="39"/>
  <c r="F51" i="39" s="1"/>
  <c r="I52" i="39"/>
  <c r="J52" i="39" s="1"/>
  <c r="D6" i="71"/>
  <c r="C5" i="71"/>
  <c r="C42" i="40"/>
  <c r="C43" i="40"/>
  <c r="E47" i="40"/>
  <c r="F47" i="40" s="1"/>
  <c r="E46" i="40"/>
  <c r="F46" i="40" s="1"/>
  <c r="I47" i="40"/>
  <c r="J47"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D5" i="7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H108" i="9" s="1"/>
  <c r="D15" i="53" s="1"/>
  <c r="B31" i="72" s="1"/>
  <c r="D13" i="53" l="1"/>
  <c r="D122" i="9"/>
  <c r="G14" i="74" l="1"/>
  <c r="B6" i="74" s="1"/>
  <c r="D123" i="9"/>
  <c r="D9" i="52" s="1"/>
  <c r="D8" i="52"/>
  <c r="B30" i="72"/>
  <c r="D14" i="53"/>
  <c r="B32" i="72" s="1"/>
  <c r="D6" i="74" l="1"/>
  <c r="C6" i="74"/>
  <c r="G118" i="9"/>
  <c r="G4" i="52" s="1"/>
  <c r="B52" i="72" s="1"/>
  <c r="I118" i="9"/>
  <c r="C105" i="9" s="1"/>
  <c r="H118" i="9" l="1"/>
  <c r="H4" i="52" s="1"/>
  <c r="F118" i="9"/>
  <c r="E118" i="9"/>
  <c r="I4" i="52"/>
  <c r="H102" i="9"/>
  <c r="D7" i="53" s="1"/>
  <c r="B21" i="72" s="1"/>
  <c r="D14" i="74" l="1"/>
  <c r="F14" i="74" s="1"/>
  <c r="C104" i="9"/>
  <c r="H119" i="9"/>
  <c r="H5" i="52" s="1"/>
  <c r="H101" i="9"/>
  <c r="D45" i="9" s="1"/>
  <c r="B5" i="74"/>
  <c r="D118" i="9"/>
  <c r="E4" i="52"/>
  <c r="B48" i="72" s="1"/>
  <c r="F119" i="9"/>
  <c r="F5" i="52" s="1"/>
  <c r="B53" i="72" s="1"/>
  <c r="F4" i="52"/>
  <c r="B51" i="72" s="1"/>
  <c r="E14" i="74" l="1"/>
  <c r="H109" i="9"/>
  <c r="D16" i="53" s="1"/>
  <c r="D5" i="53"/>
  <c r="D6" i="53" s="1"/>
  <c r="B22" i="72" s="1"/>
  <c r="M48" i="9"/>
  <c r="D4" i="52"/>
  <c r="B47" i="72" s="1"/>
  <c r="D119" i="9"/>
  <c r="D5" i="52" s="1"/>
  <c r="B49" i="72" s="1"/>
  <c r="B20" i="72"/>
  <c r="C85" i="9"/>
  <c r="D55" i="9"/>
  <c r="M53" i="9" s="1"/>
  <c r="D53" i="9"/>
  <c r="C78" i="9"/>
  <c r="C73" i="9" s="1"/>
  <c r="C72" i="9"/>
  <c r="C93" i="9"/>
  <c r="C86" i="9" s="1"/>
  <c r="D52" i="9"/>
  <c r="C64" i="9"/>
  <c r="C63" i="9" s="1"/>
  <c r="C67" i="9" s="1"/>
  <c r="D5" i="74"/>
  <c r="C5" i="74"/>
  <c r="M49" i="9" l="1"/>
  <c r="L63" i="9" s="1"/>
  <c r="M63" i="9" s="1"/>
  <c r="D124" i="9"/>
  <c r="H14" i="74" s="1"/>
  <c r="B7" i="74" s="1"/>
  <c r="H110" i="9"/>
  <c r="D18" i="53" s="1"/>
  <c r="B35" i="72" s="1"/>
  <c r="C68" i="9"/>
  <c r="D54" i="9" s="1"/>
  <c r="D59" i="9"/>
  <c r="M55" i="9" s="1"/>
  <c r="C79" i="9"/>
  <c r="C95" i="9"/>
  <c r="D17" i="53"/>
  <c r="B36" i="72" s="1"/>
  <c r="B34" i="72"/>
  <c r="L66" i="9" l="1"/>
  <c r="M66" i="9" s="1"/>
  <c r="L67" i="9"/>
  <c r="M67" i="9" s="1"/>
  <c r="L64" i="9"/>
  <c r="M64" i="9" s="1"/>
  <c r="L65" i="9"/>
  <c r="M65" i="9" s="1"/>
  <c r="L68" i="9"/>
  <c r="M68" i="9" s="1"/>
  <c r="D10" i="52"/>
  <c r="D125" i="9"/>
  <c r="D11" i="52" s="1"/>
  <c r="C80" i="9"/>
  <c r="E80" i="9" s="1"/>
  <c r="E81" i="9" s="1"/>
  <c r="C96" i="9"/>
  <c r="E96" i="9" s="1"/>
  <c r="E97" i="9" s="1"/>
  <c r="D7" i="74"/>
  <c r="C7" i="74"/>
  <c r="M69" i="9" l="1"/>
  <c r="N69" i="9" s="1"/>
  <c r="C97" i="9"/>
  <c r="D58" i="9" s="1"/>
  <c r="D56"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<sst xmlns="http://schemas.openxmlformats.org/spreadsheetml/2006/main" count="7419" uniqueCount="3145">
  <si>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</si>
  <si>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</si>
  <si>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</si>
  <si>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</si>
  <si>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</si>
  <si>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</si>
  <si>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</si>
  <si>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</si>
  <si>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</si>
  <si>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</si>
  <si>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</si>
  <si>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</si>
  <si>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</si>
  <si>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</si>
  <si>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</si>
  <si>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</si>
  <si>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</si>
  <si>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</si>
  <si>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</si>
  <si>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</si>
  <si>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</si>
  <si>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</si>
  <si>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</si>
  <si>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</si>
  <si>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</si>
  <si>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</si>
  <si>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</si>
  <si>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</si>
  <si>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</si>
  <si>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</si>
  <si>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</si>
  <si>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</si>
  <si>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</si>
  <si>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</si>
  <si>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</si>
  <si>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</si>
  <si>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</si>
  <si>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</si>
  <si>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</si>
  <si>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</si>
  <si>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</si>
  <si>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</si>
  <si>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</si>
  <si>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</si>
  <si>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</si>
  <si>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</si>
  <si>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</si>
  <si>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</si>
  <si>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</si>
  <si>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</si>
  <si>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</si>
  <si>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</si>
  <si>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</si>
  <si>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</si>
  <si>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</si>
  <si>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</si>
  <si>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</si>
  <si>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</si>
  <si>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</si>
  <si>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</si>
  <si>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</si>
  <si>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</si>
  <si>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</si>
  <si>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</si>
  <si>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</si>
  <si>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</si>
  <si>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</si>
  <si>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</si>
  <si>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</si>
  <si>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</si>
  <si>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</si>
  <si>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</si>
  <si>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</si>
  <si>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</si>
  <si>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</si>
  <si>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</si>
  <si>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</si>
  <si>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</si>
  <si>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</si>
  <si>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</si>
  <si>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</si>
  <si>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</si>
  <si>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</si>
  <si>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</si>
  <si>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</si>
  <si>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</si>
  <si>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</si>
  <si>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</si>
  <si>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</si>
  <si>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</si>
  <si>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</si>
  <si>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</si>
  <si>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</si>
  <si>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</si>
  <si>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</si>
  <si>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</si>
  <si>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</si>
  <si>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</si>
  <si>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</si>
  <si>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</si>
  <si>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</si>
  <si>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</si>
  <si>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</si>
  <si>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</si>
  <si>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</si>
  <si>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</si>
  <si>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</si>
  <si>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</si>
  <si>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</si>
  <si>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</si>
  <si>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</si>
  <si>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</si>
  <si>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</si>
  <si>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</si>
  <si>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</si>
  <si>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</si>
  <si>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</si>
  <si>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</si>
  <si>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</si>
  <si>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</si>
  <si>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</si>
  <si>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</si>
  <si>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</si>
  <si>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</si>
  <si>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</si>
  <si>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</si>
  <si>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</si>
  <si>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</si>
  <si>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</si>
  <si>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</si>
  <si>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</si>
  <si>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</si>
  <si>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</si>
  <si>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</si>
  <si>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</si>
  <si>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</si>
  <si>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</si>
  <si>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</si>
  <si>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</si>
  <si>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</si>
  <si>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</si>
  <si>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</si>
  <si>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</si>
  <si>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</si>
  <si>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</si>
  <si>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</si>
  <si>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</si>
  <si>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</si>
  <si>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</si>
  <si>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</si>
  <si>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</si>
  <si>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</si>
  <si>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</si>
  <si>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</si>
  <si>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</si>
  <si>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</si>
  <si>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</si>
  <si>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</si>
  <si>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</si>
  <si>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</si>
  <si>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</si>
  <si>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</si>
  <si>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</si>
  <si>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</si>
  <si>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</si>
  <si>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</si>
  <si>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</si>
  <si>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</si>
  <si>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</si>
  <si>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</si>
  <si>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</si>
  <si>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</si>
  <si>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</si>
  <si>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</si>
  <si>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</si>
  <si>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</si>
  <si>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</si>
  <si>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</si>
  <si>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</si>
  <si>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</si>
  <si>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</si>
  <si>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</si>
  <si>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</si>
  <si>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</si>
  <si>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</si>
  <si>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</si>
  <si>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</si>
  <si>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</si>
  <si>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</si>
  <si>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</si>
  <si>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</si>
  <si>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</si>
  <si>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</si>
  <si>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</si>
  <si>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</si>
  <si>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</si>
  <si>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</si>
  <si>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</si>
  <si>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</si>
  <si>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</si>
  <si>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</si>
  <si>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</si>
  <si>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</si>
  <si>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</si>
  <si>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</si>
  <si>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</si>
  <si>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</si>
  <si>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</si>
  <si>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</si>
  <si>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</si>
  <si>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</si>
  <si>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</si>
  <si>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</si>
  <si>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</si>
  <si>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</si>
  <si>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</si>
  <si>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</si>
  <si>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</si>
  <si>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</si>
  <si>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</si>
  <si>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</si>
  <si>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</si>
  <si>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</si>
  <si>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</si>
  <si>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</si>
  <si>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</si>
  <si>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</si>
  <si>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</si>
  <si>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</si>
  <si>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</si>
  <si>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</si>
  <si>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</si>
  <si>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</si>
  <si>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</si>
  <si>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</si>
  <si>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</si>
  <si>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</si>
  <si>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</si>
  <si>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</si>
  <si>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</si>
  <si>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</si>
  <si>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</si>
  <si>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</si>
  <si>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</si>
  <si>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</si>
  <si>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</si>
  <si>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</si>
  <si>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</si>
  <si>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</si>
  <si>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</si>
  <si>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</si>
  <si>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</si>
  <si>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</si>
  <si>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</si>
  <si>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</si>
  <si>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</si>
  <si>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</si>
  <si>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</si>
  <si>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</si>
  <si>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</si>
  <si>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</si>
  <si>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</si>
  <si>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</si>
  <si>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</si>
  <si>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</si>
  <si>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</si>
  <si>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</si>
  <si>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</si>
  <si>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</si>
  <si>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</si>
  <si>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</si>
  <si>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</si>
  <si>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</si>
  <si>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</si>
  <si>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</si>
  <si>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</si>
  <si>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</si>
  <si>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</si>
  <si>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</si>
  <si>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</si>
  <si>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</si>
  <si>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</si>
  <si>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</si>
  <si>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</si>
  <si>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</si>
  <si>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</si>
  <si>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</si>
  <si>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</si>
  <si>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</si>
  <si>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</si>
  <si>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</si>
  <si>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</si>
  <si>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</si>
  <si>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</si>
  <si>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</si>
  <si>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</si>
  <si>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</si>
  <si>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</si>
  <si>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</si>
  <si>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</si>
  <si>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</si>
  <si>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</si>
  <si>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</si>
  <si>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</si>
  <si>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</si>
  <si>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</si>
  <si>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</si>
  <si>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</si>
  <si>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</si>
  <si>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</si>
  <si>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</si>
  <si>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</si>
  <si>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</si>
  <si>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</si>
  <si>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</si>
  <si>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</si>
  <si>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</si>
  <si>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</si>
  <si>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</si>
  <si>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</si>
  <si>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</si>
  <si>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</si>
  <si>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</si>
  <si>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</si>
  <si>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</si>
  <si>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</si>
  <si>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</si>
  <si>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</si>
  <si>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</si>
  <si>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</si>
  <si>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</si>
  <si>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</si>
  <si>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</si>
  <si>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</si>
  <si>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</si>
  <si>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</si>
  <si>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</si>
  <si>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</si>
  <si>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</si>
  <si>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</si>
  <si>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</si>
  <si>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</si>
  <si>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</si>
  <si>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</si>
  <si>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</si>
  <si>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</si>
  <si>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</si>
  <si>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</si>
  <si>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</si>
  <si>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</si>
  <si>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</si>
  <si>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</si>
  <si>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</si>
  <si>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</si>
  <si>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</si>
  <si>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</si>
  <si>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</si>
  <si>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</si>
  <si>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</si>
  <si>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</si>
  <si>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</si>
  <si>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</si>
  <si>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</si>
  <si>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</si>
  <si>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</si>
  <si>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</si>
  <si>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</si>
  <si>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</si>
  <si>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</si>
  <si>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</si>
  <si>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</si>
  <si>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</si>
  <si>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</si>
  <si>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</si>
  <si>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</si>
  <si>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</si>
  <si>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</si>
  <si>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</si>
  <si>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</si>
  <si>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</si>
  <si>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</si>
  <si>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</si>
  <si>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</si>
  <si>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</si>
  <si>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</si>
  <si>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</si>
  <si>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</si>
  <si>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</si>
  <si>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</si>
  <si>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</si>
  <si>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</si>
  <si>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</si>
  <si>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</si>
  <si>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</si>
  <si>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</si>
  <si>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</si>
  <si>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</si>
  <si>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</si>
  <si>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</si>
  <si>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</si>
  <si>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</si>
  <si>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</si>
  <si>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</si>
  <si>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</si>
  <si>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</si>
  <si>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</si>
  <si>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</si>
  <si>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</si>
  <si>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</si>
  <si>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</si>
  <si>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</si>
  <si>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</si>
  <si>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</si>
  <si>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</si>
  <si>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</si>
  <si>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</si>
  <si>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</si>
  <si>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</si>
  <si>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</si>
  <si>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</si>
  <si>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</si>
  <si>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</si>
  <si>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</si>
  <si>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</si>
  <si>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</si>
  <si>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</si>
  <si>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</si>
  <si>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</si>
  <si>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</si>
  <si>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</si>
  <si>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</si>
  <si>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</si>
  <si>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</si>
  <si>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</si>
  <si>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</si>
  <si>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</si>
  <si>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</si>
  <si>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</si>
  <si>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</si>
  <si>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</si>
  <si>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</si>
  <si>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</si>
  <si>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</si>
  <si>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</si>
  <si>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</si>
  <si>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</si>
  <si>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</si>
  <si>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</si>
  <si>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</si>
  <si>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</si>
  <si>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</si>
  <si>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</si>
  <si>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</si>
  <si>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</si>
  <si>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</si>
  <si>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</si>
  <si>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</si>
  <si>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</si>
  <si>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</si>
  <si>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</si>
  <si>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</si>
  <si>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</si>
  <si>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</si>
  <si>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</si>
  <si>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</si>
  <si>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</si>
  <si>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</si>
  <si>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</si>
  <si>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</si>
  <si>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</si>
  <si>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</si>
  <si>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</si>
  <si>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</si>
  <si>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</si>
  <si>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</si>
  <si>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</si>
  <si>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</si>
  <si>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</si>
  <si>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</si>
  <si>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</si>
  <si>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</si>
  <si>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</si>
  <si>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</si>
  <si>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</si>
  <si>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</si>
  <si>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</si>
  <si>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</si>
  <si>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</si>
  <si>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</si>
  <si>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</si>
  <si>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</si>
  <si>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</si>
  <si>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</si>
  <si>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</si>
  <si>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</si>
  <si>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</si>
  <si>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</si>
  <si>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</si>
  <si>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</si>
  <si>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</si>
  <si>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</si>
  <si>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</si>
  <si>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</si>
  <si>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</si>
  <si>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</si>
  <si>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</si>
  <si>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</si>
  <si>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</si>
  <si>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</si>
  <si>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</si>
  <si>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</si>
  <si>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</si>
  <si>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</si>
  <si>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</si>
  <si>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</si>
  <si>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</si>
  <si>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</si>
  <si>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</si>
  <si>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</si>
  <si>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</si>
  <si>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</si>
  <si>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</si>
  <si>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</si>
  <si>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</si>
  <si>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</si>
  <si>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</si>
  <si>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</si>
  <si>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</si>
  <si>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</si>
  <si>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</si>
  <si>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</si>
  <si>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</si>
  <si>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</si>
  <si>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</si>
  <si>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</si>
  <si>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</si>
  <si>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</si>
  <si>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</si>
  <si>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</si>
  <si>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</si>
  <si>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</si>
  <si>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</si>
  <si>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</si>
  <si>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</si>
  <si>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</si>
  <si>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</si>
  <si>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</si>
  <si>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</si>
  <si>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</si>
  <si>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</si>
  <si>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</si>
  <si>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</si>
  <si>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</si>
  <si>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</si>
  <si>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</si>
  <si>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</si>
  <si>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</si>
  <si>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</si>
  <si>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</si>
  <si>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</si>
  <si>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</si>
  <si>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</si>
  <si>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</si>
  <si>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</si>
  <si>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</si>
  <si>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</si>
  <si>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</si>
  <si>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</si>
  <si>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</si>
  <si>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</si>
  <si>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</si>
  <si>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</si>
  <si>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</si>
  <si>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</si>
  <si>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</si>
  <si>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</si>
  <si>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</si>
  <si>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</si>
  <si>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</si>
  <si>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</si>
  <si>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</si>
  <si>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</si>
  <si>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</si>
  <si>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</si>
  <si>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</si>
  <si>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</si>
  <si>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</si>
  <si>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</si>
  <si>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</si>
  <si>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</si>
  <si>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</si>
  <si>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</si>
  <si>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</si>
  <si>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</si>
  <si>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</si>
  <si>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</si>
  <si>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</si>
  <si>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</si>
  <si>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</si>
  <si>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</si>
  <si>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</si>
  <si>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</si>
  <si>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</si>
  <si>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</si>
  <si>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</si>
  <si>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</si>
  <si>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</si>
  <si>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</si>
  <si>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</si>
  <si>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</si>
  <si>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</si>
  <si>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</si>
  <si>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</si>
  <si>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</si>
  <si>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</si>
  <si>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</si>
  <si>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</si>
  <si>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</si>
  <si>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</si>
  <si>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</si>
  <si>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</si>
  <si>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</si>
  <si>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</si>
  <si>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</si>
  <si>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</si>
  <si>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</si>
  <si>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</si>
  <si>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</si>
  <si>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</si>
  <si>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</si>
  <si>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</si>
  <si>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</si>
  <si>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</si>
  <si>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</si>
  <si>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</si>
  <si>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</si>
  <si>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</si>
  <si>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</si>
  <si>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</si>
  <si>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</si>
  <si>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</si>
  <si>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</si>
  <si>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</si>
  <si>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</si>
  <si>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</si>
  <si>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</si>
  <si>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</si>
  <si>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</si>
  <si>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</si>
  <si>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</si>
  <si>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</si>
  <si>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</si>
  <si>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</si>
  <si>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</si>
  <si>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</si>
  <si>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</si>
  <si>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</si>
  <si>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</si>
  <si>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</si>
  <si>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</si>
  <si>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</si>
  <si>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</si>
  <si>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</si>
  <si>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</si>
  <si>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</si>
  <si>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</si>
  <si>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</si>
  <si>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</si>
  <si>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</si>
  <si>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</si>
  <si>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</si>
  <si>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</si>
  <si>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</si>
  <si>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</si>
  <si>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</si>
  <si>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</si>
  <si>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</si>
  <si>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</si>
  <si>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</si>
  <si>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</si>
  <si>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</si>
  <si>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</si>
  <si>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</si>
  <si>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</si>
  <si>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</si>
  <si>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</si>
  <si>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</si>
  <si>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</si>
  <si>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</si>
  <si>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</si>
  <si>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</si>
  <si>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</si>
  <si>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</si>
  <si>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</si>
  <si>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</si>
  <si>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</si>
  <si>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</si>
  <si>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</si>
  <si>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</si>
  <si>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</si>
  <si>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</si>
  <si>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</si>
  <si>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</si>
  <si>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</si>
  <si>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</si>
  <si>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</si>
  <si>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</si>
  <si>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</si>
  <si>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</si>
  <si>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</si>
  <si>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</si>
  <si>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</si>
  <si>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</si>
  <si>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</si>
  <si>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</si>
  <si>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</si>
  <si>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</si>
  <si>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</si>
  <si>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</si>
  <si>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</si>
  <si>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</si>
  <si>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</si>
  <si>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</si>
  <si>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</si>
  <si>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</si>
  <si>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</si>
  <si>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</si>
  <si>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</si>
  <si>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</si>
  <si>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</si>
  <si>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</si>
  <si>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</si>
  <si>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</si>
  <si>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</si>
  <si>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</si>
  <si>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</si>
  <si>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</si>
  <si>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</si>
  <si>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</si>
  <si>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</si>
  <si>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</si>
  <si>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</si>
  <si>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</si>
  <si>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</si>
  <si>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</si>
  <si>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</si>
  <si>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</si>
  <si>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</si>
  <si>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</si>
  <si>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</si>
  <si>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</si>
  <si>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</si>
  <si>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</si>
  <si>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</si>
  <si>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</si>
  <si>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</si>
  <si>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</si>
  <si>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</si>
  <si>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</si>
  <si>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</si>
  <si>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</si>
  <si>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</si>
  <si>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</si>
  <si>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</si>
  <si>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</si>
  <si>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</si>
  <si>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</si>
  <si>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</si>
  <si>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</si>
  <si>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</si>
  <si>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</si>
  <si>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</si>
  <si>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</si>
  <si>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</si>
  <si>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</si>
  <si>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</si>
  <si>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</si>
  <si>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</si>
  <si>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</si>
  <si>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</si>
  <si>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</si>
  <si>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</si>
  <si>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</si>
  <si>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</si>
  <si>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</si>
  <si>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</si>
  <si>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</si>
  <si>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</si>
  <si>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</si>
  <si>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</si>
  <si>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</si>
  <si>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</si>
  <si>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</si>
  <si>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</si>
  <si>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</si>
  <si>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</si>
  <si>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</si>
  <si>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</si>
  <si>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</si>
  <si>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</si>
  <si>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</si>
  <si>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</si>
  <si>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</si>
  <si>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</si>
  <si>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</si>
  <si>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</si>
  <si>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</si>
  <si>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</si>
  <si>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</si>
  <si>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</si>
  <si>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</si>
  <si>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</si>
  <si>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</si>
  <si>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</si>
  <si>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</si>
  <si>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</si>
  <si>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</si>
  <si>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</si>
  <si>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</si>
  <si>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</si>
  <si>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</si>
  <si>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</si>
  <si>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</si>
  <si>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</si>
  <si>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</si>
  <si>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</si>
  <si>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</si>
  <si>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</si>
  <si>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</si>
  <si>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</si>
  <si>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</si>
  <si>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</si>
  <si>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</si>
  <si>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</si>
  <si>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</si>
  <si>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</si>
  <si>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</si>
  <si>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</si>
  <si>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</si>
  <si>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</si>
  <si>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</si>
  <si>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</si>
  <si>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</si>
  <si>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</si>
  <si>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</si>
  <si>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</si>
  <si>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</si>
  <si>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</si>
  <si>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</si>
  <si>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</si>
  <si>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</si>
  <si>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</si>
  <si>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</si>
  <si>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</si>
  <si>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</si>
  <si>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</si>
  <si>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</si>
  <si>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</si>
  <si>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</si>
  <si>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</si>
  <si>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</si>
  <si>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</si>
  <si>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</si>
  <si>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</si>
  <si>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</si>
  <si>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</si>
  <si>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</si>
  <si>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</si>
  <si>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</si>
  <si>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</si>
  <si>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</si>
  <si>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</si>
  <si>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</si>
  <si>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</si>
  <si>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</si>
  <si>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</si>
  <si>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</si>
  <si>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</si>
  <si>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</si>
  <si>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</si>
  <si>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</si>
  <si>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</si>
  <si>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</si>
  <si>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</si>
  <si>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</si>
  <si>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</si>
  <si>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</si>
  <si>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</si>
  <si>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</si>
  <si>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</si>
  <si>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</si>
  <si>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</si>
  <si>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</si>
  <si>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</si>
  <si>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</si>
  <si>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</si>
  <si>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</si>
  <si>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</si>
  <si>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</si>
  <si>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</si>
  <si>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</si>
  <si>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</si>
  <si>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</si>
  <si>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</si>
  <si>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</si>
  <si>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</si>
  <si>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</si>
  <si>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</si>
  <si>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</si>
  <si>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</si>
  <si>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</si>
  <si>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</si>
  <si>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</si>
  <si>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</si>
  <si>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</si>
  <si>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</si>
  <si>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</si>
  <si>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</si>
  <si>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</si>
  <si>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</si>
  <si>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</si>
  <si>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</si>
  <si>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</si>
  <si>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</si>
  <si>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</si>
  <si>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</si>
  <si>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</si>
  <si>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</si>
  <si>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</si>
  <si>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</si>
  <si>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</si>
  <si>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</si>
  <si>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</si>
  <si>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</si>
  <si>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</si>
  <si>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</si>
  <si>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</si>
  <si>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</si>
  <si>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</si>
  <si>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</si>
  <si>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</si>
  <si>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</si>
  <si>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</si>
  <si>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</si>
  <si>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</si>
  <si>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</si>
  <si>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</si>
  <si>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</si>
  <si>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</si>
  <si>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</si>
  <si>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</si>
  <si>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</si>
  <si>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</si>
  <si>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</si>
  <si>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</si>
  <si>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</si>
  <si>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</si>
  <si>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</si>
  <si>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</si>
  <si>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</si>
  <si>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</si>
  <si>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</si>
  <si>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</si>
  <si>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</si>
  <si>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</si>
  <si>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</si>
  <si>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</si>
  <si>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</si>
  <si>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</si>
  <si>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</si>
  <si>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</si>
  <si>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</si>
  <si>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</si>
  <si>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</si>
  <si>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</si>
  <si>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</si>
  <si>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</si>
  <si>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</si>
  <si>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</si>
  <si>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</si>
  <si>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</si>
  <si>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</si>
  <si>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</si>
  <si>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</si>
  <si>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</si>
  <si>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</si>
  <si>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</si>
  <si>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</si>
  <si>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</si>
  <si>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</si>
  <si>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</si>
  <si>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</si>
  <si>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</si>
  <si>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</si>
  <si>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</si>
  <si>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</si>
  <si>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</si>
  <si>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</si>
  <si>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</si>
  <si>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</si>
  <si>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</si>
  <si>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</si>
  <si>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</si>
  <si>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</si>
  <si>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</si>
  <si>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</si>
  <si>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</si>
  <si>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</si>
  <si>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</si>
  <si>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</si>
  <si>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</si>
  <si>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</si>
  <si>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</si>
  <si>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</si>
  <si>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</si>
  <si>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</si>
  <si>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</si>
  <si>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</si>
  <si>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</si>
  <si>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</si>
  <si>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</si>
  <si>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</si>
  <si>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</si>
  <si>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</si>
  <si>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</si>
  <si>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</si>
  <si>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</si>
  <si>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</si>
  <si>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</si>
  <si>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</si>
  <si>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</si>
  <si>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</si>
  <si>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</si>
  <si>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</si>
  <si>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</si>
  <si>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</si>
  <si>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</si>
  <si>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</si>
  <si>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</si>
  <si>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</si>
  <si>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</si>
  <si>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</si>
  <si>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</si>
  <si>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</si>
  <si>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</si>
  <si>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</si>
  <si>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</si>
  <si>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</si>
  <si>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</si>
  <si>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</si>
  <si>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</si>
  <si>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</si>
  <si>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</si>
  <si>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</si>
  <si>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</si>
  <si>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</si>
  <si>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</si>
  <si>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</si>
  <si>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</si>
  <si>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</si>
  <si>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</si>
  <si>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</si>
  <si>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</si>
  <si>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</si>
  <si>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</si>
  <si>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</si>
  <si>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</si>
  <si>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</si>
  <si>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</si>
  <si>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</si>
  <si>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</si>
  <si>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</si>
  <si>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</si>
  <si>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</si>
  <si>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</si>
  <si>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</si>
  <si>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</si>
  <si>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</si>
  <si>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</si>
  <si>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</si>
  <si>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</si>
  <si>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</si>
  <si>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</si>
  <si>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</si>
  <si>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</si>
  <si>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</si>
  <si>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</si>
  <si>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</si>
  <si>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</si>
  <si>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</si>
  <si>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</si>
  <si>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</si>
  <si>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</si>
  <si>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</si>
  <si>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</si>
  <si>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</si>
  <si>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</si>
  <si>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</si>
  <si>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</si>
  <si>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</si>
  <si>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</si>
  <si>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</si>
  <si>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</si>
  <si>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</si>
  <si>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</si>
  <si>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</si>
  <si>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</si>
  <si>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</si>
  <si>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</si>
  <si>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</si>
  <si>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</si>
  <si>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</si>
  <si>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</si>
  <si>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</si>
  <si>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</si>
  <si>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</si>
  <si>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</si>
  <si>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</si>
  <si>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</si>
  <si>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</si>
  <si>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</si>
  <si>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</si>
  <si>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</si>
  <si>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</si>
  <si>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</si>
  <si>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</si>
  <si>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</si>
  <si>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</si>
  <si>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</si>
  <si>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</si>
  <si>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</si>
  <si>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</si>
  <si>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</si>
  <si>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</si>
  <si>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</si>
  <si>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</si>
  <si>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</si>
  <si>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</si>
  <si>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</si>
  <si>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</si>
  <si>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</si>
  <si>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</si>
  <si>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</si>
  <si>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</si>
  <si>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</si>
  <si>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</si>
  <si>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</si>
  <si>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</si>
  <si>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</si>
  <si>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</si>
  <si>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</si>
  <si>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</si>
  <si>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</si>
  <si>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</si>
  <si>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</si>
  <si>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</si>
  <si>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</si>
  <si>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</si>
  <si>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</si>
  <si>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</si>
  <si>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</si>
  <si>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</si>
  <si>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</si>
  <si>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</si>
  <si>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</si>
  <si>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</si>
  <si>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</si>
  <si>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</si>
  <si>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</si>
  <si>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</si>
  <si>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</si>
  <si>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</si>
  <si>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</si>
  <si>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</si>
  <si>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</si>
  <si>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</si>
  <si>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</si>
  <si>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</si>
  <si>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</si>
  <si>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</si>
  <si>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</si>
  <si>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</si>
  <si>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</si>
  <si>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</si>
  <si>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</si>
  <si>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</si>
  <si>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</si>
  <si>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</si>
  <si>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</si>
  <si>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</si>
  <si>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</si>
  <si>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</si>
  <si>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</si>
  <si>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</si>
  <si>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</si>
  <si>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</si>
  <si>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</si>
  <si>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</si>
  <si>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</si>
  <si>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</si>
  <si>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</si>
  <si>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</si>
  <si>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</si>
  <si>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</si>
  <si>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</si>
  <si>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</si>
  <si>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</si>
  <si>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</si>
  <si>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</si>
  <si>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</si>
  <si>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</si>
  <si>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</si>
  <si>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</si>
  <si>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</si>
  <si>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</si>
  <si>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</si>
  <si>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</si>
  <si>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</si>
  <si>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</si>
  <si>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</si>
  <si>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</si>
  <si>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</si>
  <si>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</si>
  <si>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</si>
  <si>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</si>
  <si>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</si>
  <si>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</si>
  <si>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</si>
  <si>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</si>
  <si>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</si>
  <si>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</si>
  <si>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</si>
  <si>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</si>
  <si>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</si>
  <si>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</si>
  <si>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</si>
  <si>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</si>
  <si>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</si>
  <si>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</si>
  <si>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</si>
  <si>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</si>
  <si>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</si>
  <si>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</si>
  <si>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</si>
  <si>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</si>
  <si>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</si>
  <si>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</si>
  <si>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</si>
  <si>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</si>
  <si>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</si>
  <si>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</si>
  <si>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</si>
  <si>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</si>
  <si>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</si>
  <si>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</si>
  <si>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</si>
  <si>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</si>
  <si>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</si>
  <si>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</si>
  <si>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</si>
  <si>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</si>
  <si>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</si>
  <si>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</si>
  <si>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</si>
  <si>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</si>
  <si>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</si>
  <si>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</si>
  <si>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</si>
  <si>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</si>
  <si>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</si>
  <si>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</si>
  <si>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</si>
  <si>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</si>
  <si>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</si>
  <si>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</si>
  <si>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</si>
  <si>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</si>
  <si>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</si>
  <si>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</si>
  <si>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</si>
  <si>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</si>
  <si>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</si>
  <si>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</si>
  <si>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</si>
  <si>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</si>
  <si>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</si>
  <si>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</si>
  <si>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</si>
  <si>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</si>
  <si>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</si>
  <si>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</si>
  <si>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</si>
  <si>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</si>
  <si>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</si>
  <si>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</si>
  <si>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</si>
  <si>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</si>
  <si>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</si>
  <si>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</si>
  <si>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</si>
  <si>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</si>
  <si>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</si>
  <si>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</si>
  <si>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</si>
  <si>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</si>
  <si>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</si>
  <si>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</si>
  <si>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</si>
  <si>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</si>
  <si>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</si>
  <si>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</si>
  <si>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</si>
  <si>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</si>
  <si>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</si>
  <si>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</si>
  <si>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</si>
  <si>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</si>
  <si>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</si>
  <si>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</si>
  <si>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</si>
  <si>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</si>
  <si>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</si>
  <si>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</si>
  <si>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</si>
  <si>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</si>
  <si>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</si>
  <si>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</si>
  <si>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</si>
  <si>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</si>
  <si>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</si>
  <si>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</si>
  <si>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</si>
  <si>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</si>
  <si>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</si>
  <si>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</si>
  <si>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</si>
  <si>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</si>
  <si>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</si>
  <si>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</si>
  <si>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</si>
  <si>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</si>
  <si>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</si>
  <si>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</si>
  <si>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</si>
  <si>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</si>
  <si>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</si>
  <si>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</si>
  <si>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</si>
  <si>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</si>
  <si>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</si>
  <si>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</si>
  <si>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</si>
  <si>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</si>
  <si>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</si>
  <si>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</si>
  <si>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</si>
  <si>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</si>
  <si>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</si>
  <si>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</si>
  <si>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</si>
  <si>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</si>
  <si>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</si>
  <si>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</si>
  <si>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</si>
  <si>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</si>
  <si>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</si>
  <si>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</si>
  <si>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</si>
  <si>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</si>
  <si>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</si>
  <si>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</si>
  <si>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</si>
  <si>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</si>
  <si>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</si>
  <si>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</si>
  <si>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</si>
  <si>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</si>
  <si>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</si>
  <si>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</si>
  <si>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</si>
  <si>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</si>
  <si>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</si>
  <si>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</si>
  <si>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</si>
  <si>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</si>
  <si>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</si>
  <si>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</si>
  <si>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</si>
  <si>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</si>
  <si>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</si>
  <si>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</si>
  <si>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</si>
  <si>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</si>
  <si>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</si>
  <si>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</si>
  <si>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</si>
  <si>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</si>
  <si>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</si>
  <si>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</si>
  <si>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</si>
  <si>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</si>
  <si>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</si>
  <si>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</si>
  <si>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</si>
  <si>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</si>
  <si>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</si>
  <si>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</si>
  <si>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</si>
  <si>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</si>
  <si>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</si>
  <si>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</si>
  <si>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</si>
  <si>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</si>
  <si>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</si>
  <si>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</si>
  <si>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</si>
  <si>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</si>
  <si>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</si>
  <si>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</si>
  <si>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</si>
  <si>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</si>
  <si>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</si>
  <si>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</si>
  <si>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</si>
  <si>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</si>
  <si>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</si>
  <si>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</si>
  <si>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</si>
  <si>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</si>
  <si>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</si>
  <si>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</si>
  <si>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</si>
  <si>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</si>
  <si>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</si>
  <si>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</si>
  <si>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</si>
  <si>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</si>
  <si>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</si>
  <si>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</si>
  <si>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</si>
  <si>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</si>
  <si>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</si>
  <si>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</si>
  <si>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</si>
  <si>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</si>
  <si>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</si>
  <si>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</si>
  <si>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</si>
  <si>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</si>
  <si>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</si>
  <si>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</si>
  <si>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</si>
  <si>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</si>
  <si>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</si>
  <si>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</si>
  <si>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</si>
  <si>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</si>
  <si>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</si>
  <si>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</si>
  <si>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</si>
  <si>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</si>
  <si>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</si>
  <si>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</si>
  <si>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</si>
  <si>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</si>
  <si>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</si>
  <si>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</si>
  <si>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</si>
  <si>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</si>
  <si>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</si>
  <si>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</si>
  <si>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</si>
  <si>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</si>
  <si>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</si>
  <si>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</si>
  <si>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</si>
  <si>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</si>
  <si>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</si>
  <si>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</si>
  <si>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</si>
  <si>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</si>
  <si>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</si>
  <si>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</si>
  <si>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</si>
  <si>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</si>
  <si>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</si>
  <si>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</si>
  <si>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</si>
  <si>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</si>
  <si>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</si>
  <si>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</si>
  <si>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</si>
  <si>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</si>
  <si>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</si>
  <si>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</si>
  <si>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</si>
  <si>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</si>
  <si>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</si>
  <si>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</si>
  <si>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</si>
  <si>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</si>
  <si>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</si>
  <si>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</si>
  <si>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</si>
  <si>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</si>
  <si>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</si>
  <si>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</si>
  <si>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</si>
  <si>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</si>
  <si>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</si>
  <si>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</si>
  <si>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</si>
  <si>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</si>
  <si>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</si>
  <si>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</si>
  <si>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</si>
  <si>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</si>
  <si>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</si>
  <si>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</si>
  <si>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</si>
  <si>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</si>
  <si>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</si>
  <si>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</si>
  <si>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</si>
  <si>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</si>
  <si>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</si>
  <si>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</si>
  <si>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</si>
  <si>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</si>
  <si>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</si>
  <si>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</si>
  <si>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</si>
  <si>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</si>
  <si>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</si>
  <si>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</si>
  <si>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</si>
  <si>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</si>
  <si>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</si>
  <si>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</si>
  <si>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</si>
  <si>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</si>
  <si>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</si>
  <si>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</si>
  <si>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</si>
  <si>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</si>
  <si>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</si>
  <si>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</si>
  <si>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</si>
  <si>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</si>
  <si>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</si>
  <si>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</si>
  <si>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</si>
  <si>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</si>
  <si>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</si>
  <si>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</si>
  <si>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</si>
  <si>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</si>
  <si>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</si>
  <si>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</si>
  <si>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</si>
  <si>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</si>
  <si>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</si>
  <si>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</si>
  <si>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</si>
  <si>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</si>
  <si>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</si>
  <si>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</si>
  <si>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</si>
  <si>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</si>
  <si>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</si>
  <si>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</si>
  <si>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</si>
  <si>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</si>
  <si>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</si>
  <si>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</si>
  <si>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</si>
  <si>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</si>
  <si>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</si>
  <si>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</si>
  <si>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</si>
  <si>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</si>
  <si>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</si>
  <si>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</si>
  <si>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</si>
  <si>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</si>
  <si>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</si>
  <si>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</si>
  <si>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</si>
  <si>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</si>
  <si>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</si>
  <si>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</si>
  <si>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</si>
  <si>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</si>
  <si>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</si>
  <si>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</si>
  <si>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</si>
  <si>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</si>
  <si>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</si>
  <si>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</si>
  <si>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</si>
  <si>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</si>
  <si>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</si>
  <si>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</si>
  <si>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</si>
  <si>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</si>
  <si>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</si>
  <si>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</si>
  <si>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</si>
  <si>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</si>
  <si>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</si>
  <si>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</si>
  <si>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</si>
  <si>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</si>
  <si>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</si>
  <si>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</si>
  <si>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</si>
  <si>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</si>
  <si>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</si>
  <si>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</si>
  <si>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</si>
  <si>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</si>
  <si>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</si>
  <si>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</si>
  <si>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</si>
  <si>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</si>
  <si>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</si>
  <si>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</si>
  <si>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</si>
  <si>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</si>
  <si>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</si>
  <si>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</si>
  <si>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</si>
  <si>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</si>
  <si>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</si>
  <si>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</si>
  <si>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</si>
  <si>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</si>
  <si>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</si>
  <si>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</si>
  <si>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</si>
  <si>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</si>
  <si>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</si>
  <si>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</si>
  <si>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</si>
  <si>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</si>
  <si>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</si>
  <si>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</si>
  <si>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</si>
  <si>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</si>
  <si>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</si>
  <si>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</si>
  <si>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</si>
  <si>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</si>
  <si>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</si>
  <si>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</si>
  <si>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</si>
  <si>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</si>
  <si>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</si>
  <si>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</si>
  <si>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</si>
  <si>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</si>
  <si>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</si>
  <si>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</si>
  <si>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</si>
  <si>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</si>
  <si>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</si>
  <si>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</si>
  <si>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</si>
  <si>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</si>
  <si>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</si>
  <si>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</si>
  <si>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</si>
  <si>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</si>
  <si>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</si>
  <si>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</si>
  <si>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</si>
  <si>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</si>
  <si>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</si>
  <si>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</si>
  <si>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</si>
  <si>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</si>
  <si>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</si>
  <si>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</si>
  <si>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</si>
  <si>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</si>
  <si>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</si>
  <si>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</si>
  <si>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</si>
  <si>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</si>
  <si>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</si>
  <si>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</si>
  <si>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</si>
  <si>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</si>
  <si>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</si>
  <si>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</si>
  <si>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</si>
  <si>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</si>
  <si>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</si>
  <si>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</si>
  <si>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</si>
  <si>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</si>
  <si>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</si>
  <si>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</si>
  <si>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</si>
  <si>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</si>
  <si>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</si>
  <si>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</si>
  <si>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</si>
  <si>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</si>
  <si>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</si>
  <si>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</si>
  <si>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</si>
  <si>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</si>
  <si>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</si>
  <si>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</si>
  <si>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</si>
  <si>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</si>
  <si>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</si>
  <si>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</si>
  <si>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</si>
  <si>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</si>
  <si>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</si>
  <si>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</si>
  <si>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</si>
  <si>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</si>
  <si>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</si>
  <si>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</si>
  <si>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</si>
  <si>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</si>
  <si>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</si>
  <si>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</si>
  <si>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</si>
  <si>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</si>
  <si>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</si>
  <si>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</si>
  <si>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</si>
  <si>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</si>
  <si>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</si>
  <si>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</si>
  <si>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</si>
  <si>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</si>
  <si>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</si>
  <si>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</si>
  <si>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</si>
  <si>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</si>
  <si>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</si>
  <si>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</si>
  <si>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</si>
  <si>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</si>
  <si>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</si>
  <si>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</si>
  <si>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</si>
  <si>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</si>
  <si>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</si>
  <si>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</si>
  <si>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</si>
  <si>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</si>
  <si>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</si>
  <si>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</si>
  <si>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</si>
  <si>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</si>
  <si>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</si>
  <si>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</si>
  <si>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</si>
  <si>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</si>
  <si>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</si>
  <si>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</si>
  <si>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</si>
  <si>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</si>
  <si>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</si>
  <si>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</si>
  <si>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</si>
  <si>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</si>
  <si>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</si>
  <si>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</si>
  <si>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</si>
  <si>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</si>
  <si>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</si>
  <si>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</si>
  <si>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</si>
  <si>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</si>
  <si>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</si>
  <si>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</si>
  <si>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</si>
  <si>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</si>
  <si>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</si>
  <si>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</si>
  <si>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</si>
  <si>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</si>
  <si>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</si>
  <si>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</si>
  <si>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</si>
  <si>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</si>
  <si>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</si>
  <si>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</si>
  <si>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</si>
  <si>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</si>
  <si>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</si>
  <si>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</si>
  <si>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</si>
  <si>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</si>
  <si>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</si>
  <si>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</si>
  <si>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</si>
  <si>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</si>
  <si>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</si>
  <si>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</si>
  <si>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</si>
  <si>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</si>
  <si>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</si>
  <si>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</si>
  <si>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</si>
  <si>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</si>
  <si>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</si>
  <si>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</si>
  <si>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</si>
  <si>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</si>
  <si>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</si>
  <si>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</si>
  <si>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</si>
  <si>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</si>
  <si>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</si>
  <si>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</si>
  <si>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</si>
  <si>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</si>
  <si>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</si>
  <si>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</si>
  <si>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</si>
  <si>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</si>
  <si>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</si>
  <si>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</si>
  <si>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</si>
  <si>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</si>
  <si>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</si>
  <si>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</si>
  <si>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</si>
  <si>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</si>
  <si>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</si>
  <si>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</si>
  <si>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</si>
  <si>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</si>
  <si>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</si>
  <si>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</si>
  <si>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</si>
  <si>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</si>
  <si>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</si>
  <si>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</si>
  <si>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</si>
  <si>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</si>
  <si>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</si>
  <si>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</si>
  <si>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</si>
  <si>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</si>
  <si>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</si>
  <si>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</si>
  <si>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</si>
  <si>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</si>
  <si>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</si>
  <si>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</si>
  <si>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</si>
  <si>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</si>
  <si>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</si>
  <si>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</si>
  <si>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</si>
  <si>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</si>
  <si>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</si>
  <si>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</si>
  <si>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</si>
  <si>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</si>
  <si>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</si>
  <si>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</si>
  <si>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</si>
  <si>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</si>
  <si>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</si>
  <si>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</si>
  <si>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</si>
  <si>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</si>
  <si>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</si>
  <si>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</si>
  <si>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</si>
  <si>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</si>
  <si>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</si>
  <si>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</si>
  <si>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</si>
  <si>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</si>
  <si>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</si>
  <si>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</si>
  <si>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</si>
  <si>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</si>
  <si>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</si>
  <si>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</si>
  <si>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</si>
  <si>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</si>
  <si>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</si>
  <si>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</si>
  <si>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</si>
  <si>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</si>
  <si>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</si>
  <si>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</si>
  <si>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</si>
  <si>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</si>
  <si>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</si>
  <si>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</si>
  <si>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</si>
  <si>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</si>
  <si>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</si>
  <si>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</si>
  <si>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</si>
  <si>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</si>
  <si>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</si>
  <si>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</si>
  <si>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</si>
  <si>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</si>
  <si>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</si>
  <si>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</si>
  <si>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</si>
  <si>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</si>
  <si>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</si>
  <si>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</si>
  <si>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</si>
  <si>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</si>
  <si>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</si>
  <si>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</si>
  <si>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</si>
  <si>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</si>
  <si>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</si>
  <si>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</si>
  <si>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</si>
  <si>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</si>
  <si>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</si>
  <si>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</si>
  <si>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</si>
  <si>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</si>
  <si>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</si>
  <si>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</si>
  <si>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</si>
  <si>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</si>
  <si>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</si>
  <si>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</si>
  <si>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</si>
  <si>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</si>
  <si>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</si>
  <si>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</si>
  <si>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</si>
  <si>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</si>
  <si>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</si>
  <si>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</si>
  <si>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</si>
  <si>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</si>
  <si>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</si>
  <si>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</si>
  <si>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</si>
  <si>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</si>
  <si>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</si>
  <si>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</si>
  <si>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</si>
  <si>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</si>
  <si>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</si>
  <si>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</si>
  <si>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</si>
  <si>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</si>
  <si>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</si>
  <si>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</si>
  <si>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</si>
  <si>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</si>
  <si>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</si>
  <si>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</si>
  <si>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</si>
  <si>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</si>
  <si>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</si>
  <si>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</si>
  <si>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</si>
  <si>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</si>
  <si>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</si>
  <si>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</si>
  <si>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</si>
  <si>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</si>
  <si>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</si>
  <si>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</si>
  <si>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</si>
  <si>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</si>
  <si>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</si>
  <si>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</si>
  <si>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</si>
  <si>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</si>
  <si>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</si>
  <si>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</si>
  <si>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</si>
  <si>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</si>
  <si>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</si>
  <si>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</si>
  <si>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</si>
  <si>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</si>
  <si>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</si>
  <si>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</si>
  <si>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</si>
  <si>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</si>
  <si>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</si>
  <si>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</si>
  <si>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</si>
  <si>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</si>
  <si>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</si>
  <si>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</si>
  <si>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</si>
  <si>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</si>
  <si>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</si>
  <si>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</si>
  <si>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</si>
  <si>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</si>
  <si>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</si>
  <si>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</si>
  <si>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</si>
  <si>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</si>
  <si>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</si>
  <si>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</si>
  <si>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</si>
  <si>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</si>
  <si>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</si>
  <si>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</si>
  <si>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</si>
  <si>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</si>
  <si>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</si>
  <si>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</si>
  <si>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</si>
  <si>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</si>
  <si>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</si>
  <si>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</si>
  <si>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</si>
  <si>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</si>
  <si>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</si>
  <si>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</si>
  <si>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</si>
  <si>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</si>
  <si>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</si>
  <si>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</si>
  <si>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</si>
  <si>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</si>
  <si>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</si>
  <si>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</si>
  <si>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</si>
  <si>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</si>
  <si>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</si>
  <si>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</si>
  <si>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</si>
  <si>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</si>
  <si>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</si>
  <si>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</si>
  <si>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</si>
  <si>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</si>
  <si>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</si>
  <si>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</si>
  <si>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</si>
  <si>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</si>
  <si>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</si>
  <si>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</si>
  <si>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</si>
  <si>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</si>
  <si>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</si>
  <si>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</si>
  <si>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</si>
  <si>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</si>
  <si>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</si>
  <si>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</si>
  <si>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</si>
  <si>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</si>
  <si>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</si>
  <si>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</si>
  <si>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</si>
  <si>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</si>
  <si>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</si>
  <si>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</si>
  <si>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</si>
  <si>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</si>
  <si>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</si>
  <si>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</si>
  <si>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</si>
  <si>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</si>
  <si>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</si>
  <si>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</si>
  <si>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</si>
  <si>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</si>
  <si>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</si>
  <si>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</si>
  <si>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</si>
  <si>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</si>
  <si>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</si>
  <si>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</si>
  <si>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</si>
  <si>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</si>
  <si>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</si>
  <si>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</si>
  <si>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</si>
  <si>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</si>
  <si>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</si>
  <si>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</si>
  <si>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</si>
  <si>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</si>
  <si>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</si>
  <si>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</si>
  <si>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</si>
  <si>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</si>
  <si>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</si>
  <si>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</si>
  <si>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</si>
  <si>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</si>
  <si>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</si>
  <si>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</si>
  <si>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</si>
  <si>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</si>
  <si>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</si>
  <si>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</si>
  <si>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</si>
  <si>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</si>
  <si>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</si>
  <si>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</si>
  <si>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</si>
  <si>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</si>
  <si>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</si>
  <si>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</si>
  <si>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</si>
  <si>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</si>
  <si>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</si>
  <si>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</si>
  <si>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</si>
  <si>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</si>
  <si>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</si>
  <si>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</si>
  <si>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</si>
  <si>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</si>
  <si>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</si>
  <si>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</si>
  <si>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</si>
  <si>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</si>
  <si>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</si>
  <si>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</si>
  <si>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</si>
  <si>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</si>
  <si>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</si>
  <si>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</si>
  <si>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</si>
  <si>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</si>
  <si>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</si>
  <si>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</si>
  <si>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</si>
  <si>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</si>
  <si>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</si>
  <si>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</si>
  <si>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</si>
  <si>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</si>
  <si>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</si>
  <si>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</si>
  <si>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</si>
  <si>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</si>
  <si>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</si>
  <si>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</si>
  <si>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</si>
  <si>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</si>
  <si>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</si>
  <si>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</si>
  <si>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</si>
  <si>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</si>
  <si>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</si>
  <si>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</si>
  <si>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</si>
  <si>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</si>
  <si>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</si>
  <si>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</si>
  <si>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</si>
  <si>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</si>
  <si>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</si>
  <si>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</si>
  <si>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</si>
  <si>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</si>
  <si>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</si>
  <si>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</si>
  <si>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</si>
  <si>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</si>
  <si>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</si>
  <si>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</si>
  <si>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</si>
  <si>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</si>
  <si>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</si>
  <si>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</si>
  <si>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</si>
  <si>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</si>
  <si>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</si>
  <si>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</si>
  <si>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</si>
  <si>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</si>
  <si>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</si>
  <si>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</si>
  <si>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</si>
  <si>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</si>
  <si>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</si>
  <si>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</si>
  <si>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</si>
  <si>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</si>
  <si>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</si>
  <si>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</si>
  <si>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</si>
  <si>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</si>
  <si>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</si>
  <si>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</si>
  <si>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</si>
  <si>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</si>
  <si>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</si>
  <si>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</si>
  <si>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</si>
  <si>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</si>
  <si>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</si>
  <si>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</si>
  <si>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</si>
  <si>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</si>
  <si>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</si>
  <si>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</si>
  <si>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</si>
  <si>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</si>
  <si>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</si>
  <si>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</si>
  <si>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</si>
  <si>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</si>
  <si>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</si>
  <si>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</si>
  <si>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</si>
  <si>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</si>
  <si>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</si>
  <si>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</si>
  <si>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</si>
  <si>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</si>
  <si>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</si>
  <si>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</si>
  <si>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</si>
  <si>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</si>
  <si>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</si>
  <si>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</si>
  <si>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</si>
  <si>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</si>
  <si>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</si>
  <si>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</si>
  <si>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</si>
  <si>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</si>
  <si>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</si>
  <si>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</si>
  <si>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</si>
  <si>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</si>
  <si>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</si>
  <si>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</si>
  <si>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</si>
  <si>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</si>
  <si>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</si>
  <si>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</si>
  <si>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</si>
  <si>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</si>
  <si>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</si>
  <si>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</si>
  <si>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</si>
  <si>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</si>
  <si>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</si>
  <si>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</si>
  <si>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</si>
  <si>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</si>
  <si>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</si>
  <si>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</si>
  <si>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</si>
  <si>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</si>
  <si>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</si>
  <si>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</si>
  <si>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</si>
  <si>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</si>
  <si>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</si>
  <si>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</si>
  <si>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</si>
  <si>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</si>
  <si>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</si>
  <si>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</si>
  <si>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</si>
  <si>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</si>
  <si>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</si>
  <si>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</si>
  <si>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</si>
  <si>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</si>
  <si>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</si>
  <si>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</si>
  <si>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</si>
  <si>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</si>
  <si>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</si>
  <si>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</si>
  <si>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</si>
  <si>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</si>
  <si>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</si>
  <si>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</si>
  <si>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</si>
  <si>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</si>
  <si>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</si>
  <si>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</si>
  <si>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</si>
  <si>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</si>
  <si>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</si>
  <si>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</si>
  <si>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</si>
  <si>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</si>
  <si>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</si>
  <si>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</si>
  <si>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</si>
  <si>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</si>
  <si>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</si>
  <si>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</si>
  <si>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</si>
  <si>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</si>
  <si>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</si>
  <si>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</si>
  <si>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</si>
  <si>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</si>
  <si>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</si>
  <si>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</si>
  <si>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</si>
  <si>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</si>
  <si>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</si>
  <si>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</si>
  <si>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</si>
  <si>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</si>
  <si>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</si>
  <si>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</si>
  <si>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</si>
  <si>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</si>
  <si>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</si>
  <si>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</si>
  <si>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</si>
  <si>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</si>
  <si>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</si>
  <si>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</si>
  <si>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</si>
  <si>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</si>
  <si>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</si>
  <si>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</si>
  <si>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</si>
  <si>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</si>
  <si>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</si>
  <si>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</si>
  <si>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</si>
  <si>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</si>
  <si>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</si>
  <si>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</si>
  <si>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</si>
  <si>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</si>
  <si>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</si>
  <si>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</si>
  <si>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</si>
  <si>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</si>
  <si>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</si>
  <si>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</si>
  <si>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</si>
  <si>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</si>
  <si>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</si>
  <si>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</si>
  <si>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</si>
  <si>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</si>
  <si>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</si>
  <si>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</si>
  <si>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</si>
  <si>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</si>
  <si>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</si>
  <si>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</si>
  <si>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</si>
  <si>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</si>
  <si>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</si>
  <si>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</si>
  <si>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</si>
  <si>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</si>
  <si>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</si>
  <si>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</si>
  <si>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</si>
  <si>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</si>
  <si>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</si>
  <si>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</si>
  <si>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</si>
  <si>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</si>
  <si>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</si>
  <si>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</si>
  <si>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</si>
  <si>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</si>
  <si>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</si>
  <si>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</si>
  <si>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</si>
  <si>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</si>
  <si>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</si>
  <si>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</si>
  <si>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</si>
  <si>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</si>
  <si>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</si>
  <si>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</si>
  <si>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</si>
  <si>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</si>
  <si>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</si>
  <si>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</si>
  <si>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</si>
  <si>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</si>
  <si>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</si>
  <si>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</si>
  <si>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</si>
  <si>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</si>
  <si>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</si>
  <si>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</si>
  <si>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</si>
  <si>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</si>
  <si>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</si>
  <si>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</si>
  <si>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</si>
  <si>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</si>
  <si>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</si>
  <si>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</si>
  <si>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</si>
  <si>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</si>
  <si>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</si>
  <si>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</si>
  <si>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</si>
  <si>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</si>
  <si>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</si>
  <si>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</si>
  <si>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</si>
  <si>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</si>
  <si>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</si>
  <si>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</si>
  <si>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</si>
  <si>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</si>
  <si>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</si>
  <si>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</si>
  <si>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</si>
  <si>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</si>
  <si>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</si>
  <si>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</si>
  <si>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</si>
  <si>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</si>
  <si>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</si>
  <si>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</si>
  <si>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</si>
  <si>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</si>
  <si>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</si>
  <si>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</si>
  <si>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</si>
  <si>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</si>
  <si>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</si>
  <si>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</si>
  <si>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</si>
  <si>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</si>
  <si>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</si>
  <si>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</si>
  <si>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</si>
  <si>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</si>
  <si>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</si>
  <si>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</si>
  <si>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</si>
  <si>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</si>
  <si>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</si>
  <si>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</si>
  <si>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</si>
  <si>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</si>
  <si>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</si>
  <si>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</si>
  <si>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</si>
  <si>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</si>
  <si>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</si>
  <si>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</si>
  <si>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</si>
  <si>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</si>
  <si>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</si>
  <si>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</si>
  <si>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</si>
  <si>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</si>
  <si>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</si>
  <si>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</si>
  <si>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</si>
  <si>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</si>
  <si>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</si>
  <si>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</si>
  <si>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</si>
  <si>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</si>
  <si>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</si>
  <si>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</si>
  <si>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</si>
  <si>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</si>
  <si>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</si>
  <si>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</si>
  <si>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</si>
  <si>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</si>
  <si>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</si>
  <si>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</si>
  <si>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</si>
  <si>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</si>
  <si>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</si>
  <si>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</si>
  <si>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</si>
  <si>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</si>
  <si>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</si>
  <si>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</si>
  <si>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</si>
  <si>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</si>
  <si>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</si>
  <si>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</si>
  <si>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</si>
  <si>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</si>
  <si>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</si>
  <si>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</si>
  <si>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</si>
  <si>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</si>
  <si>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</si>
  <si>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</si>
  <si>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</si>
  <si>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</si>
  <si>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</si>
  <si>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</si>
  <si>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</si>
  <si>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</si>
  <si>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</si>
  <si>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</si>
  <si>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</si>
  <si>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</si>
  <si>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</si>
  <si>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</si>
  <si>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</si>
  <si>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</si>
  <si>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</si>
  <si>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</si>
  <si>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</si>
  <si>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</si>
  <si>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</si>
  <si>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</si>
  <si>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</si>
  <si>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</si>
  <si>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</si>
  <si>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</si>
  <si>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</si>
  <si>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</si>
  <si>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</si>
  <si>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</si>
  <si>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</si>
  <si>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</si>
  <si>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</si>
  <si>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</si>
  <si>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</si>
  <si>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</si>
  <si>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</si>
  <si>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</si>
  <si>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</si>
  <si>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</si>
  <si>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</si>
  <si>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</si>
  <si>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</si>
  <si>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</si>
  <si>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</si>
  <si>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</si>
  <si>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</si>
  <si>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</si>
  <si>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</si>
  <si>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</si>
  <si>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</si>
  <si>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</si>
  <si>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</si>
  <si>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</si>
  <si>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</si>
  <si>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</si>
  <si>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</si>
  <si>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</si>
  <si>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</si>
  <si>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</si>
  <si>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</si>
  <si>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</si>
  <si>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</si>
  <si>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</si>
  <si>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</si>
  <si>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</si>
  <si>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</si>
  <si>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</si>
  <si>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</si>
  <si>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</si>
  <si>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</si>
  <si>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</si>
  <si>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</si>
  <si>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</si>
  <si>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</si>
  <si>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</si>
  <si>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</si>
  <si>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</si>
  <si>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</si>
  <si>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</si>
  <si>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</si>
  <si>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</si>
  <si>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</si>
  <si>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</si>
  <si>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</si>
  <si>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</si>
  <si>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</si>
  <si>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</si>
  <si>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</si>
  <si>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</si>
  <si>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</si>
  <si>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</si>
  <si>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</si>
  <si>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</si>
  <si>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</si>
  <si>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</si>
  <si>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</si>
  <si>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</si>
  <si>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</si>
  <si>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</si>
  <si>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</si>
  <si>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</si>
  <si>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</si>
  <si>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</si>
  <si>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</si>
  <si>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</si>
  <si>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</si>
  <si>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</si>
  <si>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</si>
  <si>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</si>
  <si>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</si>
  <si>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</si>
  <si>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</si>
  <si>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</si>
  <si>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</si>
  <si>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</si>
  <si>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</si>
  <si>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</si>
  <si>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</si>
  <si>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</si>
  <si>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</si>
  <si>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</si>
  <si>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</si>
  <si>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</si>
  <si>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</si>
  <si>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</si>
  <si>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</si>
  <si>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</si>
  <si>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</si>
  <si>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</si>
  <si>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</si>
  <si>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</si>
  <si>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</si>
  <si>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</si>
  <si>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</si>
  <si>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</si>
  <si>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</si>
  <si>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</si>
  <si>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</si>
  <si>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</si>
  <si>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</si>
  <si>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</si>
  <si>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</si>
  <si>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</si>
  <si>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</si>
  <si>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</si>
  <si>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</si>
  <si>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</si>
  <si>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</si>
  <si>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</si>
  <si>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</si>
  <si>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</si>
  <si>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</si>
  <si>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</si>
  <si>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</si>
  <si>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</si>
  <si>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</si>
  <si>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</si>
  <si>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</si>
  <si>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</si>
  <si>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</si>
  <si>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</si>
  <si>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</si>
  <si>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</si>
  <si>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</si>
  <si>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</si>
  <si>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</si>
  <si>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</si>
  <si>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</si>
  <si>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</si>
  <si>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</si>
  <si>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</si>
  <si>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</si>
  <si>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</si>
  <si>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</si>
  <si>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</si>
  <si>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</si>
  <si>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</si>
  <si>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</si>
  <si>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</si>
  <si>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</si>
  <si>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</si>
  <si>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</si>
  <si>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</si>
  <si>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</si>
  <si>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</si>
  <si>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</si>
  <si>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</si>
  <si>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</si>
  <si>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</si>
  <si>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</si>
  <si>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</si>
  <si>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</si>
  <si>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</si>
  <si>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</si>
  <si>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</si>
  <si>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</si>
  <si>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</si>
  <si>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</si>
  <si>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</si>
  <si>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</si>
  <si>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</si>
  <si>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</si>
  <si>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</si>
  <si>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</si>
  <si>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</si>
  <si>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</si>
  <si>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</si>
  <si>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</si>
  <si>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</si>
  <si>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</si>
  <si>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</si>
  <si>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</si>
  <si>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</si>
  <si>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</si>
  <si>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</si>
  <si>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</si>
  <si>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</si>
  <si>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</si>
  <si>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</si>
  <si>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</si>
  <si>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</si>
  <si>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</si>
  <si>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</si>
  <si>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</si>
  <si>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</si>
  <si>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</si>
  <si>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</si>
  <si>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</si>
  <si>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</si>
  <si>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</si>
  <si>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</si>
  <si>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</si>
  <si>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</si>
  <si>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</si>
  <si>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</si>
  <si>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</si>
  <si>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</si>
  <si>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</si>
  <si>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</si>
  <si>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</si>
  <si>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</si>
  <si>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</si>
  <si>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</si>
  <si>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</si>
  <si>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</si>
  <si>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</si>
  <si>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</si>
  <si>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</si>
  <si>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</si>
  <si>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</si>
  <si>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</si>
  <si>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</si>
  <si>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</si>
  <si>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</si>
  <si>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</si>
  <si>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</si>
  <si>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</si>
  <si>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</si>
  <si>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</si>
  <si>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</si>
  <si>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</si>
  <si>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</si>
  <si>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</si>
  <si>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</si>
  <si>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</si>
  <si>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</si>
  <si>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</si>
  <si>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</si>
  <si>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</si>
  <si>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</si>
  <si>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</si>
  <si>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</si>
  <si>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</si>
  <si>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</si>
  <si>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</si>
  <si>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</si>
  <si>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</si>
  <si>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</si>
  <si>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</si>
  <si>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</si>
  <si>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</si>
  <si>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</si>
  <si>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</si>
  <si>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</si>
  <si>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</si>
  <si>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</si>
  <si>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</si>
  <si>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</si>
  <si>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</si>
  <si>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</si>
  <si>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</si>
  <si>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</si>
  <si>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</si>
  <si>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</si>
  <si>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</si>
  <si>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</si>
  <si>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</si>
  <si>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</si>
  <si>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</si>
  <si>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</si>
  <si>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</si>
  <si>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</si>
  <si>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</si>
  <si>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</si>
  <si>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</si>
  <si>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</si>
  <si>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</si>
  <si>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</si>
  <si>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</si>
  <si>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</si>
  <si>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</si>
  <si>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</si>
  <si>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</si>
  <si>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</si>
  <si>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</si>
  <si>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</si>
  <si>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</si>
  <si>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</si>
  <si>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</si>
  <si>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</si>
  <si>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</si>
  <si>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</si>
  <si>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</si>
  <si>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</si>
  <si>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</si>
  <si>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</si>
  <si>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</si>
  <si>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</si>
  <si>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</si>
  <si>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</si>
  <si>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</si>
  <si>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</si>
  <si>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</si>
  <si>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</si>
  <si>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</si>
  <si>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</si>
  <si>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</si>
  <si>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</si>
  <si>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</si>
  <si>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</si>
  <si>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</si>
  <si>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</si>
  <si>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</si>
  <si>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</si>
  <si>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</si>
  <si>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</si>
  <si>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</si>
  <si>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</si>
  <si>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</si>
  <si>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</si>
  <si>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</si>
  <si>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</si>
  <si>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</si>
  <si>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</si>
  <si>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</si>
  <si>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</si>
  <si>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</si>
  <si>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</si>
  <si>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</si>
  <si>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</si>
  <si>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</si>
  <si>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</si>
  <si>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</si>
  <si>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</si>
  <si>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</si>
  <si>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</si>
  <si>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</si>
  <si>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</si>
  <si>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</si>
  <si>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</si>
  <si>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</si>
  <si>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</si>
  <si>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</si>
  <si>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</si>
  <si>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</si>
  <si>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</si>
  <si>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</si>
  <si>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</si>
  <si>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</si>
  <si>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</si>
  <si>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</si>
  <si>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</si>
  <si>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</si>
  <si>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</si>
  <si>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</si>
  <si>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</si>
  <si>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</si>
  <si>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</si>
  <si>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</si>
  <si>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</si>
  <si>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</si>
  <si>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</si>
  <si>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</si>
  <si>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</si>
  <si>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</si>
  <si>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</si>
  <si>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</si>
  <si>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</si>
  <si>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</si>
  <si>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</si>
  <si>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</si>
  <si>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</si>
  <si>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</si>
  <si>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</si>
  <si>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</si>
  <si>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</si>
  <si>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</si>
  <si>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</si>
  <si>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</si>
  <si>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</si>
  <si>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</si>
  <si>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</si>
  <si>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</si>
  <si>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</si>
  <si>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</si>
  <si>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</si>
  <si>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</si>
  <si>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</si>
  <si>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</si>
  <si>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</si>
  <si>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</si>
  <si>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</si>
  <si>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</si>
  <si>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</si>
  <si>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</si>
  <si>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</si>
  <si>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</si>
  <si>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</si>
  <si>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</si>
  <si>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</si>
  <si>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</si>
  <si>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</si>
  <si>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</si>
  <si>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</si>
  <si>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</si>
  <si>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</si>
  <si>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</si>
  <si>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</si>
  <si>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</si>
  <si>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</si>
  <si>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</si>
  <si>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</si>
  <si>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</si>
  <si>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</si>
  <si>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</si>
  <si>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</si>
  <si>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</si>
  <si>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</si>
  <si>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</si>
  <si>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</si>
  <si>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</si>
  <si>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</si>
  <si>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</si>
  <si>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</si>
  <si>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</si>
  <si>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</si>
  <si>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</si>
  <si>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</si>
  <si>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</si>
  <si>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</si>
  <si>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</si>
  <si>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</si>
  <si>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</si>
  <si>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</si>
  <si>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</si>
  <si>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</si>
  <si>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</si>
  <si>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</si>
  <si>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</si>
  <si>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</si>
  <si>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</si>
  <si>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</si>
  <si>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</si>
  <si>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</si>
  <si>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</si>
  <si>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</si>
  <si>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</si>
  <si>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</si>
  <si>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</si>
  <si>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</si>
  <si>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</si>
  <si>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</si>
  <si>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</si>
  <si>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</si>
  <si>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</si>
  <si>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</si>
  <si>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</si>
  <si>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</si>
  <si>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</si>
  <si>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</si>
  <si>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</si>
  <si>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</si>
  <si>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</si>
  <si>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</si>
  <si>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</si>
  <si>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</si>
  <si>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</si>
  <si>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</si>
  <si>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</si>
  <si>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</si>
  <si>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</si>
  <si>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</si>
  <si>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</si>
  <si>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</si>
  <si>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</si>
  <si>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</si>
  <si>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</si>
  <si>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</si>
  <si>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</si>
  <si>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</si>
  <si>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</si>
  <si>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</si>
  <si>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</si>
  <si>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</si>
  <si>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</si>
  <si>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</si>
  <si>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</si>
  <si>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</si>
  <si>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</si>
  <si>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</si>
  <si>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</si>
  <si>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</si>
  <si>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</si>
  <si>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</si>
  <si>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</si>
  <si>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</si>
  <si>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</si>
  <si>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</si>
  <si>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</si>
  <si>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</si>
  <si>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</si>
  <si>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</si>
  <si>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</si>
  <si>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</si>
  <si>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</si>
  <si>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</si>
  <si>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</si>
  <si>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</si>
  <si>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</si>
  <si>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</si>
  <si>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</si>
  <si>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</si>
  <si>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</si>
  <si>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</si>
  <si>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</si>
  <si>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</si>
  <si>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</si>
  <si>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</si>
  <si>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</si>
  <si>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</si>
  <si>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</si>
  <si>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</si>
  <si>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</si>
  <si>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</si>
  <si>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</si>
  <si>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</si>
  <si>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</si>
  <si>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</si>
  <si>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</si>
  <si>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陈颖</t>
  </si>
  <si>
    <t>核定资产</t>
  </si>
  <si>
    <t>房地产市场价值</t>
  </si>
  <si>
    <t>北京市</t>
  </si>
  <si>
    <t>企业</t>
  </si>
  <si>
    <t>出让</t>
  </si>
  <si>
    <t>办公项目</t>
  </si>
  <si>
    <t>是</t>
  </si>
  <si>
    <t>地上</t>
  </si>
  <si>
    <t>办公楼</t>
  </si>
  <si>
    <t>办公</t>
    <phoneticPr fontId="7" type="noConversion"/>
  </si>
  <si>
    <t>成新度</t>
  </si>
  <si>
    <t>利息：取LPR加浮动点数</t>
  </si>
  <si>
    <t>收益法 (元)</t>
  </si>
  <si>
    <t>年份</t>
    <phoneticPr fontId="140" type="noConversion"/>
  </si>
  <si>
    <t>租金单价</t>
    <phoneticPr fontId="140" type="noConversion"/>
  </si>
  <si>
    <t>面积</t>
    <phoneticPr fontId="140" type="noConversion"/>
  </si>
  <si>
    <t>总价</t>
    <phoneticPr fontId="140" type="noConversion"/>
  </si>
  <si>
    <r>
      <t>2（</t>
    </r>
    <r>
      <rPr>
        <sz val="11"/>
        <color theme="1"/>
        <rFont val="宋体"/>
        <family val="3"/>
        <charset val="134"/>
        <scheme val="minor"/>
      </rPr>
      <t>0.57）</t>
    </r>
    <phoneticPr fontId="140" type="noConversion"/>
  </si>
  <si>
    <t>增长率/2年</t>
    <phoneticPr fontId="140" type="noConversion"/>
  </si>
  <si>
    <t>合计</t>
    <phoneticPr fontId="140" type="noConversion"/>
  </si>
  <si>
    <t>钢混</t>
  </si>
  <si>
    <t>非生产用房</t>
  </si>
  <si>
    <t>按租金收入计税</t>
  </si>
  <si>
    <t>金洲大厦</t>
    <phoneticPr fontId="3" type="noConversion"/>
  </si>
  <si>
    <t>20-30（含）</t>
  </si>
  <si>
    <t>较好</t>
  </si>
  <si>
    <t>七通</t>
  </si>
  <si>
    <t>快速路</t>
    <phoneticPr fontId="32" type="noConversion"/>
  </si>
  <si>
    <t>主干道</t>
    <phoneticPr fontId="32" type="noConversion"/>
  </si>
  <si>
    <t>次干道</t>
    <phoneticPr fontId="32" type="noConversion"/>
  </si>
  <si>
    <t>支路</t>
    <phoneticPr fontId="32" type="noConversion"/>
  </si>
  <si>
    <t>写字楼</t>
  </si>
  <si>
    <t>写字楼</t>
    <phoneticPr fontId="32" type="noConversion"/>
  </si>
  <si>
    <t>钢混</t>
    <phoneticPr fontId="32" type="noConversion"/>
  </si>
  <si>
    <t>普通装修</t>
  </si>
  <si>
    <t>普通装修</t>
    <phoneticPr fontId="32" type="noConversion"/>
  </si>
  <si>
    <t>物业公司管理</t>
  </si>
  <si>
    <t>物业公司管理</t>
    <phoneticPr fontId="32" type="noConversion"/>
  </si>
  <si>
    <t>标准层高</t>
  </si>
  <si>
    <t>标准层高</t>
    <phoneticPr fontId="32" type="noConversion"/>
  </si>
  <si>
    <t>办公</t>
    <phoneticPr fontId="32" type="noConversion"/>
  </si>
  <si>
    <t>商务金融用地（办公类）</t>
  </si>
  <si>
    <t>与级别开发程度不一致</t>
  </si>
  <si>
    <t>通路</t>
  </si>
  <si>
    <t>通电</t>
  </si>
  <si>
    <t>通讯</t>
  </si>
  <si>
    <t>通上水</t>
  </si>
  <si>
    <t>通下水</t>
  </si>
  <si>
    <t>平整</t>
  </si>
  <si>
    <t>按公示增长率计算</t>
  </si>
  <si>
    <t>容积率修正</t>
  </si>
  <si>
    <t>好</t>
  </si>
  <si>
    <t>一般</t>
  </si>
  <si>
    <t>未包含在土地购买价格中</t>
  </si>
  <si>
    <t>部分缴纳</t>
  </si>
  <si>
    <t>已包含在土地取得成本中</t>
  </si>
  <si>
    <t>主干道</t>
  </si>
  <si>
    <t>https://paimai.jd.com/279520698</t>
    <phoneticPr fontId="140" type="noConversion"/>
  </si>
  <si>
    <t>https://sf-item.taobao.com/sf_item/657585093058.htm?spm=a213w.7398504.paiList.7.292b4714UfQxHh&amp;track_id=f6fc09a4-0970-4c9b-9be5-0292042582b4</t>
    <phoneticPr fontId="140" type="noConversion"/>
  </si>
  <si>
    <t>https://sf-item.taobao.com/sf_item/650892645545.htm?spm=a213w.7398504.paiList.26.292b4714UfQxHh&amp;track_id=f6fc09a4-0970-4c9b-9be5-0292042582b4</t>
    <phoneticPr fontId="140" type="noConversion"/>
  </si>
  <si>
    <t>https://sf-item.taobao.com/sf_item/649660712769.htm?spm=a213w.7398504.paiList.28.292b4714UfQxHh&amp;track_id=f6fc09a4-0970-4c9b-9be5-0292042582b4</t>
    <phoneticPr fontId="140" type="noConversion"/>
  </si>
  <si>
    <t>A</t>
    <phoneticPr fontId="140" type="noConversion"/>
  </si>
  <si>
    <t>B</t>
    <phoneticPr fontId="140" type="noConversion"/>
  </si>
  <si>
    <t>北京市海淀区紫金数码园3号楼10层1001</t>
    <phoneticPr fontId="3" type="noConversion"/>
  </si>
  <si>
    <t>紫金数码园</t>
    <phoneticPr fontId="3" type="noConversion"/>
  </si>
  <si>
    <t>正常</t>
  </si>
  <si>
    <t>30-40（含）</t>
  </si>
  <si>
    <t>锦秋国际大厦</t>
    <phoneticPr fontId="3" type="noConversion"/>
  </si>
  <si>
    <t>5层A08</t>
    <phoneticPr fontId="3" type="noConversion"/>
  </si>
  <si>
    <t>中关村东路</t>
    <phoneticPr fontId="32" type="noConversion"/>
  </si>
  <si>
    <t>知春路</t>
    <phoneticPr fontId="32" type="noConversion"/>
  </si>
  <si>
    <t>比较法-办公</t>
  </si>
  <si>
    <t>押一</t>
  </si>
  <si>
    <t>现房</t>
  </si>
  <si>
    <t>已注销</t>
  </si>
  <si>
    <t>楼面单价</t>
  </si>
  <si>
    <t>快速路</t>
  </si>
  <si>
    <t>盈都大厦</t>
    <phoneticPr fontId="3" type="noConversion"/>
  </si>
  <si>
    <t>城市快速路——万泉河路</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</si>
</sst>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FF0000"/>
      <name val="宋体"/>
      <family val="3"/>
      <charset val="134"/>
      <scheme val="minor"/>
    </font>
    <font>
      <u/>
      <sz val="11"/>
      <color theme="10"/>
      <name val="宋体"/>
      <family val="3"/>
      <charset val="134"/>
      <scheme val="minor"/>
    </font>
    <font>
      <sz val="1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applyNumberFormat="0" applyFill="0" applyBorder="0" applyAlignment="0" applyProtection="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98" fillId="0" borderId="0" xfId="0" applyFont="1" applyAlignment="1">
      <alignment horizontal="center" vertical="center"/>
    </xf>
    <xf numFmtId="0" fontId="254" fillId="0" borderId="0" xfId="0" applyFont="1" applyAlignment="1">
      <alignment horizontal="center" vertical="center"/>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255" fillId="0" borderId="0" xfId="17">
      <alignment vertical="center"/>
    </xf>
    <xf numFmtId="0" fontId="97" fillId="0" borderId="37" xfId="0" applyNumberFormat="1" applyFont="1" applyFill="1" applyBorder="1" applyAlignment="1" applyProtection="1">
      <alignment horizontal="center" vertical="center" wrapText="1"/>
      <protection locked="0"/>
    </xf>
    <xf numFmtId="0" fontId="256" fillId="0" borderId="37" xfId="0" applyNumberFormat="1" applyFont="1" applyFill="1" applyBorder="1" applyAlignment="1" applyProtection="1">
      <alignment horizontal="center" vertical="center" wrapText="1"/>
      <protection locked="0"/>
    </xf>
    <xf numFmtId="0" fontId="98" fillId="0" borderId="0" xfId="0" applyFont="1">
      <alignment vertical="center"/>
    </xf>
    <xf numFmtId="10" fontId="254" fillId="0" borderId="0" xfId="0" applyNumberFormat="1" applyFont="1">
      <alignment vertical="center"/>
    </xf>
    <xf numFmtId="10" fontId="46" fillId="0" borderId="1" xfId="0" applyNumberFormat="1" applyFont="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98" fillId="0" borderId="0" xfId="0" applyFont="1" applyAlignment="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49" fillId="7" borderId="6" xfId="0" applyNumberFormat="1" applyFont="1" applyFill="1" applyBorder="1" applyAlignment="1" applyProtection="1">
      <alignment horizontal="center" vertical="center"/>
    </xf>
    <xf numFmtId="0" fontId="49" fillId="7" borderId="9" xfId="0" applyFont="1" applyFill="1" applyBorder="1" applyAlignment="1" applyProtection="1">
      <alignment horizontal="center" vertical="center"/>
    </xf>
    <xf numFmtId="0" fontId="49" fillId="7" borderId="28" xfId="0" applyFont="1" applyFill="1" applyBorder="1" applyAlignment="1" applyProtection="1">
      <alignment horizontal="right" vertical="center"/>
    </xf>
    <xf numFmtId="0" fontId="49" fillId="7" borderId="21" xfId="0" applyFont="1" applyFill="1" applyBorder="1" applyAlignment="1" applyProtection="1">
      <alignment horizontal="center" vertical="center"/>
    </xf>
    <xf numFmtId="49" fontId="54" fillId="7" borderId="11" xfId="0" applyNumberFormat="1" applyFont="1" applyFill="1" applyBorder="1" applyAlignment="1" applyProtection="1">
      <alignment vertical="center"/>
    </xf>
    <xf numFmtId="0" fontId="54" fillId="7" borderId="13" xfId="0" applyFont="1" applyFill="1" applyBorder="1" applyAlignment="1" applyProtection="1">
      <alignment vertical="center" wrapText="1"/>
    </xf>
    <xf numFmtId="0" fontId="49" fillId="7" borderId="15" xfId="0" applyFont="1" applyFill="1" applyBorder="1" applyAlignment="1" applyProtection="1">
      <alignment horizontal="center" vertical="center"/>
    </xf>
    <xf numFmtId="0" fontId="55" fillId="7" borderId="13" xfId="0" applyFont="1" applyFill="1" applyBorder="1" applyAlignment="1" applyProtection="1">
      <alignment vertical="center"/>
    </xf>
    <xf numFmtId="0" fontId="49" fillId="7" borderId="4" xfId="0" applyFont="1" applyFill="1" applyBorder="1" applyAlignment="1" applyProtection="1">
      <alignment horizontal="right" vertical="center"/>
    </xf>
    <xf numFmtId="0" fontId="49" fillId="7" borderId="71" xfId="0" applyFont="1" applyFill="1" applyBorder="1" applyAlignment="1" applyProtection="1">
      <alignment horizontal="center" vertical="center"/>
    </xf>
    <xf numFmtId="49" fontId="49" fillId="7" borderId="11" xfId="0" applyNumberFormat="1" applyFont="1" applyFill="1" applyBorder="1" applyAlignment="1" applyProtection="1">
      <alignment horizontal="left" vertical="center"/>
    </xf>
    <xf numFmtId="0" fontId="49" fillId="7" borderId="13" xfId="0" applyFont="1" applyFill="1" applyBorder="1" applyAlignment="1" applyProtection="1">
      <alignment vertical="top" wrapText="1"/>
    </xf>
    <xf numFmtId="0" fontId="54" fillId="7" borderId="22" xfId="0" applyFont="1" applyFill="1" applyBorder="1" applyAlignment="1" applyProtection="1">
      <alignment horizontal="center" vertical="center"/>
    </xf>
    <xf numFmtId="0" fontId="49" fillId="7" borderId="13" xfId="0" applyFont="1" applyFill="1" applyBorder="1" applyAlignment="1" applyProtection="1">
      <alignment vertical="center"/>
    </xf>
    <xf numFmtId="0" fontId="49" fillId="7" borderId="1" xfId="0" applyFont="1" applyFill="1" applyBorder="1" applyAlignment="1" applyProtection="1">
      <alignment horizontal="left" vertical="center"/>
    </xf>
    <xf numFmtId="0" fontId="54" fillId="7" borderId="24" xfId="0" applyFont="1" applyFill="1" applyBorder="1" applyAlignment="1" applyProtection="1">
      <alignment horizontal="center" vertical="center"/>
    </xf>
    <xf numFmtId="49" fontId="49" fillId="7" borderId="35" xfId="0" applyNumberFormat="1" applyFont="1" applyFill="1" applyBorder="1" applyAlignment="1" applyProtection="1">
      <alignment horizontal="left" vertical="center"/>
    </xf>
    <xf numFmtId="0" fontId="49" fillId="7" borderId="15" xfId="0" applyFont="1" applyFill="1" applyBorder="1" applyAlignment="1" applyProtection="1">
      <alignment vertical="top" wrapText="1"/>
    </xf>
    <xf numFmtId="0" fontId="54" fillId="7" borderId="0" xfId="0" applyFont="1" applyFill="1" applyBorder="1" applyAlignment="1" applyProtection="1">
      <alignment horizontal="center" vertical="center"/>
    </xf>
    <xf numFmtId="0" fontId="49" fillId="7" borderId="15" xfId="0" applyFont="1" applyFill="1" applyBorder="1" applyAlignment="1" applyProtection="1">
      <alignment vertical="center"/>
    </xf>
    <xf numFmtId="0" fontId="49" fillId="7" borderId="3" xfId="0" applyFont="1" applyFill="1" applyBorder="1" applyAlignment="1" applyProtection="1">
      <alignment horizontal="left" vertical="center"/>
    </xf>
    <xf numFmtId="49" fontId="54" fillId="7" borderId="14" xfId="0" applyNumberFormat="1" applyFont="1" applyFill="1" applyBorder="1" applyAlignment="1" applyProtection="1">
      <alignment vertical="center"/>
    </xf>
    <xf numFmtId="0" fontId="54" fillId="7" borderId="15" xfId="0" applyFont="1" applyFill="1" applyBorder="1" applyAlignment="1" applyProtection="1">
      <alignment horizontal="center" vertical="center"/>
    </xf>
    <xf numFmtId="0" fontId="49" fillId="7" borderId="2" xfId="0" applyFont="1" applyFill="1" applyBorder="1" applyAlignment="1" applyProtection="1">
      <alignment vertical="top" wrapText="1"/>
    </xf>
    <xf numFmtId="181" fontId="54" fillId="7" borderId="24" xfId="0" applyNumberFormat="1" applyFont="1" applyFill="1" applyBorder="1" applyAlignment="1" applyProtection="1">
      <alignment horizontal="center" vertical="center"/>
    </xf>
    <xf numFmtId="0" fontId="54" fillId="7" borderId="1" xfId="0" applyFont="1" applyFill="1" applyBorder="1" applyAlignment="1" applyProtection="1">
      <alignment horizontal="center" vertical="center"/>
    </xf>
    <xf numFmtId="0" fontId="49" fillId="7" borderId="22" xfId="0" applyFont="1" applyFill="1" applyBorder="1" applyAlignment="1" applyProtection="1">
      <alignment vertical="center"/>
    </xf>
    <xf numFmtId="0" fontId="49" fillId="7" borderId="13" xfId="0" applyFont="1" applyFill="1" applyBorder="1" applyAlignment="1" applyProtection="1">
      <alignment horizontal="left" vertical="center"/>
    </xf>
    <xf numFmtId="181" fontId="54" fillId="7" borderId="61" xfId="0" applyNumberFormat="1" applyFont="1" applyFill="1" applyBorder="1" applyAlignment="1" applyProtection="1">
      <alignment horizontal="center" vertical="center"/>
      <protection locked="0"/>
    </xf>
    <xf numFmtId="49" fontId="54" fillId="7" borderId="41" xfId="0" applyNumberFormat="1" applyFont="1" applyFill="1" applyBorder="1" applyAlignment="1" applyProtection="1">
      <alignment vertical="center"/>
    </xf>
    <xf numFmtId="0" fontId="183" fillId="7" borderId="1" xfId="0" applyFont="1" applyFill="1" applyBorder="1" applyAlignment="1" applyProtection="1">
      <alignment horizontal="right" vertical="center" wrapText="1"/>
    </xf>
    <xf numFmtId="0" fontId="145" fillId="7" borderId="1" xfId="0" applyFont="1" applyFill="1" applyBorder="1" applyAlignment="1" applyProtection="1">
      <alignment horizontal="center" vertical="center"/>
      <protection locked="0"/>
    </xf>
    <xf numFmtId="181" fontId="54" fillId="7" borderId="61"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vertical="center"/>
    </xf>
    <xf numFmtId="0" fontId="49" fillId="7" borderId="118" xfId="0" applyFont="1" applyFill="1" applyBorder="1" applyAlignment="1" applyProtection="1">
      <alignment vertical="center" wrapText="1"/>
    </xf>
    <xf numFmtId="0" fontId="54" fillId="7" borderId="78" xfId="0" applyFont="1" applyFill="1" applyBorder="1" applyAlignment="1" applyProtection="1">
      <alignment horizontal="center" vertical="center"/>
      <protection locked="0"/>
    </xf>
    <xf numFmtId="0" fontId="49" fillId="7" borderId="78" xfId="0" applyFont="1" applyFill="1" applyBorder="1" applyAlignment="1" applyProtection="1">
      <alignment vertical="center"/>
    </xf>
    <xf numFmtId="0" fontId="49" fillId="7" borderId="78" xfId="0" applyFont="1" applyFill="1" applyBorder="1" applyAlignment="1" applyProtection="1">
      <alignment horizontal="left" vertical="center"/>
    </xf>
    <xf numFmtId="181" fontId="54" fillId="7" borderId="79" xfId="0" applyNumberFormat="1" applyFont="1" applyFill="1" applyBorder="1" applyAlignment="1" applyProtection="1">
      <alignment horizontal="center" vertical="center"/>
    </xf>
    <xf numFmtId="49" fontId="54" fillId="7" borderId="41" xfId="0" applyNumberFormat="1" applyFont="1" applyFill="1" applyBorder="1" applyAlignment="1" applyProtection="1">
      <alignment horizontal="left" vertical="center"/>
    </xf>
    <xf numFmtId="0" fontId="54" fillId="7" borderId="2" xfId="0" applyFont="1" applyFill="1" applyBorder="1" applyAlignment="1" applyProtection="1">
      <alignment horizontal="left" vertical="center"/>
    </xf>
    <xf numFmtId="0" fontId="54" fillId="7" borderId="2" xfId="0" applyFont="1" applyFill="1" applyBorder="1" applyAlignment="1" applyProtection="1">
      <alignment horizontal="center" vertical="center"/>
    </xf>
    <xf numFmtId="0" fontId="49" fillId="7" borderId="15" xfId="0" applyFont="1" applyFill="1" applyBorder="1" applyAlignment="1" applyProtection="1">
      <alignment horizontal="left" vertical="center"/>
    </xf>
    <xf numFmtId="181" fontId="49" fillId="7" borderId="53" xfId="0" applyNumberFormat="1" applyFont="1" applyFill="1" applyBorder="1" applyAlignment="1" applyProtection="1">
      <alignment horizontal="center" vertical="center"/>
    </xf>
    <xf numFmtId="49" fontId="49" fillId="7" borderId="23" xfId="0" applyNumberFormat="1" applyFont="1" applyFill="1" applyBorder="1" applyAlignment="1" applyProtection="1">
      <alignment horizontal="left" vertical="center"/>
    </xf>
    <xf numFmtId="0" fontId="103" fillId="7" borderId="5" xfId="0" applyFont="1" applyFill="1" applyBorder="1" applyAlignment="1" applyProtection="1">
      <alignment horizontal="center" vertical="center"/>
    </xf>
    <xf numFmtId="0" fontId="49" fillId="7" borderId="5" xfId="0" applyFont="1" applyFill="1" applyBorder="1" applyAlignment="1" applyProtection="1">
      <alignment horizontal="left" vertical="center" wrapText="1"/>
    </xf>
    <xf numFmtId="0" fontId="49" fillId="7" borderId="54" xfId="0" applyFont="1" applyFill="1" applyBorder="1" applyAlignment="1" applyProtection="1">
      <alignment horizontal="left" vertical="center" wrapText="1"/>
    </xf>
    <xf numFmtId="179" fontId="54" fillId="7" borderId="48" xfId="0" applyNumberFormat="1" applyFont="1" applyFill="1" applyBorder="1" applyAlignment="1" applyProtection="1">
      <alignment horizontal="center" vertical="center"/>
    </xf>
    <xf numFmtId="0" fontId="49" fillId="7" borderId="1" xfId="0" applyFont="1" applyFill="1" applyBorder="1" applyAlignment="1" applyProtection="1">
      <alignment horizontal="center" vertical="center"/>
    </xf>
    <xf numFmtId="0" fontId="49" fillId="7" borderId="2" xfId="0" applyFont="1" applyFill="1" applyBorder="1" applyAlignment="1" applyProtection="1">
      <alignment horizontal="left" vertical="center"/>
    </xf>
    <xf numFmtId="181" fontId="49" fillId="7" borderId="8" xfId="0" applyNumberFormat="1" applyFont="1" applyFill="1" applyBorder="1" applyAlignment="1" applyProtection="1">
      <alignment horizontal="center" vertical="center"/>
    </xf>
    <xf numFmtId="181" fontId="49" fillId="7" borderId="24" xfId="0" applyNumberFormat="1" applyFont="1" applyFill="1" applyBorder="1" applyAlignment="1" applyProtection="1">
      <alignment horizontal="center" vertical="center"/>
    </xf>
    <xf numFmtId="0" fontId="49" fillId="7" borderId="48" xfId="0" applyFont="1" applyFill="1" applyBorder="1" applyAlignment="1" applyProtection="1">
      <alignment horizontal="center" vertical="center"/>
    </xf>
    <xf numFmtId="0" fontId="49" fillId="7" borderId="5" xfId="0" applyFont="1" applyFill="1" applyBorder="1" applyAlignment="1" applyProtection="1">
      <alignment vertical="center"/>
    </xf>
    <xf numFmtId="0" fontId="49" fillId="7" borderId="54" xfId="0" applyFont="1" applyFill="1" applyBorder="1" applyAlignment="1" applyProtection="1">
      <alignment horizontal="center" vertical="center"/>
    </xf>
    <xf numFmtId="0" fontId="49" fillId="7" borderId="1" xfId="0" applyFont="1" applyFill="1" applyBorder="1" applyAlignment="1" applyProtection="1">
      <alignment vertical="center" wrapText="1"/>
    </xf>
    <xf numFmtId="0" fontId="49" fillId="7" borderId="1" xfId="0" applyFont="1" applyFill="1" applyBorder="1" applyAlignment="1" applyProtection="1">
      <alignment vertical="center"/>
    </xf>
    <xf numFmtId="0" fontId="49" fillId="7" borderId="24" xfId="0" applyFont="1" applyFill="1" applyBorder="1" applyAlignment="1" applyProtection="1">
      <alignment horizontal="center" vertical="center"/>
    </xf>
    <xf numFmtId="10" fontId="49" fillId="7" borderId="24"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horizontal="left" vertical="center"/>
    </xf>
    <xf numFmtId="0" fontId="49" fillId="7" borderId="78" xfId="0" applyFont="1" applyFill="1" applyBorder="1" applyAlignment="1" applyProtection="1">
      <alignment horizontal="center" vertical="center"/>
    </xf>
    <xf numFmtId="0" fontId="49" fillId="7" borderId="78" xfId="0" applyFont="1" applyFill="1" applyBorder="1" applyAlignment="1" applyProtection="1">
      <alignment horizontal="left" vertical="center" wrapText="1"/>
    </xf>
    <xf numFmtId="181" fontId="49" fillId="7" borderId="79" xfId="0" applyNumberFormat="1" applyFont="1" applyFill="1" applyBorder="1" applyAlignment="1" applyProtection="1">
      <alignment horizontal="center" vertical="center"/>
    </xf>
    <xf numFmtId="0" fontId="49" fillId="7" borderId="4" xfId="0" applyFont="1" applyFill="1" applyBorder="1" applyAlignment="1" applyProtection="1">
      <alignment horizontal="left" vertical="center"/>
    </xf>
    <xf numFmtId="0" fontId="49" fillId="7" borderId="60" xfId="0" applyFont="1" applyFill="1" applyBorder="1" applyAlignment="1" applyProtection="1">
      <alignment horizontal="center" vertical="center"/>
    </xf>
    <xf numFmtId="0" fontId="49" fillId="7" borderId="1" xfId="0" applyFont="1" applyFill="1" applyBorder="1" applyAlignment="1" applyProtection="1">
      <alignment horizontal="left" vertical="center" wrapText="1"/>
    </xf>
    <xf numFmtId="181" fontId="49" fillId="7" borderId="48" xfId="0" applyNumberFormat="1" applyFont="1" applyFill="1" applyBorder="1" applyAlignment="1" applyProtection="1">
      <alignment horizontal="center" vertical="center" wrapText="1"/>
    </xf>
    <xf numFmtId="0" fontId="49" fillId="7" borderId="1" xfId="0" applyFont="1" applyFill="1" applyBorder="1" applyAlignment="1" applyProtection="1">
      <alignment horizontal="left" vertical="center" wrapText="1"/>
      <protection locked="0"/>
    </xf>
    <xf numFmtId="0" fontId="49" fillId="7" borderId="13" xfId="0" applyFont="1" applyFill="1" applyBorder="1" applyAlignment="1" applyProtection="1">
      <alignment horizontal="center" vertical="center"/>
    </xf>
    <xf numFmtId="0" fontId="49" fillId="7" borderId="13" xfId="0" applyFont="1" applyFill="1" applyBorder="1" applyAlignment="1" applyProtection="1">
      <alignment horizontal="left" vertical="center" wrapText="1"/>
    </xf>
    <xf numFmtId="49" fontId="49" fillId="7" borderId="7" xfId="0" applyNumberFormat="1" applyFont="1" applyFill="1" applyBorder="1" applyAlignment="1" applyProtection="1">
      <alignment vertical="center"/>
    </xf>
    <xf numFmtId="0" fontId="49" fillId="7" borderId="7" xfId="0" applyFont="1" applyFill="1" applyBorder="1" applyAlignment="1" applyProtection="1">
      <alignment vertical="center"/>
    </xf>
    <xf numFmtId="0" fontId="49" fillId="7" borderId="2" xfId="0" applyFont="1" applyFill="1" applyBorder="1" applyAlignment="1" applyProtection="1">
      <alignment horizontal="center" vertical="center"/>
    </xf>
    <xf numFmtId="0" fontId="49" fillId="7" borderId="2" xfId="0" applyFont="1" applyFill="1" applyBorder="1" applyAlignment="1" applyProtection="1">
      <alignment horizontal="left" vertical="center" wrapText="1"/>
    </xf>
    <xf numFmtId="49" fontId="49" fillId="7" borderId="41" xfId="0" applyNumberFormat="1" applyFont="1" applyFill="1" applyBorder="1" applyAlignment="1" applyProtection="1">
      <alignment horizontal="left" vertical="center"/>
    </xf>
    <xf numFmtId="10" fontId="54" fillId="7" borderId="24" xfId="0" applyNumberFormat="1" applyFont="1" applyFill="1" applyBorder="1" applyAlignment="1" applyProtection="1">
      <alignment horizontal="center" vertical="center"/>
    </xf>
    <xf numFmtId="183" fontId="54" fillId="7" borderId="24" xfId="0" applyNumberFormat="1" applyFont="1" applyFill="1" applyBorder="1" applyAlignment="1" applyProtection="1">
      <alignment horizontal="center" vertical="center"/>
    </xf>
    <xf numFmtId="0" fontId="54" fillId="7" borderId="2" xfId="0" applyFont="1" applyFill="1" applyBorder="1" applyAlignment="1" applyProtection="1">
      <alignment horizontal="left" vertical="center" wrapText="1"/>
    </xf>
    <xf numFmtId="0" fontId="49" fillId="7" borderId="4" xfId="0" applyFont="1" applyFill="1" applyBorder="1" applyAlignment="1" applyProtection="1">
      <alignment horizontal="left" vertical="center" wrapText="1"/>
    </xf>
    <xf numFmtId="0" fontId="49" fillId="7" borderId="60" xfId="0" applyFont="1" applyFill="1" applyBorder="1" applyAlignment="1" applyProtection="1">
      <alignment horizontal="center" vertical="center" wrapText="1"/>
    </xf>
    <xf numFmtId="0" fontId="49" fillId="7" borderId="71" xfId="0" applyFont="1" applyFill="1" applyBorder="1" applyAlignment="1" applyProtection="1">
      <alignment horizontal="center" vertical="center" wrapText="1"/>
    </xf>
    <xf numFmtId="0" fontId="54" fillId="7" borderId="13" xfId="0" applyFont="1" applyFill="1" applyBorder="1" applyAlignment="1" applyProtection="1">
      <alignment horizontal="center" vertical="center"/>
    </xf>
    <xf numFmtId="0" fontId="54" fillId="7" borderId="15" xfId="0" applyFont="1" applyFill="1" applyBorder="1" applyAlignment="1" applyProtection="1">
      <alignment vertical="center" wrapText="1"/>
    </xf>
    <xf numFmtId="0" fontId="49" fillId="7" borderId="15" xfId="0" applyFont="1" applyFill="1" applyBorder="1" applyAlignment="1" applyProtection="1">
      <alignment horizontal="left" vertical="center" wrapText="1"/>
    </xf>
    <xf numFmtId="179" fontId="54" fillId="7" borderId="24" xfId="0" applyNumberFormat="1" applyFont="1" applyFill="1" applyBorder="1" applyAlignment="1" applyProtection="1">
      <alignment horizontal="center" vertical="center"/>
    </xf>
    <xf numFmtId="0" fontId="54" fillId="7" borderId="2" xfId="0" applyFont="1" applyFill="1" applyBorder="1" applyAlignment="1" applyProtection="1">
      <alignment vertical="center" wrapText="1"/>
    </xf>
    <xf numFmtId="49" fontId="54" fillId="7" borderId="25" xfId="0" applyNumberFormat="1" applyFont="1" applyFill="1" applyBorder="1" applyAlignment="1" applyProtection="1">
      <alignment horizontal="left" vertical="center"/>
    </xf>
    <xf numFmtId="0" fontId="54" fillId="7" borderId="32" xfId="0" applyFont="1" applyFill="1" applyBorder="1" applyAlignment="1" applyProtection="1">
      <alignment horizontal="left" vertical="center"/>
    </xf>
    <xf numFmtId="0" fontId="54" fillId="7" borderId="32" xfId="0" applyFont="1" applyFill="1" applyBorder="1" applyAlignment="1" applyProtection="1">
      <alignment horizontal="center" vertical="center"/>
    </xf>
    <xf numFmtId="0" fontId="49" fillId="7" borderId="32" xfId="0" applyFont="1" applyFill="1" applyBorder="1" applyAlignment="1" applyProtection="1">
      <alignment vertical="center"/>
    </xf>
    <xf numFmtId="0" fontId="49" fillId="7" borderId="32" xfId="0" applyFont="1" applyFill="1" applyBorder="1" applyAlignment="1" applyProtection="1">
      <alignment horizontal="left" vertical="center"/>
    </xf>
    <xf numFmtId="179" fontId="54" fillId="7" borderId="49" xfId="0" applyNumberFormat="1" applyFont="1" applyFill="1" applyBorder="1" applyAlignment="1" applyProtection="1">
      <alignment horizontal="center" vertical="center"/>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9</xdr:col>
      <xdr:colOff>637259</xdr:colOff>
      <xdr:row>34</xdr:row>
      <xdr:rowOff>75933</xdr:rowOff>
    </xdr:to>
    <xdr:pic>
      <xdr:nvPicPr>
        <xdr:cNvPr id="2" name="图片 1">
          <a:extLst>
            <a:ext uri="{FF2B5EF4-FFF2-40B4-BE49-F238E27FC236}">
              <a16:creationId xmlns:a16="http://schemas.microsoft.com/office/drawing/2014/main" id="{D6EED1A0-E817-4972-9DDB-D83748CE34B6}"/>
            </a:ext>
          </a:extLst>
        </xdr:cNvPr>
        <xdr:cNvPicPr>
          <a:picLocks noChangeAspect="1"/>
        </xdr:cNvPicPr>
      </xdr:nvPicPr>
      <xdr:blipFill>
        <a:blip xmlns:r="http://schemas.openxmlformats.org/officeDocument/2006/relationships" r:embed="rId1"/>
        <a:stretch>
          <a:fillRect/>
        </a:stretch>
      </xdr:blipFill>
      <xdr:spPr>
        <a:xfrm>
          <a:off x="0" y="3771900"/>
          <a:ext cx="7323809" cy="2133333"/>
        </a:xfrm>
        <a:prstGeom prst="rect">
          <a:avLst/>
        </a:prstGeom>
      </xdr:spPr>
    </xdr:pic>
    <xdr:clientData/>
  </xdr:twoCellAnchor>
  <xdr:twoCellAnchor editAs="oneCell">
    <xdr:from>
      <xdr:col>0</xdr:col>
      <xdr:colOff>0</xdr:colOff>
      <xdr:row>34</xdr:row>
      <xdr:rowOff>95250</xdr:rowOff>
    </xdr:from>
    <xdr:to>
      <xdr:col>9</xdr:col>
      <xdr:colOff>103926</xdr:colOff>
      <xdr:row>43</xdr:row>
      <xdr:rowOff>47438</xdr:rowOff>
    </xdr:to>
    <xdr:pic>
      <xdr:nvPicPr>
        <xdr:cNvPr id="3" name="图片 2">
          <a:extLst>
            <a:ext uri="{FF2B5EF4-FFF2-40B4-BE49-F238E27FC236}">
              <a16:creationId xmlns:a16="http://schemas.microsoft.com/office/drawing/2014/main" id="{A34A86D5-3D37-474D-B0D5-EAFD03608115}"/>
            </a:ext>
          </a:extLst>
        </xdr:cNvPr>
        <xdr:cNvPicPr>
          <a:picLocks noChangeAspect="1"/>
        </xdr:cNvPicPr>
      </xdr:nvPicPr>
      <xdr:blipFill>
        <a:blip xmlns:r="http://schemas.openxmlformats.org/officeDocument/2006/relationships" r:embed="rId2"/>
        <a:stretch>
          <a:fillRect/>
        </a:stretch>
      </xdr:blipFill>
      <xdr:spPr>
        <a:xfrm>
          <a:off x="0" y="5924550"/>
          <a:ext cx="6790476" cy="1495238"/>
        </a:xfrm>
        <a:prstGeom prst="rect">
          <a:avLst/>
        </a:prstGeom>
      </xdr:spPr>
    </xdr:pic>
    <xdr:clientData/>
  </xdr:twoCellAnchor>
  <xdr:twoCellAnchor editAs="oneCell">
    <xdr:from>
      <xdr:col>9</xdr:col>
      <xdr:colOff>200025</xdr:colOff>
      <xdr:row>22</xdr:row>
      <xdr:rowOff>0</xdr:rowOff>
    </xdr:from>
    <xdr:to>
      <xdr:col>19</xdr:col>
      <xdr:colOff>208656</xdr:colOff>
      <xdr:row>40</xdr:row>
      <xdr:rowOff>75805</xdr:rowOff>
    </xdr:to>
    <xdr:pic>
      <xdr:nvPicPr>
        <xdr:cNvPr id="4" name="图片 3">
          <a:extLst>
            <a:ext uri="{FF2B5EF4-FFF2-40B4-BE49-F238E27FC236}">
              <a16:creationId xmlns:a16="http://schemas.microsoft.com/office/drawing/2014/main" id="{13B230AB-F17D-49ED-AD96-9A2FD86528EB}"/>
            </a:ext>
          </a:extLst>
        </xdr:cNvPr>
        <xdr:cNvPicPr>
          <a:picLocks noChangeAspect="1"/>
        </xdr:cNvPicPr>
      </xdr:nvPicPr>
      <xdr:blipFill>
        <a:blip xmlns:r="http://schemas.openxmlformats.org/officeDocument/2006/relationships" r:embed="rId3"/>
        <a:stretch>
          <a:fillRect/>
        </a:stretch>
      </xdr:blipFill>
      <xdr:spPr>
        <a:xfrm>
          <a:off x="6886575" y="3771900"/>
          <a:ext cx="7152381" cy="3161905"/>
        </a:xfrm>
        <a:prstGeom prst="rect">
          <a:avLst/>
        </a:prstGeom>
      </xdr:spPr>
    </xdr:pic>
    <xdr:clientData/>
  </xdr:twoCellAnchor>
  <xdr:twoCellAnchor editAs="oneCell">
    <xdr:from>
      <xdr:col>9</xdr:col>
      <xdr:colOff>200025</xdr:colOff>
      <xdr:row>40</xdr:row>
      <xdr:rowOff>38100</xdr:rowOff>
    </xdr:from>
    <xdr:to>
      <xdr:col>18</xdr:col>
      <xdr:colOff>656361</xdr:colOff>
      <xdr:row>45</xdr:row>
      <xdr:rowOff>142755</xdr:rowOff>
    </xdr:to>
    <xdr:pic>
      <xdr:nvPicPr>
        <xdr:cNvPr id="5" name="图片 4">
          <a:extLst>
            <a:ext uri="{FF2B5EF4-FFF2-40B4-BE49-F238E27FC236}">
              <a16:creationId xmlns:a16="http://schemas.microsoft.com/office/drawing/2014/main" id="{DB8542F7-F5DE-4C74-BC4B-413CBE118FAF}"/>
            </a:ext>
          </a:extLst>
        </xdr:cNvPr>
        <xdr:cNvPicPr>
          <a:picLocks noChangeAspect="1"/>
        </xdr:cNvPicPr>
      </xdr:nvPicPr>
      <xdr:blipFill>
        <a:blip xmlns:r="http://schemas.openxmlformats.org/officeDocument/2006/relationships" r:embed="rId4"/>
        <a:stretch>
          <a:fillRect/>
        </a:stretch>
      </xdr:blipFill>
      <xdr:spPr>
        <a:xfrm>
          <a:off x="6886575" y="6896100"/>
          <a:ext cx="6914286" cy="961905"/>
        </a:xfrm>
        <a:prstGeom prst="rect">
          <a:avLst/>
        </a:prstGeom>
      </xdr:spPr>
    </xdr:pic>
    <xdr:clientData/>
  </xdr:twoCellAnchor>
  <xdr:twoCellAnchor editAs="oneCell">
    <xdr:from>
      <xdr:col>0</xdr:col>
      <xdr:colOff>0</xdr:colOff>
      <xdr:row>43</xdr:row>
      <xdr:rowOff>123825</xdr:rowOff>
    </xdr:from>
    <xdr:to>
      <xdr:col>9</xdr:col>
      <xdr:colOff>132498</xdr:colOff>
      <xdr:row>61</xdr:row>
      <xdr:rowOff>152011</xdr:rowOff>
    </xdr:to>
    <xdr:pic>
      <xdr:nvPicPr>
        <xdr:cNvPr id="6" name="图片 5">
          <a:extLst>
            <a:ext uri="{FF2B5EF4-FFF2-40B4-BE49-F238E27FC236}">
              <a16:creationId xmlns:a16="http://schemas.microsoft.com/office/drawing/2014/main" id="{E66F32DD-DB48-4927-9665-E3DC9779C2D9}"/>
            </a:ext>
          </a:extLst>
        </xdr:cNvPr>
        <xdr:cNvPicPr>
          <a:picLocks noChangeAspect="1"/>
        </xdr:cNvPicPr>
      </xdr:nvPicPr>
      <xdr:blipFill>
        <a:blip xmlns:r="http://schemas.openxmlformats.org/officeDocument/2006/relationships" r:embed="rId5"/>
        <a:stretch>
          <a:fillRect/>
        </a:stretch>
      </xdr:blipFill>
      <xdr:spPr>
        <a:xfrm>
          <a:off x="0" y="7496175"/>
          <a:ext cx="6819048" cy="3114286"/>
        </a:xfrm>
        <a:prstGeom prst="rect">
          <a:avLst/>
        </a:prstGeom>
      </xdr:spPr>
    </xdr:pic>
    <xdr:clientData/>
  </xdr:twoCellAnchor>
  <xdr:twoCellAnchor editAs="oneCell">
    <xdr:from>
      <xdr:col>0</xdr:col>
      <xdr:colOff>0</xdr:colOff>
      <xdr:row>61</xdr:row>
      <xdr:rowOff>57150</xdr:rowOff>
    </xdr:from>
    <xdr:to>
      <xdr:col>9</xdr:col>
      <xdr:colOff>199164</xdr:colOff>
      <xdr:row>67</xdr:row>
      <xdr:rowOff>9402</xdr:rowOff>
    </xdr:to>
    <xdr:pic>
      <xdr:nvPicPr>
        <xdr:cNvPr id="7" name="图片 6">
          <a:extLst>
            <a:ext uri="{FF2B5EF4-FFF2-40B4-BE49-F238E27FC236}">
              <a16:creationId xmlns:a16="http://schemas.microsoft.com/office/drawing/2014/main" id="{A3DF0789-0B2F-45C3-81D5-8122CD360542}"/>
            </a:ext>
          </a:extLst>
        </xdr:cNvPr>
        <xdr:cNvPicPr>
          <a:picLocks noChangeAspect="1"/>
        </xdr:cNvPicPr>
      </xdr:nvPicPr>
      <xdr:blipFill>
        <a:blip xmlns:r="http://schemas.openxmlformats.org/officeDocument/2006/relationships" r:embed="rId6"/>
        <a:stretch>
          <a:fillRect/>
        </a:stretch>
      </xdr:blipFill>
      <xdr:spPr>
        <a:xfrm>
          <a:off x="0" y="10515600"/>
          <a:ext cx="6885714" cy="980952"/>
        </a:xfrm>
        <a:prstGeom prst="rect">
          <a:avLst/>
        </a:prstGeom>
      </xdr:spPr>
    </xdr:pic>
    <xdr:clientData/>
  </xdr:twoCellAnchor>
  <xdr:twoCellAnchor editAs="oneCell">
    <xdr:from>
      <xdr:col>1</xdr:col>
      <xdr:colOff>0</xdr:colOff>
      <xdr:row>93</xdr:row>
      <xdr:rowOff>0</xdr:rowOff>
    </xdr:from>
    <xdr:to>
      <xdr:col>13</xdr:col>
      <xdr:colOff>446490</xdr:colOff>
      <xdr:row>117</xdr:row>
      <xdr:rowOff>56629</xdr:rowOff>
    </xdr:to>
    <xdr:pic>
      <xdr:nvPicPr>
        <xdr:cNvPr id="9" name="图片 8">
          <a:extLst>
            <a:ext uri="{FF2B5EF4-FFF2-40B4-BE49-F238E27FC236}">
              <a16:creationId xmlns:a16="http://schemas.microsoft.com/office/drawing/2014/main" id="{EB2E59C2-1EEF-421B-A64D-19F07B38E9F5}"/>
            </a:ext>
          </a:extLst>
        </xdr:cNvPr>
        <xdr:cNvPicPr>
          <a:picLocks noChangeAspect="1"/>
        </xdr:cNvPicPr>
      </xdr:nvPicPr>
      <xdr:blipFill>
        <a:blip xmlns:r="http://schemas.openxmlformats.org/officeDocument/2006/relationships" r:embed="rId7"/>
        <a:stretch>
          <a:fillRect/>
        </a:stretch>
      </xdr:blipFill>
      <xdr:spPr>
        <a:xfrm>
          <a:off x="685800" y="15944850"/>
          <a:ext cx="9476190" cy="4171429"/>
        </a:xfrm>
        <a:prstGeom prst="rect">
          <a:avLst/>
        </a:prstGeom>
      </xdr:spPr>
    </xdr:pic>
    <xdr:clientData/>
  </xdr:twoCellAnchor>
  <xdr:twoCellAnchor editAs="oneCell">
    <xdr:from>
      <xdr:col>1</xdr:col>
      <xdr:colOff>28575</xdr:colOff>
      <xdr:row>67</xdr:row>
      <xdr:rowOff>142875</xdr:rowOff>
    </xdr:from>
    <xdr:to>
      <xdr:col>12</xdr:col>
      <xdr:colOff>132294</xdr:colOff>
      <xdr:row>93</xdr:row>
      <xdr:rowOff>18508</xdr:rowOff>
    </xdr:to>
    <xdr:pic>
      <xdr:nvPicPr>
        <xdr:cNvPr id="15" name="图片 14">
          <a:extLst>
            <a:ext uri="{FF2B5EF4-FFF2-40B4-BE49-F238E27FC236}">
              <a16:creationId xmlns:a16="http://schemas.microsoft.com/office/drawing/2014/main" id="{262D96A4-402B-43F4-A720-210E2A5AFDB8}"/>
            </a:ext>
          </a:extLst>
        </xdr:cNvPr>
        <xdr:cNvPicPr>
          <a:picLocks noChangeAspect="1"/>
        </xdr:cNvPicPr>
      </xdr:nvPicPr>
      <xdr:blipFill>
        <a:blip xmlns:r="http://schemas.openxmlformats.org/officeDocument/2006/relationships" r:embed="rId8"/>
        <a:stretch>
          <a:fillRect/>
        </a:stretch>
      </xdr:blipFill>
      <xdr:spPr>
        <a:xfrm>
          <a:off x="714375" y="11630025"/>
          <a:ext cx="8447619" cy="4333333"/>
        </a:xfrm>
        <a:prstGeom prst="rect">
          <a:avLst/>
        </a:prstGeom>
      </xdr:spPr>
    </xdr:pic>
    <xdr:clientData/>
  </xdr:twoCellAnchor>
  <xdr:twoCellAnchor editAs="oneCell">
    <xdr:from>
      <xdr:col>13</xdr:col>
      <xdr:colOff>0</xdr:colOff>
      <xdr:row>73</xdr:row>
      <xdr:rowOff>0</xdr:rowOff>
    </xdr:from>
    <xdr:to>
      <xdr:col>21</xdr:col>
      <xdr:colOff>46933</xdr:colOff>
      <xdr:row>82</xdr:row>
      <xdr:rowOff>37902</xdr:rowOff>
    </xdr:to>
    <xdr:pic>
      <xdr:nvPicPr>
        <xdr:cNvPr id="16" name="图片 15">
          <a:extLst>
            <a:ext uri="{FF2B5EF4-FFF2-40B4-BE49-F238E27FC236}">
              <a16:creationId xmlns:a16="http://schemas.microsoft.com/office/drawing/2014/main" id="{DD8ED766-D4CA-4788-AB13-9F8D48A67046}"/>
            </a:ext>
          </a:extLst>
        </xdr:cNvPr>
        <xdr:cNvPicPr>
          <a:picLocks noChangeAspect="1"/>
        </xdr:cNvPicPr>
      </xdr:nvPicPr>
      <xdr:blipFill>
        <a:blip xmlns:r="http://schemas.openxmlformats.org/officeDocument/2006/relationships" r:embed="rId9"/>
        <a:stretch>
          <a:fillRect/>
        </a:stretch>
      </xdr:blipFill>
      <xdr:spPr>
        <a:xfrm>
          <a:off x="9429750" y="12515850"/>
          <a:ext cx="5533333" cy="1580952"/>
        </a:xfrm>
        <a:prstGeom prst="rect">
          <a:avLst/>
        </a:prstGeom>
      </xdr:spPr>
    </xdr:pic>
    <xdr:clientData/>
  </xdr:twoCellAnchor>
  <xdr:twoCellAnchor editAs="oneCell">
    <xdr:from>
      <xdr:col>1</xdr:col>
      <xdr:colOff>57150</xdr:colOff>
      <xdr:row>117</xdr:row>
      <xdr:rowOff>76200</xdr:rowOff>
    </xdr:from>
    <xdr:to>
      <xdr:col>13</xdr:col>
      <xdr:colOff>179831</xdr:colOff>
      <xdr:row>142</xdr:row>
      <xdr:rowOff>66140</xdr:rowOff>
    </xdr:to>
    <xdr:pic>
      <xdr:nvPicPr>
        <xdr:cNvPr id="17" name="图片 16">
          <a:extLst>
            <a:ext uri="{FF2B5EF4-FFF2-40B4-BE49-F238E27FC236}">
              <a16:creationId xmlns:a16="http://schemas.microsoft.com/office/drawing/2014/main" id="{A89F9BD7-9639-4626-A3FF-13D360574871}"/>
            </a:ext>
          </a:extLst>
        </xdr:cNvPr>
        <xdr:cNvPicPr>
          <a:picLocks noChangeAspect="1"/>
        </xdr:cNvPicPr>
      </xdr:nvPicPr>
      <xdr:blipFill>
        <a:blip xmlns:r="http://schemas.openxmlformats.org/officeDocument/2006/relationships" r:embed="rId10"/>
        <a:stretch>
          <a:fillRect/>
        </a:stretch>
      </xdr:blipFill>
      <xdr:spPr>
        <a:xfrm>
          <a:off x="742950" y="20135850"/>
          <a:ext cx="9152381" cy="4276190"/>
        </a:xfrm>
        <a:prstGeom prst="rect">
          <a:avLst/>
        </a:prstGeom>
      </xdr:spPr>
    </xdr:pic>
    <xdr:clientData/>
  </xdr:twoCellAnchor>
  <xdr:twoCellAnchor editAs="oneCell">
    <xdr:from>
      <xdr:col>14</xdr:col>
      <xdr:colOff>0</xdr:colOff>
      <xdr:row>123</xdr:row>
      <xdr:rowOff>0</xdr:rowOff>
    </xdr:from>
    <xdr:to>
      <xdr:col>22</xdr:col>
      <xdr:colOff>342171</xdr:colOff>
      <xdr:row>128</xdr:row>
      <xdr:rowOff>28464</xdr:rowOff>
    </xdr:to>
    <xdr:pic>
      <xdr:nvPicPr>
        <xdr:cNvPr id="18" name="图片 17">
          <a:extLst>
            <a:ext uri="{FF2B5EF4-FFF2-40B4-BE49-F238E27FC236}">
              <a16:creationId xmlns:a16="http://schemas.microsoft.com/office/drawing/2014/main" id="{0770DF76-DBF0-463F-9140-05E1A65CE495}"/>
            </a:ext>
          </a:extLst>
        </xdr:cNvPr>
        <xdr:cNvPicPr>
          <a:picLocks noChangeAspect="1"/>
        </xdr:cNvPicPr>
      </xdr:nvPicPr>
      <xdr:blipFill>
        <a:blip xmlns:r="http://schemas.openxmlformats.org/officeDocument/2006/relationships" r:embed="rId11"/>
        <a:stretch>
          <a:fillRect/>
        </a:stretch>
      </xdr:blipFill>
      <xdr:spPr>
        <a:xfrm>
          <a:off x="10115550" y="21088350"/>
          <a:ext cx="5828571" cy="885714"/>
        </a:xfrm>
        <a:prstGeom prst="rect">
          <a:avLst/>
        </a:prstGeom>
      </xdr:spPr>
    </xdr:pic>
    <xdr:clientData/>
  </xdr:twoCellAnchor>
  <xdr:twoCellAnchor editAs="oneCell">
    <xdr:from>
      <xdr:col>1</xdr:col>
      <xdr:colOff>0</xdr:colOff>
      <xdr:row>143</xdr:row>
      <xdr:rowOff>0</xdr:rowOff>
    </xdr:from>
    <xdr:to>
      <xdr:col>12</xdr:col>
      <xdr:colOff>437052</xdr:colOff>
      <xdr:row>167</xdr:row>
      <xdr:rowOff>170914</xdr:rowOff>
    </xdr:to>
    <xdr:pic>
      <xdr:nvPicPr>
        <xdr:cNvPr id="19" name="图片 18">
          <a:extLst>
            <a:ext uri="{FF2B5EF4-FFF2-40B4-BE49-F238E27FC236}">
              <a16:creationId xmlns:a16="http://schemas.microsoft.com/office/drawing/2014/main" id="{C0FABA18-43A1-4678-9227-FFC88D00711E}"/>
            </a:ext>
          </a:extLst>
        </xdr:cNvPr>
        <xdr:cNvPicPr>
          <a:picLocks noChangeAspect="1"/>
        </xdr:cNvPicPr>
      </xdr:nvPicPr>
      <xdr:blipFill>
        <a:blip xmlns:r="http://schemas.openxmlformats.org/officeDocument/2006/relationships" r:embed="rId12"/>
        <a:stretch>
          <a:fillRect/>
        </a:stretch>
      </xdr:blipFill>
      <xdr:spPr>
        <a:xfrm>
          <a:off x="685800" y="24517350"/>
          <a:ext cx="8780952" cy="4285714"/>
        </a:xfrm>
        <a:prstGeom prst="rect">
          <a:avLst/>
        </a:prstGeom>
      </xdr:spPr>
    </xdr:pic>
    <xdr:clientData/>
  </xdr:twoCellAnchor>
  <xdr:twoCellAnchor editAs="oneCell">
    <xdr:from>
      <xdr:col>0</xdr:col>
      <xdr:colOff>0</xdr:colOff>
      <xdr:row>211</xdr:row>
      <xdr:rowOff>0</xdr:rowOff>
    </xdr:from>
    <xdr:to>
      <xdr:col>16</xdr:col>
      <xdr:colOff>331862</xdr:colOff>
      <xdr:row>219</xdr:row>
      <xdr:rowOff>171257</xdr:rowOff>
    </xdr:to>
    <xdr:pic>
      <xdr:nvPicPr>
        <xdr:cNvPr id="8" name="图片 7">
          <a:extLst>
            <a:ext uri="{FF2B5EF4-FFF2-40B4-BE49-F238E27FC236}">
              <a16:creationId xmlns:a16="http://schemas.microsoft.com/office/drawing/2014/main" id="{9EA0E65D-4012-45B6-87A9-13A63C6B9C97}"/>
            </a:ext>
          </a:extLst>
        </xdr:cNvPr>
        <xdr:cNvPicPr>
          <a:picLocks noChangeAspect="1"/>
        </xdr:cNvPicPr>
      </xdr:nvPicPr>
      <xdr:blipFill>
        <a:blip xmlns:r="http://schemas.openxmlformats.org/officeDocument/2006/relationships" r:embed="rId13"/>
        <a:stretch>
          <a:fillRect/>
        </a:stretch>
      </xdr:blipFill>
      <xdr:spPr>
        <a:xfrm>
          <a:off x="0" y="36175950"/>
          <a:ext cx="12104762" cy="1542857"/>
        </a:xfrm>
        <a:prstGeom prst="rect">
          <a:avLst/>
        </a:prstGeom>
      </xdr:spPr>
    </xdr:pic>
    <xdr:clientData/>
  </xdr:twoCellAnchor>
  <xdr:twoCellAnchor editAs="oneCell">
    <xdr:from>
      <xdr:col>0</xdr:col>
      <xdr:colOff>0</xdr:colOff>
      <xdr:row>197</xdr:row>
      <xdr:rowOff>9525</xdr:rowOff>
    </xdr:from>
    <xdr:to>
      <xdr:col>16</xdr:col>
      <xdr:colOff>312814</xdr:colOff>
      <xdr:row>211</xdr:row>
      <xdr:rowOff>171130</xdr:rowOff>
    </xdr:to>
    <xdr:pic>
      <xdr:nvPicPr>
        <xdr:cNvPr id="10" name="图片 9">
          <a:extLst>
            <a:ext uri="{FF2B5EF4-FFF2-40B4-BE49-F238E27FC236}">
              <a16:creationId xmlns:a16="http://schemas.microsoft.com/office/drawing/2014/main" id="{1D405EEF-EED4-4B08-B7D3-D8187AD6BCC0}"/>
            </a:ext>
          </a:extLst>
        </xdr:cNvPr>
        <xdr:cNvPicPr>
          <a:picLocks noChangeAspect="1"/>
        </xdr:cNvPicPr>
      </xdr:nvPicPr>
      <xdr:blipFill>
        <a:blip xmlns:r="http://schemas.openxmlformats.org/officeDocument/2006/relationships" r:embed="rId14"/>
        <a:stretch>
          <a:fillRect/>
        </a:stretch>
      </xdr:blipFill>
      <xdr:spPr>
        <a:xfrm>
          <a:off x="0" y="33785175"/>
          <a:ext cx="12085714" cy="2561905"/>
        </a:xfrm>
        <a:prstGeom prst="rect">
          <a:avLst/>
        </a:prstGeom>
      </xdr:spPr>
    </xdr:pic>
    <xdr:clientData/>
  </xdr:twoCellAnchor>
  <xdr:twoCellAnchor editAs="oneCell">
    <xdr:from>
      <xdr:col>9</xdr:col>
      <xdr:colOff>28575</xdr:colOff>
      <xdr:row>25</xdr:row>
      <xdr:rowOff>152400</xdr:rowOff>
    </xdr:from>
    <xdr:to>
      <xdr:col>11</xdr:col>
      <xdr:colOff>409320</xdr:colOff>
      <xdr:row>59</xdr:row>
      <xdr:rowOff>142148</xdr:rowOff>
    </xdr:to>
    <xdr:pic>
      <xdr:nvPicPr>
        <xdr:cNvPr id="11" name="图片 10">
          <a:extLst>
            <a:ext uri="{FF2B5EF4-FFF2-40B4-BE49-F238E27FC236}">
              <a16:creationId xmlns:a16="http://schemas.microsoft.com/office/drawing/2014/main" id="{B61986B5-4447-466D-95CD-588A60008CFC}"/>
            </a:ext>
          </a:extLst>
        </xdr:cNvPr>
        <xdr:cNvPicPr>
          <a:picLocks noChangeAspect="1"/>
        </xdr:cNvPicPr>
      </xdr:nvPicPr>
      <xdr:blipFill>
        <a:blip xmlns:r="http://schemas.openxmlformats.org/officeDocument/2006/relationships" r:embed="rId15"/>
        <a:stretch>
          <a:fillRect/>
        </a:stretch>
      </xdr:blipFill>
      <xdr:spPr>
        <a:xfrm>
          <a:off x="6715125" y="4438650"/>
          <a:ext cx="2038095" cy="5819048"/>
        </a:xfrm>
        <a:prstGeom prst="rect">
          <a:avLst/>
        </a:prstGeom>
      </xdr:spPr>
    </xdr:pic>
    <xdr:clientData/>
  </xdr:twoCellAnchor>
  <xdr:twoCellAnchor editAs="oneCell">
    <xdr:from>
      <xdr:col>0</xdr:col>
      <xdr:colOff>0</xdr:colOff>
      <xdr:row>168</xdr:row>
      <xdr:rowOff>0</xdr:rowOff>
    </xdr:from>
    <xdr:to>
      <xdr:col>9</xdr:col>
      <xdr:colOff>970593</xdr:colOff>
      <xdr:row>197</xdr:row>
      <xdr:rowOff>85093</xdr:rowOff>
    </xdr:to>
    <xdr:pic>
      <xdr:nvPicPr>
        <xdr:cNvPr id="12" name="图片 11">
          <a:extLst>
            <a:ext uri="{FF2B5EF4-FFF2-40B4-BE49-F238E27FC236}">
              <a16:creationId xmlns:a16="http://schemas.microsoft.com/office/drawing/2014/main" id="{28543DE5-3884-4E9B-8B65-474E1E1CE706}"/>
            </a:ext>
          </a:extLst>
        </xdr:cNvPr>
        <xdr:cNvPicPr>
          <a:picLocks noChangeAspect="1"/>
        </xdr:cNvPicPr>
      </xdr:nvPicPr>
      <xdr:blipFill>
        <a:blip xmlns:r="http://schemas.openxmlformats.org/officeDocument/2006/relationships" r:embed="rId16"/>
        <a:stretch>
          <a:fillRect/>
        </a:stretch>
      </xdr:blipFill>
      <xdr:spPr>
        <a:xfrm>
          <a:off x="0" y="28803600"/>
          <a:ext cx="7657143" cy="5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hyperlink" Target="https://sf-item.taobao.com/sf_item/650892645545.htm?spm=a213w.7398504.paiList.26.292b4714UfQxHh&amp;track_id=f6fc09a4-0970-4c9b-9be5-0292042582b4" TargetMode="External"/><Relationship Id="rId2" Type="http://schemas.openxmlformats.org/officeDocument/2006/relationships/hyperlink" Target="https://sf-item.taobao.com/sf_item/657585093058.htm?spm=a213w.7398504.paiList.7.292b4714UfQxHh&amp;track_id=f6fc09a4-0970-4c9b-9be5-0292042582b4" TargetMode="External"/><Relationship Id="rId1" Type="http://schemas.openxmlformats.org/officeDocument/2006/relationships/hyperlink" Target="https://paimai.jd.com/279520698" TargetMode="External"/><Relationship Id="rId5" Type="http://schemas.openxmlformats.org/officeDocument/2006/relationships/drawing" Target="../drawings/drawing1.xml"/><Relationship Id="rId4" Type="http://schemas.openxmlformats.org/officeDocument/2006/relationships/hyperlink" Target="https://sf-item.taobao.com/sf_item/649660712769.htm?spm=a213w.7398504.paiList.28.292b4714UfQxHh&amp;track_id=f6fc09a4-0970-4c9b-9be5-0292042582b4"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 ca="1">'预评函-封皮'!B46</f>
        <v>陈颖（注册号：1120060040)、陈颖（注册号：1120060040)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估价对象为北京市房地产，为所有。根据《国有土地使用证》[]，估价对象（分摊）出让国有建设用地使用权面积为1510.18平方米，建筑面积为6416.15平方米。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估价对象为北京市房地产,属开发建设的办公项目，该项目尚在开发建设中。根据《国有土地使用证》[]，估价对象（分摊）出让国有建设用地使用权面积为1510.18平方米，规划建筑面积为6416.15平方米。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2021年10月21日（评估专业人员实地查勘之日）</v>
      </c>
    </row>
    <row r="13" spans="1:2" s="1365" customFormat="1">
      <c r="A13" s="1363" t="s">
        <v>1194</v>
      </c>
      <c r="B13" s="1364" t="str">
        <f>'预评函-1'!A18</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本次评估采用的主估价方法为收益法和比较法。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19607</v>
      </c>
    </row>
    <row r="21" spans="1:2" s="1365" customFormat="1">
      <c r="A21" s="1363" t="s">
        <v>1202</v>
      </c>
      <c r="B21" s="1364">
        <f ca="1">'预评函-2'!D7</f>
        <v>30559</v>
      </c>
    </row>
    <row r="22" spans="1:2" s="1365" customFormat="1">
      <c r="A22" s="1363" t="s">
        <v>1203</v>
      </c>
      <c r="B22" s="1364" t="str">
        <f ca="1">'预评函-2'!D6</f>
        <v>壹亿玖仟陆佰零柒万元整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19607</v>
      </c>
    </row>
    <row r="35" spans="1:2" s="1365" customFormat="1">
      <c r="A35" s="1363" t="s">
        <v>1242</v>
      </c>
      <c r="B35" s="1364">
        <f ca="1">'预评函-2'!D18</f>
        <v>30559</v>
      </c>
    </row>
    <row r="36" spans="1:2" s="1365" customFormat="1">
      <c r="A36" s="1363" t="s">
        <v>1209</v>
      </c>
      <c r="B36" s="1364" t="str">
        <f ca="1">'预评函-2'!D17</f>
        <v>壹亿玖仟陆佰零柒万元整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6416.15</v>
      </c>
    </row>
    <row r="44" spans="1:2" s="1365" customFormat="1">
      <c r="A44" s="1363" t="s">
        <v>1240</v>
      </c>
      <c r="B44" s="1364" t="str">
        <f>'预评函-3'!C2</f>
        <v>(分摊)土地面积</v>
      </c>
    </row>
    <row r="45" spans="1:2" s="1365" customFormat="1">
      <c r="A45" s="1363" t="s">
        <v>1212</v>
      </c>
      <c r="B45" s="1364">
        <f>'预评函-3'!C4</f>
        <v>1510.18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陈颖</v>
      </c>
    </row>
    <row r="73" spans="1:2" s="1359" customFormat="1" ht="15" thickBot="1">
      <c r="A73" s="1366" t="s">
        <v>1230</v>
      </c>
      <c r="B73" s="1367">
        <f ca="1">'预评函-4'!B5</f>
        <v>1120060040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1"/>
      <c r="B54" s="1739" t="s">
        <v>832</v>
      </c>
      <c r="C54" s="1736" t="s">
        <v>1248</v>
      </c>
    </row>
    <row r="55" spans="1:4">
      <c r="A55" s="3121"/>
      <c r="B55" s="1739" t="s">
        <v>833</v>
      </c>
      <c r="C55" s="1736" t="s">
        <v>1249</v>
      </c>
    </row>
    <row r="56" spans="1:4">
      <c r="A56" s="3121"/>
      <c r="B56" s="1739" t="s">
        <v>834</v>
      </c>
      <c r="C56" s="1736" t="s">
        <v>1253</v>
      </c>
    </row>
    <row r="57" spans="1:4">
      <c r="A57" s="312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C7" sqref="C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2" t="str">
        <f>IF(B10="北京市","北京市",C10)&amp;F10&amp;IF(结果表!G1="在建","出让国有建设用地使用权及在建建筑物",IF(结果表!G1="土地","出让国有建设用地使用权",))&amp;B9&amp;"预评估"</f>
        <v>北京市房地产市场价值预评估</v>
      </c>
      <c r="C1" s="3123"/>
      <c r="D1" s="3123"/>
      <c r="E1" s="3123"/>
      <c r="F1" s="3123"/>
      <c r="G1" s="3123"/>
      <c r="H1" s="3123"/>
      <c r="I1" s="312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f>D3</f>
        <v>44490</v>
      </c>
      <c r="C3" s="2598" t="s">
        <v>2917</v>
      </c>
      <c r="D3" s="2597">
        <v>44490</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3065</v>
      </c>
      <c r="C4" s="2600">
        <f ca="1">SUMIF(注册房地产估价师,B4,估价师及机构信息!B3:B24)</f>
        <v>1120060040</v>
      </c>
      <c r="D4" s="2599" t="s">
        <v>3065</v>
      </c>
      <c r="E4" s="2601">
        <f ca="1">SUMIF(注册房地产估价师,D4,估价师及机构信息!B3:B24)</f>
        <v>1120060040</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陈颖（注册号：1120060040)、陈颖（注册号：1120060040)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3066</v>
      </c>
      <c r="C8" s="2614"/>
      <c r="D8" s="3125" t="s">
        <v>2923</v>
      </c>
      <c r="E8" s="2615" t="s">
        <v>3140</v>
      </c>
      <c r="F8" s="2616"/>
      <c r="G8" s="2890"/>
      <c r="H8" s="2890"/>
      <c r="I8" s="2890"/>
      <c r="J8" s="2665"/>
      <c r="K8" s="2840"/>
      <c r="L8" s="2839"/>
      <c r="M8" s="2839"/>
      <c r="N8" s="2665"/>
      <c r="O8" s="2676"/>
      <c r="P8" s="2665"/>
      <c r="Q8" s="2665"/>
      <c r="R8" s="2665"/>
    </row>
    <row r="9" spans="1:28" ht="13.5" thickBot="1">
      <c r="A9" s="2617" t="s">
        <v>2924</v>
      </c>
      <c r="B9" s="2618" t="s">
        <v>3067</v>
      </c>
      <c r="C9" s="2619"/>
      <c r="D9" s="3126"/>
      <c r="E9" s="2618"/>
      <c r="F9" s="2620"/>
      <c r="G9" s="2892"/>
      <c r="H9" s="2892"/>
      <c r="I9" s="2892"/>
      <c r="J9" s="2665"/>
      <c r="K9" s="2842"/>
      <c r="L9" s="2839"/>
      <c r="M9" s="2839"/>
      <c r="N9" s="2665"/>
      <c r="O9" s="2676"/>
      <c r="P9" s="2665"/>
      <c r="Q9" s="2665"/>
      <c r="R9" s="2665"/>
    </row>
    <row r="10" spans="1:28" ht="13.5" thickTop="1">
      <c r="A10" s="2621" t="s">
        <v>2925</v>
      </c>
      <c r="B10" s="2622" t="s">
        <v>3068</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3069</v>
      </c>
      <c r="C11" s="2627"/>
      <c r="D11" s="2628"/>
      <c r="E11" s="2594"/>
      <c r="F11" s="2594"/>
      <c r="G11" s="2594"/>
      <c r="H11" s="2594"/>
      <c r="I11" s="2594"/>
      <c r="J11" s="2665"/>
      <c r="K11" s="2842"/>
      <c r="L11" s="2839"/>
      <c r="M11" s="2839"/>
      <c r="N11" s="2665"/>
      <c r="O11" s="2676"/>
      <c r="P11" s="2665"/>
      <c r="Q11" s="2665"/>
      <c r="R11" s="2665"/>
    </row>
    <row r="12" spans="1:28">
      <c r="A12" s="2629" t="s">
        <v>2928</v>
      </c>
      <c r="B12" s="2626" t="s">
        <v>3070</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v>54978</v>
      </c>
      <c r="G13" s="965">
        <v>51271</v>
      </c>
      <c r="H13" s="965"/>
      <c r="I13" s="965"/>
      <c r="J13" s="2665"/>
      <c r="K13" s="2842"/>
      <c r="L13" s="2839"/>
      <c r="M13" s="2839"/>
      <c r="N13" s="2665"/>
      <c r="O13" s="2676"/>
      <c r="P13" s="2665"/>
      <c r="Q13" s="2665"/>
      <c r="R13" s="2665"/>
    </row>
    <row r="14" spans="1:28">
      <c r="A14" s="1241"/>
      <c r="B14" s="2631"/>
      <c r="C14" s="2632" t="s">
        <v>2937</v>
      </c>
      <c r="D14" s="2633"/>
      <c r="E14" s="2633"/>
      <c r="F14" s="2633">
        <v>50</v>
      </c>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f>IF(B12="出让",IF(F13="","",ROUNDDOWN(MIN((F13-$D$3)/365,F14),2)),F14)</f>
        <v>28.73</v>
      </c>
      <c r="G15" s="2636">
        <f>IF(B12="出让",IF(G13="","",ROUNDDOWN(MIN((G13-$D$3)/365,G14),2)),G14)</f>
        <v>18.57</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132"/>
      <c r="C16" s="3133"/>
      <c r="D16" s="3134"/>
      <c r="E16" s="2639" t="s">
        <v>2940</v>
      </c>
      <c r="F16" s="3135"/>
      <c r="G16" s="3136"/>
      <c r="H16" s="3136"/>
      <c r="I16" s="3137"/>
      <c r="J16" s="2665"/>
      <c r="K16" s="2844"/>
      <c r="L16" s="2677"/>
      <c r="M16" s="2677"/>
      <c r="N16" s="2735"/>
      <c r="O16" s="2677"/>
      <c r="P16" s="2735"/>
      <c r="Q16" s="2665"/>
      <c r="R16" s="2665"/>
    </row>
    <row r="17" spans="1:28">
      <c r="A17" s="319" t="s">
        <v>2941</v>
      </c>
      <c r="B17" s="308" t="s">
        <v>2942</v>
      </c>
      <c r="C17" s="11">
        <f>'数据-汇总表'!E3</f>
        <v>6416.15</v>
      </c>
      <c r="D17" s="2545" t="s">
        <v>2943</v>
      </c>
      <c r="E17" s="3138" t="s">
        <v>2944</v>
      </c>
      <c r="F17" s="3139"/>
      <c r="G17" s="3139"/>
      <c r="H17" s="3139"/>
      <c r="I17" s="3140"/>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1510.18</v>
      </c>
      <c r="D18" s="1252" t="s">
        <v>2947</v>
      </c>
      <c r="E18" s="3141" t="s">
        <v>2948</v>
      </c>
      <c r="F18" s="3142"/>
      <c r="G18" s="3142"/>
      <c r="H18" s="3142"/>
      <c r="I18" s="3143"/>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28" t="s">
        <v>2952</v>
      </c>
      <c r="C20" s="3129"/>
      <c r="D20" s="3130" t="s">
        <v>2953</v>
      </c>
      <c r="E20" s="3131"/>
      <c r="F20" s="2874" t="s">
        <v>1742</v>
      </c>
      <c r="G20" s="2891"/>
      <c r="H20" s="2891"/>
      <c r="I20" s="2891"/>
      <c r="J20" s="2665"/>
      <c r="K20" s="312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45" t="s">
        <v>2960</v>
      </c>
      <c r="B27" s="326" t="s">
        <v>2961</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45"/>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45"/>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46"/>
      <c r="B30" s="308" t="s">
        <v>2964</v>
      </c>
      <c r="C30" s="3147"/>
      <c r="D30" s="3148"/>
      <c r="E30" s="2891"/>
      <c r="F30" s="2891"/>
      <c r="G30" s="2891"/>
      <c r="H30" s="2891"/>
      <c r="I30" s="2891"/>
      <c r="J30" s="2665"/>
      <c r="K30" s="2842"/>
      <c r="L30" s="2839"/>
      <c r="M30" s="2839"/>
      <c r="N30" s="2665"/>
      <c r="O30" s="2676"/>
      <c r="P30" s="2665"/>
      <c r="Q30" s="2665"/>
      <c r="R30" s="2665"/>
      <c r="S30" s="2665"/>
      <c r="T30" s="2665"/>
      <c r="U30" s="2665"/>
      <c r="V30" s="2665"/>
    </row>
    <row r="31" spans="1:28">
      <c r="A31" s="3149"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50"/>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50"/>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44" t="s">
        <v>2974</v>
      </c>
      <c r="T34" s="2654" t="str">
        <f>NUMBERSTRING(7-K34,1)&amp;"通"</f>
        <v>七通</v>
      </c>
      <c r="U34" s="2665"/>
      <c r="V34" s="2665"/>
    </row>
    <row r="35" spans="1:30">
      <c r="A35" s="2655"/>
      <c r="B35" s="3151" t="s">
        <v>2975</v>
      </c>
      <c r="C35" s="3151"/>
      <c r="D35" s="3151"/>
      <c r="E35" s="3151"/>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4"/>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t="s">
        <v>442</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t="s">
        <v>238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1510.18</v>
      </c>
      <c r="B3" s="14">
        <f>IF(C3="否",G5-AT5,G5)</f>
        <v>6416.15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6416.15</v>
      </c>
      <c r="H5" s="16">
        <f t="shared" ref="H5:AT5" si="0">SUM(H13:H656)</f>
        <v>6416.15</v>
      </c>
      <c r="I5" s="16">
        <f t="shared" si="0"/>
        <v>6416.15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6416.15</v>
      </c>
      <c r="BA5" s="18">
        <f t="shared" si="1"/>
        <v>6416.15</v>
      </c>
      <c r="BB5" s="18">
        <f t="shared" si="1"/>
        <v>6416.15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1510.18</v>
      </c>
      <c r="F6" s="16" t="s">
        <v>1</v>
      </c>
      <c r="G6" s="16" t="s">
        <v>2</v>
      </c>
      <c r="H6" s="20">
        <f>SUMIF(I$12:AB$12,"总值",I6:AB6)</f>
        <v>1510.18</v>
      </c>
      <c r="I6" s="16">
        <f t="shared" ref="I6:AB6" si="2">ROUND($A$3*I5/$B$3,2)</f>
        <v>1510.18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1510.18</v>
      </c>
      <c r="AZ6" s="16" t="s">
        <v>3</v>
      </c>
      <c r="BA6" s="16">
        <f>ROUND($AY$6*BA5/$AZ$5,2)</f>
        <v>1510.18</v>
      </c>
      <c r="BB6" s="16">
        <f>ROUND($AY$6*BB5/$AZ$5,2)</f>
        <v>1510.18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3073</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3074</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4</v>
      </c>
      <c r="D13" s="1810" t="s">
        <v>3072</v>
      </c>
      <c r="E13" s="16">
        <f>IF($C$3="是",ROUND($A$3*G13/$B$3,2),ROUND($A$3*(G13-AT13)/$B$3,2))</f>
        <v>232.1</v>
      </c>
      <c r="F13" s="32"/>
      <c r="G13" s="33">
        <f>H13+AC13+AT13</f>
        <v>986.1</v>
      </c>
      <c r="H13" s="20">
        <f>SUMIF(I$12:AB$12,"总值",I13:AB13)</f>
        <v>986.1</v>
      </c>
      <c r="I13" s="1811">
        <v>986.1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4</v>
      </c>
      <c r="AY13" s="1533">
        <f>ROUND($AY$6*AZ13/$AZ$5,2)</f>
        <v>232.1</v>
      </c>
      <c r="AZ13" s="16">
        <f>BA13+BL13</f>
        <v>986.1</v>
      </c>
      <c r="BA13" s="16">
        <f>SUM(BB13:BK13)</f>
        <v>986.1</v>
      </c>
      <c r="BB13" s="16">
        <f>IF($D13="是",I13-J13,0)</f>
        <v>986.1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5</v>
      </c>
      <c r="D14" s="1810" t="s">
        <v>3072</v>
      </c>
      <c r="E14" s="16">
        <f>IF($C$3="是",ROUND($A$3*G14/$B$3,2),ROUND($A$3*(G14-AT14)/$B$3,2))</f>
        <v>208.64</v>
      </c>
      <c r="F14" s="32"/>
      <c r="G14" s="33">
        <f>H14+AC14+AT14</f>
        <v>886.42</v>
      </c>
      <c r="H14" s="20">
        <f>SUMIF(I$12:AB$12,"总值",I14:AB14)</f>
        <v>886.42</v>
      </c>
      <c r="I14" s="1811">
        <v>886.42</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5</v>
      </c>
      <c r="AY14" s="1533">
        <f>ROUND($AY$6*AZ14/$AZ$5,2)</f>
        <v>208.64</v>
      </c>
      <c r="AZ14" s="16">
        <f>BA14+BL14</f>
        <v>886.42</v>
      </c>
      <c r="BA14" s="16">
        <f>SUM(BB14:BK14)</f>
        <v>886.42</v>
      </c>
      <c r="BB14" s="16">
        <f>IF($D14="是",I14-J14,0)</f>
        <v>886.42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6</v>
      </c>
      <c r="D15" s="1810" t="s">
        <v>3072</v>
      </c>
      <c r="E15" s="16">
        <f>IF($C$3="是",ROUND($A$3*G15/$B$3,2),ROUND($A$3*(G15-AT15)/$B$3,2))</f>
        <v>172.64</v>
      </c>
      <c r="F15" s="32"/>
      <c r="G15" s="33">
        <f>H15+AC15+AT15</f>
        <v>733.48</v>
      </c>
      <c r="H15" s="20">
        <f>SUMIF(I$12:AB$12,"总值",I15:AB15)</f>
        <v>733.48</v>
      </c>
      <c r="I15" s="1811">
        <v>733.48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6</v>
      </c>
      <c r="AY15" s="1533">
        <f>ROUND($AY$6*AZ15/$AZ$5,2)</f>
        <v>172.64</v>
      </c>
      <c r="AZ15" s="16">
        <f>BA15+BL15</f>
        <v>733.48</v>
      </c>
      <c r="BA15" s="16">
        <f>SUM(BB15:BK15)</f>
        <v>733.48</v>
      </c>
      <c r="BB15" s="16">
        <f>IF($D15="是",I15-J15,0)</f>
        <v>733.48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7</v>
      </c>
      <c r="D16" s="1810" t="s">
        <v>3072</v>
      </c>
      <c r="E16" s="16">
        <f>IF($C$3="是",ROUND($A$3*G16/$B$3,2),ROUND($A$3*(G16-AT16)/$B$3,2))</f>
        <v>108.64</v>
      </c>
      <c r="F16" s="32"/>
      <c r="G16" s="33">
        <f>H16+AC16+AT16</f>
        <v>461.58</v>
      </c>
      <c r="H16" s="20">
        <f>SUMIF(I$12:AB$12,"总值",I16:AB16)</f>
        <v>461.58</v>
      </c>
      <c r="I16" s="1811">
        <v>461.58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7</v>
      </c>
      <c r="AY16" s="1533">
        <f>ROUND($AY$6*AZ16/$AZ$5,2)</f>
        <v>108.64</v>
      </c>
      <c r="AZ16" s="16">
        <f>BA16+BL16</f>
        <v>461.58</v>
      </c>
      <c r="BA16" s="16">
        <f>SUM(BB16:BK16)</f>
        <v>461.58</v>
      </c>
      <c r="BB16" s="16">
        <f>IF($D16="是",I16-J16,0)</f>
        <v>461.58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182">
        <v>8</v>
      </c>
      <c r="D17" s="1810" t="s">
        <v>3072</v>
      </c>
      <c r="E17" s="16">
        <f>IF($C$3="是",ROUND($A$3*G17/$B$3,2),ROUND($A$3*(G17-AT17)/$B$3,2))</f>
        <v>108.64</v>
      </c>
      <c r="F17" s="32"/>
      <c r="G17" s="33">
        <f>H17+AC17+AT17</f>
        <v>461.58</v>
      </c>
      <c r="H17" s="20">
        <f>SUMIF(I$12:AB$12,"总值",I17:AB17)</f>
        <v>461.58</v>
      </c>
      <c r="I17" s="1811">
        <v>461.58</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8</v>
      </c>
      <c r="AY17" s="1533">
        <f>ROUND($AY$6*AZ17/$AZ$5,2)</f>
        <v>108.64</v>
      </c>
      <c r="AZ17" s="16">
        <f>BA17+BL17</f>
        <v>461.58</v>
      </c>
      <c r="BA17" s="16">
        <f>SUM(BB17:BK17)</f>
        <v>461.58</v>
      </c>
      <c r="BB17" s="16">
        <f>IF($D17="是",I17-J17,0)</f>
        <v>461.58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9</v>
      </c>
      <c r="D18" s="1815" t="s">
        <v>3072</v>
      </c>
      <c r="E18" s="35">
        <f t="shared" ref="E18:E112" si="7">IF($C$3="是",ROUND($A$3*G18/$B$3,2),ROUND($A$3*(G18-AT18)/$B$3,2))</f>
        <v>107.81</v>
      </c>
      <c r="F18" s="36"/>
      <c r="G18" s="37">
        <f t="shared" ref="G18:G109" si="8">H18+AC18+AT18</f>
        <v>458.06</v>
      </c>
      <c r="H18" s="38">
        <f t="shared" ref="H18:H109" si="9">SUMIF(I$12:AB$12,"总值",I18:AB18)</f>
        <v>458.06</v>
      </c>
      <c r="I18" s="39">
        <v>458.06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9</v>
      </c>
      <c r="AY18" s="42">
        <f t="shared" ref="AY18:AY109" si="14">ROUND($AY$6*AZ18/$AZ$5,2)</f>
        <v>107.81</v>
      </c>
      <c r="AZ18" s="35">
        <f t="shared" ref="AZ18:AZ109" si="15">BA18+BL18</f>
        <v>458.06</v>
      </c>
      <c r="BA18" s="35">
        <f t="shared" ref="BA18:BA109" si="16">SUM(BB18:BK18)</f>
        <v>458.06</v>
      </c>
      <c r="BB18" s="35">
        <f t="shared" ref="BB18:BB109" si="17">IF($D18="是",I18-J18,0)</f>
        <v>458.06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10</v>
      </c>
      <c r="D19" s="1815" t="s">
        <v>3072</v>
      </c>
      <c r="E19" s="35">
        <f t="shared" si="7"/>
        <v>90.42</v>
      </c>
      <c r="F19" s="36"/>
      <c r="G19" s="37">
        <f t="shared" si="8"/>
        <v>384.15</v>
      </c>
      <c r="H19" s="38">
        <f t="shared" si="9"/>
        <v>384.15</v>
      </c>
      <c r="I19" s="39">
        <v>384.15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10</v>
      </c>
      <c r="AY19" s="42">
        <f t="shared" si="14"/>
        <v>90.42</v>
      </c>
      <c r="AZ19" s="35">
        <f t="shared" si="15"/>
        <v>384.15</v>
      </c>
      <c r="BA19" s="35">
        <f t="shared" si="16"/>
        <v>384.15</v>
      </c>
      <c r="BB19" s="35">
        <f t="shared" si="17"/>
        <v>384.15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11</v>
      </c>
      <c r="D20" s="1815" t="s">
        <v>3072</v>
      </c>
      <c r="E20" s="35">
        <f t="shared" si="7"/>
        <v>90.42</v>
      </c>
      <c r="F20" s="36"/>
      <c r="G20" s="37">
        <f t="shared" si="8"/>
        <v>384.15</v>
      </c>
      <c r="H20" s="38">
        <f t="shared" si="9"/>
        <v>384.15</v>
      </c>
      <c r="I20" s="39">
        <v>384.15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11</v>
      </c>
      <c r="AY20" s="42">
        <f t="shared" si="14"/>
        <v>90.42</v>
      </c>
      <c r="AZ20" s="35">
        <f t="shared" si="15"/>
        <v>384.15</v>
      </c>
      <c r="BA20" s="35">
        <f t="shared" si="16"/>
        <v>384.15</v>
      </c>
      <c r="BB20" s="35">
        <f t="shared" si="17"/>
        <v>384.15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12</v>
      </c>
      <c r="D21" s="1815" t="s">
        <v>3072</v>
      </c>
      <c r="E21" s="35">
        <f t="shared" si="7"/>
        <v>136.66</v>
      </c>
      <c r="F21" s="36"/>
      <c r="G21" s="37">
        <f t="shared" si="8"/>
        <v>580.61</v>
      </c>
      <c r="H21" s="38">
        <f t="shared" si="9"/>
        <v>580.61</v>
      </c>
      <c r="I21" s="39">
        <v>580.61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12</v>
      </c>
      <c r="AY21" s="42">
        <f t="shared" si="14"/>
        <v>136.66</v>
      </c>
      <c r="AZ21" s="35">
        <f t="shared" si="15"/>
        <v>580.61</v>
      </c>
      <c r="BA21" s="35">
        <f t="shared" si="16"/>
        <v>580.61</v>
      </c>
      <c r="BB21" s="35">
        <f t="shared" si="17"/>
        <v>580.61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13</v>
      </c>
      <c r="D22" s="1815" t="s">
        <v>3072</v>
      </c>
      <c r="E22" s="35">
        <f t="shared" si="7"/>
        <v>127.1</v>
      </c>
      <c r="F22" s="36"/>
      <c r="G22" s="37">
        <f t="shared" si="8"/>
        <v>540.01</v>
      </c>
      <c r="H22" s="38">
        <f t="shared" si="9"/>
        <v>540.01</v>
      </c>
      <c r="I22" s="39">
        <v>540.01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13</v>
      </c>
      <c r="AY22" s="42">
        <f t="shared" si="14"/>
        <v>127.1</v>
      </c>
      <c r="AZ22" s="35">
        <f t="shared" si="15"/>
        <v>540.01</v>
      </c>
      <c r="BA22" s="35">
        <f t="shared" si="16"/>
        <v>540.01</v>
      </c>
      <c r="BB22" s="35">
        <f t="shared" si="17"/>
        <v>540.01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14</v>
      </c>
      <c r="D23" s="1815" t="s">
        <v>3072</v>
      </c>
      <c r="E23" s="35">
        <f t="shared" si="7"/>
        <v>127.1</v>
      </c>
      <c r="F23" s="36"/>
      <c r="G23" s="37">
        <f t="shared" si="8"/>
        <v>540.01</v>
      </c>
      <c r="H23" s="38">
        <f t="shared" si="9"/>
        <v>540.01</v>
      </c>
      <c r="I23" s="39">
        <v>540.01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14</v>
      </c>
      <c r="AY23" s="42">
        <f t="shared" si="14"/>
        <v>127.1</v>
      </c>
      <c r="AZ23" s="35">
        <f t="shared" si="15"/>
        <v>540.01</v>
      </c>
      <c r="BA23" s="35">
        <f t="shared" si="16"/>
        <v>540.01</v>
      </c>
      <c r="BB23" s="35">
        <f t="shared" si="17"/>
        <v>540.01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2" t="s">
        <v>0</v>
      </c>
      <c r="B1" s="3152" t="s">
        <v>4</v>
      </c>
      <c r="C1" s="3152" t="s">
        <v>5</v>
      </c>
      <c r="D1" s="3153" t="s">
        <v>53</v>
      </c>
      <c r="E1" s="3153" t="s">
        <v>54</v>
      </c>
      <c r="F1" s="3153"/>
      <c r="G1" s="3153"/>
      <c r="H1" s="3153"/>
      <c r="I1" s="3153"/>
      <c r="J1" s="3153"/>
      <c r="K1" s="3153"/>
      <c r="L1" s="3153"/>
      <c r="M1" s="3153"/>
    </row>
    <row r="2" spans="1:13" ht="27" customHeight="1">
      <c r="A2" s="3152"/>
      <c r="B2" s="3152"/>
      <c r="C2" s="3152"/>
      <c r="D2" s="3153"/>
      <c r="E2" s="3153" t="s">
        <v>37</v>
      </c>
      <c r="F2" s="3153" t="s">
        <v>38</v>
      </c>
      <c r="G2" s="3153"/>
      <c r="H2" s="3153"/>
      <c r="I2" s="3153"/>
      <c r="J2" s="3153" t="s">
        <v>39</v>
      </c>
      <c r="K2" s="3153"/>
      <c r="L2" s="3153"/>
      <c r="M2" s="3153"/>
    </row>
    <row r="3" spans="1:13" ht="28.5">
      <c r="A3" s="3152"/>
      <c r="B3" s="3152"/>
      <c r="C3" s="3152"/>
      <c r="D3" s="3153"/>
      <c r="E3" s="31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3" t="s">
        <v>55</v>
      </c>
      <c r="B9" s="3153"/>
      <c r="C9" s="31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3" t="s">
        <v>1817</v>
      </c>
      <c r="B2" s="3163"/>
      <c r="C2" s="3163"/>
      <c r="D2" s="904" t="s">
        <v>1793</v>
      </c>
      <c r="E2" s="1824" t="s">
        <v>1794</v>
      </c>
      <c r="F2" s="2886"/>
      <c r="G2" s="2877"/>
      <c r="H2" s="2878"/>
      <c r="I2" s="2548" t="s">
        <v>1818</v>
      </c>
      <c r="J2" s="2886"/>
      <c r="K2" s="2886"/>
      <c r="L2" s="2886"/>
      <c r="M2" s="2886"/>
      <c r="N2" s="2888"/>
      <c r="O2" s="2886"/>
      <c r="P2" s="2886"/>
    </row>
    <row r="3" spans="1:16" ht="15.75" thickBot="1">
      <c r="A3" s="3164" t="s">
        <v>1791</v>
      </c>
      <c r="B3" s="3164"/>
      <c r="C3" s="3164"/>
      <c r="D3" s="46">
        <f>'数据-基础表'!AY6</f>
        <v>1510.18</v>
      </c>
      <c r="E3" s="46">
        <f>'数据-基础表'!AZ5</f>
        <v>6416.15</v>
      </c>
      <c r="F3" s="2886"/>
      <c r="G3" s="1307"/>
      <c r="H3" s="1157" t="s">
        <v>1792</v>
      </c>
      <c r="I3" s="964">
        <f>ROUND('数据-基础表'!B3/'数据-基础表'!A3,2)</f>
        <v>4.25</v>
      </c>
      <c r="J3" s="2886"/>
      <c r="K3" s="2886"/>
      <c r="L3" s="2886"/>
      <c r="M3" s="2886"/>
      <c r="N3" s="2888"/>
      <c r="O3" s="2886"/>
      <c r="P3" s="2886"/>
    </row>
    <row r="4" spans="1:16" ht="15">
      <c r="A4" s="3165"/>
      <c r="B4" s="3166"/>
      <c r="C4" s="3167"/>
      <c r="D4" s="1826" t="s">
        <v>1793</v>
      </c>
      <c r="E4" s="1827" t="s">
        <v>1794</v>
      </c>
      <c r="F4" s="2886"/>
      <c r="G4" s="2879" t="s">
        <v>1819</v>
      </c>
      <c r="H4" s="1157" t="s">
        <v>1799</v>
      </c>
      <c r="I4" s="964">
        <f>ROUND(SUMIF('数据-基础表'!I9:AS9,"地上",'数据-基础表'!I5:AS5)/'数据-基础表'!A3,2)</f>
        <v>4.25</v>
      </c>
      <c r="J4" s="2886"/>
      <c r="K4" s="2886"/>
      <c r="L4" s="2886"/>
      <c r="M4" s="2886"/>
      <c r="N4" s="2888"/>
      <c r="O4" s="2886"/>
      <c r="P4" s="2886"/>
    </row>
    <row r="5" spans="1:16">
      <c r="A5" s="47" t="s">
        <v>1795</v>
      </c>
      <c r="B5" s="3168" t="s">
        <v>1796</v>
      </c>
      <c r="C5" s="3168"/>
      <c r="D5" s="48">
        <f>ROUND($D$3*E5/$E$3,2)</f>
        <v>0</v>
      </c>
      <c r="E5" s="49">
        <f>SUMIF('数据-基础表'!$11:$11,"住宅",'数据-基础表'!$5:$5)</f>
        <v>0</v>
      </c>
      <c r="F5" s="2886"/>
      <c r="G5" s="1307"/>
      <c r="H5" s="1157" t="s">
        <v>1792</v>
      </c>
      <c r="I5" s="964">
        <f>ROUND(E31/D31,2)</f>
        <v>4.25</v>
      </c>
      <c r="J5" s="2886"/>
      <c r="K5" s="2886"/>
      <c r="L5" s="2886"/>
      <c r="M5" s="2886"/>
      <c r="N5" s="2886"/>
      <c r="O5" s="2886"/>
      <c r="P5" s="2886"/>
    </row>
    <row r="6" spans="1:16" ht="15" thickBot="1">
      <c r="A6" s="1829"/>
      <c r="B6" s="3168" t="s">
        <v>1797</v>
      </c>
      <c r="C6" s="3168"/>
      <c r="D6" s="48">
        <f>ROUND($D$3*E6/$E$3,2)</f>
        <v>1510.18</v>
      </c>
      <c r="E6" s="49">
        <f>E3-E5</f>
        <v>6416.15</v>
      </c>
      <c r="F6" s="2886"/>
      <c r="G6" s="2880" t="s">
        <v>1798</v>
      </c>
      <c r="H6" s="1308" t="s">
        <v>1799</v>
      </c>
      <c r="I6" s="2881">
        <f>ROUND(F31/D31,2)</f>
        <v>4.25</v>
      </c>
      <c r="J6" s="2886"/>
      <c r="K6" s="2886"/>
      <c r="L6" s="2886"/>
      <c r="M6" s="2886"/>
      <c r="N6" s="2886"/>
      <c r="O6" s="2886"/>
      <c r="P6" s="2886"/>
    </row>
    <row r="7" spans="1:16" ht="15.75" thickBot="1">
      <c r="A7" s="3160"/>
      <c r="B7" s="3161"/>
      <c r="C7" s="3162"/>
      <c r="D7" s="1826" t="s">
        <v>1793</v>
      </c>
      <c r="E7" s="1830" t="s">
        <v>1800</v>
      </c>
      <c r="F7" s="2886"/>
      <c r="G7" s="2882" t="s">
        <v>1801</v>
      </c>
      <c r="H7" s="2883"/>
      <c r="I7" s="2884">
        <v>4.2945000000000002</v>
      </c>
      <c r="J7" s="2886"/>
      <c r="K7" s="2886"/>
      <c r="L7" s="2886"/>
      <c r="M7" s="2886"/>
      <c r="N7" s="2886"/>
      <c r="O7" s="2886"/>
      <c r="P7" s="2886"/>
    </row>
    <row r="8" spans="1:16">
      <c r="A8" s="47" t="s">
        <v>1802</v>
      </c>
      <c r="B8" s="50" t="s">
        <v>1803</v>
      </c>
      <c r="C8" s="48" t="s">
        <v>1804</v>
      </c>
      <c r="D8" s="48">
        <f t="shared" ref="D8:D15" si="0">ROUND($D$3*E8/$E$3,2)</f>
        <v>1510.18</v>
      </c>
      <c r="E8" s="51">
        <f>SUMIF('数据-基础表'!BB10:BK10,"地上",'数据-基础表'!BB5:BK5)</f>
        <v>6416.15</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1510.18</v>
      </c>
      <c r="E16" s="53">
        <f>SUM(E8:E15)</f>
        <v>6416.15</v>
      </c>
      <c r="F16" s="2886"/>
      <c r="G16" s="2887"/>
      <c r="H16" s="1833" t="s">
        <v>1821</v>
      </c>
      <c r="I16" s="1834"/>
      <c r="J16" s="1301"/>
      <c r="K16" s="3157" t="s">
        <v>1821</v>
      </c>
      <c r="L16" s="3158"/>
      <c r="M16" s="3158"/>
      <c r="N16" s="3158"/>
      <c r="O16" s="3158"/>
      <c r="P16" s="3159"/>
    </row>
    <row r="17" spans="1:19" ht="15">
      <c r="A17" s="1835" t="s">
        <v>1822</v>
      </c>
      <c r="B17" s="1836" t="s">
        <v>1823</v>
      </c>
      <c r="C17" s="1837" t="s">
        <v>1824</v>
      </c>
      <c r="D17" s="1838" t="s">
        <v>1812</v>
      </c>
      <c r="E17" s="1839" t="s">
        <v>1813</v>
      </c>
      <c r="F17" s="1840"/>
      <c r="G17" s="1841"/>
      <c r="H17" s="1842" t="s">
        <v>1825</v>
      </c>
      <c r="I17" s="1843" t="s">
        <v>1810</v>
      </c>
      <c r="J17" s="1301"/>
      <c r="K17" s="3154" t="s">
        <v>1826</v>
      </c>
      <c r="L17" s="3155"/>
      <c r="M17" s="3156"/>
      <c r="N17" s="3154" t="s">
        <v>1827</v>
      </c>
      <c r="O17" s="3155"/>
      <c r="P17" s="3156"/>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3075</v>
      </c>
      <c r="D19" s="48">
        <f>ROUND($D$3*E19/$E$3,2)</f>
        <v>1510.18</v>
      </c>
      <c r="E19" s="56">
        <f t="shared" ref="E19:E26" si="1">SUM(F19:G19)</f>
        <v>6416.15</v>
      </c>
      <c r="F19" s="3026">
        <f>'数据-基础表'!I5</f>
        <v>6416.15</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1510.18</v>
      </c>
      <c r="S19" s="1158">
        <f t="shared" si="5"/>
        <v>6416.15</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1510.18</v>
      </c>
      <c r="E27" s="1303">
        <f>IF(SUM(E19:E26)='数据-基础表'!BA5,SUM(E19:E26),IF(F27="地上面积有误","面积有误","地下面积有误"))</f>
        <v>6416.15</v>
      </c>
      <c r="F27" s="1302">
        <f>IF(SUM(F19:F26)=E8,SUM(F19:F26),"地上面积有误")</f>
        <v>6416.15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1510.18</v>
      </c>
      <c r="S27" s="1157">
        <f>IF(SUM(S19:S26)=$E$3,SUM(S19:S26),SUM(S19:S26)&amp;"误差"&amp;ROUND(SUM(S19:S26)-E3,2))</f>
        <v>6416.15</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1510.18</v>
      </c>
      <c r="E31" s="685">
        <f>E27+E30</f>
        <v>6416.15</v>
      </c>
      <c r="F31" s="686">
        <f>F27+F30</f>
        <v>6416.15</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13.62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44490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54978</v>
      </c>
      <c r="F6" s="68">
        <f>SUMIF(项目基本情况!D$12:I$12,C6,项目基本情况!D$15:I$15)</f>
        <v>28.73</v>
      </c>
      <c r="G6" s="69">
        <f>IF(ISERROR(ROUND(POWER(1+H6,D6-F6)*(POWER(1+H6,F6)-1)/(POWER(1+H6,D6)-1),3)),0,ROUND(POWER(1+H6,D6-F6)*(POWER(1+H6,F6)-1)/(POWER(1+H6,D6)-1),3))</f>
        <v>0.78700000000000003</v>
      </c>
      <c r="H6" s="741">
        <v>0.04</v>
      </c>
      <c r="I6" s="741">
        <v>0.05</v>
      </c>
      <c r="J6" s="70">
        <v>7.0000000000000007E-2</v>
      </c>
      <c r="K6" s="1161">
        <f>SUMIF('数据-汇总表'!C$19:C$33,A6,'数据-汇总表'!E$19:E$33)</f>
        <v>6416.15</v>
      </c>
      <c r="L6" s="742">
        <v>3500</v>
      </c>
      <c r="M6" s="71">
        <f t="shared" ref="M6:M14" si="0">ROUND(K6*L6/10000,0)</f>
        <v>2246</v>
      </c>
      <c r="N6" s="740">
        <v>0.7</v>
      </c>
      <c r="O6" s="71" t="str">
        <f>IF($N$5="成新度","——",ROUND(M6*N6,0))</f>
        <v>——</v>
      </c>
      <c r="P6" s="72" t="str">
        <f>IF($N$5="成新度","——",M6-O6)</f>
        <v>——</v>
      </c>
      <c r="Q6" s="743">
        <v>0.2</v>
      </c>
      <c r="R6" s="73">
        <f ca="1">SUMIF('数据-汇总表'!C$19:C$33,A6,'数据-汇总表'!R$19:R$27)</f>
        <v>1510.18</v>
      </c>
      <c r="S6" s="54">
        <f>IF('数据-汇总表'!$I$17="按面积比例",SUMIF('数据-汇总表'!C$19:C$33,A6,'数据-汇总表'!K$19:K$33),SUMIF('数据-汇总表'!C$19:C$33,A6,'数据-汇总表'!N$19:N$33))</f>
        <v>0</v>
      </c>
      <c r="T6" s="1334">
        <f>ROUND($L$14*S6/10000,0)</f>
        <v>0</v>
      </c>
      <c r="U6" s="74">
        <v>5.5</v>
      </c>
      <c r="V6" s="3078">
        <v>2.5000000000000001E-2</v>
      </c>
      <c r="W6" s="75">
        <v>0.08</v>
      </c>
      <c r="X6" s="1171"/>
      <c r="Y6" s="76">
        <f>N6</f>
        <v>0.7</v>
      </c>
      <c r="Z6" s="77"/>
      <c r="AA6" s="70"/>
      <c r="AB6" s="70"/>
      <c r="AC6" s="1171"/>
      <c r="AD6" s="78"/>
      <c r="AE6" s="1172">
        <f ca="1">IF(AN6="",0,SUMIF(INDIRECT("'"&amp;AN6&amp;"'"&amp;"!E:E"),$AE$5,INDIRECT("'"&amp;AN6&amp;"'"&amp;"!F:F")))</f>
        <v>28.73</v>
      </c>
      <c r="AF6" s="1532"/>
      <c r="AG6" s="143">
        <f>IF(AF6="",0,AE6-AF6)</f>
        <v>0</v>
      </c>
      <c r="AH6" s="79">
        <f>'数据-基础表'!B3</f>
        <v>6416.15</v>
      </c>
      <c r="AI6" s="81">
        <v>365</v>
      </c>
      <c r="AJ6" s="82"/>
      <c r="AK6" s="83">
        <v>1.4999999999999999E-2</v>
      </c>
      <c r="AL6" s="84">
        <v>1.5E-3</v>
      </c>
      <c r="AM6" s="85">
        <v>0.01</v>
      </c>
      <c r="AN6" s="1901" t="s">
        <v>3078</v>
      </c>
      <c r="AO6" s="55">
        <f ca="1">SUMIF(INDIRECT("'"&amp;AN6&amp;"'"&amp;"!A:A"),"总价",INDIRECT("'"&amp;AN6&amp;"'"&amp;"!B:B"))</f>
        <v>18432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0.78700000000000003</v>
      </c>
      <c r="H16" s="95">
        <f>ROUND(SUMPRODUCT(H6:H13,K6:K13)/SUMPRODUCT((H6:H13&gt;0)*(K6:K13)),3)</f>
        <v>0.04</v>
      </c>
      <c r="I16" s="96"/>
      <c r="J16" s="96"/>
      <c r="K16" s="97">
        <f>SUM(K6:K15)</f>
        <v>6416.15</v>
      </c>
      <c r="L16" s="98">
        <f>ROUND(M16*10000/SUM(K6:K14),0)</f>
        <v>3501</v>
      </c>
      <c r="M16" s="98">
        <f>SUM(M6:M14)</f>
        <v>2246</v>
      </c>
      <c r="N16" s="99">
        <f>ROUND(SUMPRODUCT(M6:M14,N6:N14)/M16,3)</f>
        <v>0.7</v>
      </c>
      <c r="O16" s="98">
        <f>SUM(O6:O14)</f>
        <v>0</v>
      </c>
      <c r="P16" s="98">
        <f>SUM(P6:P14)</f>
        <v>0</v>
      </c>
      <c r="Q16" s="100">
        <f>ROUND(SUMPRODUCT(Q6:Q13,K6:K13)/SUMPRODUCT((Q6:Q13&gt;0)*(K6:K13)),2)</f>
        <v>0.2</v>
      </c>
      <c r="R16" s="1165">
        <f ca="1">SUM(R6:R13)</f>
        <v>1510.18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0.01</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0.01</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69" t="s">
        <v>3032</v>
      </c>
      <c r="B1" s="3170"/>
      <c r="C1" s="3170"/>
      <c r="D1" s="3170"/>
      <c r="E1" s="3170"/>
      <c r="F1" s="3170"/>
      <c r="G1" s="317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6416.15</v>
      </c>
      <c r="C1" s="2915"/>
      <c r="D1" s="2915"/>
      <c r="E1" s="2915"/>
      <c r="F1" s="2915"/>
      <c r="G1" s="2916"/>
      <c r="H1" s="2917"/>
      <c r="I1" s="2917"/>
      <c r="J1" s="2917"/>
      <c r="K1" s="2917"/>
    </row>
    <row r="2" spans="1:11" ht="16.5">
      <c r="A2" s="2738" t="s">
        <v>1319</v>
      </c>
      <c r="B2" s="2738">
        <f>SUM(C14:C23)</f>
        <v>1510.18</v>
      </c>
      <c r="C2" s="2915"/>
      <c r="D2" s="2915"/>
      <c r="E2" s="2915"/>
      <c r="F2" s="2915"/>
      <c r="G2" s="2916"/>
      <c r="H2" s="2917"/>
      <c r="I2" s="2917"/>
      <c r="J2" s="2917"/>
      <c r="K2" s="2917"/>
    </row>
    <row r="3" spans="1:11" ht="16.5">
      <c r="A3" s="2738" t="s">
        <v>1328</v>
      </c>
      <c r="B3" s="2740">
        <f>项目基本情况!D3</f>
        <v>44490</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19607</v>
      </c>
      <c r="C5" s="2738">
        <f ca="1">ROUND(B5*10000/$B$1,0)</f>
        <v>30559</v>
      </c>
      <c r="D5" s="2738">
        <f ca="1">ROUND(B5*10000/$B$2,0)</f>
        <v>129832</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19607</v>
      </c>
      <c r="C7" s="2738">
        <f ca="1">ROUND(B7*10000/$B$1,0)</f>
        <v>30559</v>
      </c>
      <c r="D7" s="2738">
        <f ca="1">ROUND(B7*10000/$B$2,0)</f>
        <v>129832</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6416.15</v>
      </c>
      <c r="C14" s="2744">
        <f>结果表!C118</f>
        <v>1510.18</v>
      </c>
      <c r="D14" s="2744">
        <f ca="1">结果表!H118</f>
        <v>19607</v>
      </c>
      <c r="E14" s="2744">
        <f ca="1">ROUND(D14*10000/B14,0)</f>
        <v>30559</v>
      </c>
      <c r="F14" s="2744">
        <f ca="1">ROUND(D14*10000/C14,0)</f>
        <v>129832</v>
      </c>
      <c r="G14" s="2744" t="str">
        <f>结果表!D122</f>
        <v>——</v>
      </c>
      <c r="H14" s="2744">
        <f ca="1">结果表!D124</f>
        <v>19607</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27</v>
      </c>
      <c r="D1" s="1933"/>
      <c r="E1" s="1933"/>
      <c r="F1" s="1935" t="s">
        <v>1949</v>
      </c>
      <c r="G1" s="1746" t="s">
        <v>3139</v>
      </c>
      <c r="H1" s="1936" t="str">
        <f>IF(G1="现房","——","估价对象范围")</f>
        <v>——</v>
      </c>
      <c r="I1" s="1937"/>
    </row>
    <row r="2" spans="1:12" ht="21.75" customHeight="1" thickBot="1">
      <c r="A2" s="3241" t="str">
        <f>项目基本情况!S2</f>
        <v>北京市房地产</v>
      </c>
      <c r="B2" s="3242"/>
      <c r="C2" s="3242"/>
      <c r="D2" s="3242"/>
      <c r="E2" s="3242"/>
      <c r="F2" s="3242"/>
      <c r="G2" s="3242"/>
      <c r="H2" s="3242"/>
      <c r="I2" s="3243"/>
    </row>
    <row r="3" spans="1:12" ht="12.75">
      <c r="A3" s="3245" t="s">
        <v>1950</v>
      </c>
      <c r="B3" s="3246"/>
      <c r="C3" s="3246"/>
      <c r="D3" s="3246"/>
      <c r="E3" s="3246"/>
      <c r="F3" s="3246"/>
      <c r="G3" s="3246"/>
      <c r="H3" s="3246"/>
      <c r="I3" s="3246"/>
    </row>
    <row r="4" spans="1:12" ht="14.25">
      <c r="A4" s="1940" t="s">
        <v>1951</v>
      </c>
      <c r="B4" s="1941" t="s">
        <v>1952</v>
      </c>
      <c r="C4" s="1942" t="s">
        <v>3078</v>
      </c>
      <c r="D4" s="1942" t="s">
        <v>3137</v>
      </c>
      <c r="E4" s="3250" t="s">
        <v>1953</v>
      </c>
      <c r="F4" s="3251"/>
      <c r="G4" s="3251"/>
      <c r="H4" s="3251"/>
      <c r="I4" s="3252"/>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186" t="s">
        <v>1954</v>
      </c>
      <c r="B5" s="3244">
        <v>25</v>
      </c>
      <c r="C5" s="3247">
        <v>5</v>
      </c>
      <c r="D5" s="3235">
        <f>10-C5</f>
        <v>5</v>
      </c>
      <c r="E5" s="136" t="s">
        <v>1955</v>
      </c>
      <c r="F5" s="1943"/>
      <c r="G5" s="1943"/>
      <c r="H5" s="1943"/>
      <c r="I5" s="1557"/>
    </row>
    <row r="6" spans="1:12" ht="12.75">
      <c r="A6" s="3186"/>
      <c r="B6" s="3244"/>
      <c r="C6" s="3249"/>
      <c r="D6" s="3235"/>
      <c r="E6" s="136" t="s">
        <v>1956</v>
      </c>
      <c r="F6" s="1943"/>
      <c r="G6" s="1943"/>
      <c r="H6" s="1943"/>
      <c r="I6" s="1557"/>
    </row>
    <row r="7" spans="1:12" ht="12.75">
      <c r="A7" s="3186"/>
      <c r="B7" s="3244"/>
      <c r="C7" s="3248"/>
      <c r="D7" s="3235"/>
      <c r="E7" s="136" t="s">
        <v>1957</v>
      </c>
      <c r="F7" s="1943"/>
      <c r="G7" s="1943"/>
      <c r="H7" s="1943"/>
      <c r="I7" s="1557"/>
    </row>
    <row r="8" spans="1:12" ht="12.75">
      <c r="A8" s="3186" t="s">
        <v>1958</v>
      </c>
      <c r="B8" s="3244">
        <v>15</v>
      </c>
      <c r="C8" s="3247"/>
      <c r="D8" s="3235"/>
      <c r="E8" s="136" t="s">
        <v>1959</v>
      </c>
      <c r="F8" s="1943"/>
      <c r="G8" s="1943"/>
      <c r="H8" s="1943"/>
      <c r="I8" s="1557"/>
    </row>
    <row r="9" spans="1:12" ht="12.75">
      <c r="A9" s="3186"/>
      <c r="B9" s="3244"/>
      <c r="C9" s="3248"/>
      <c r="D9" s="3235"/>
      <c r="E9" s="136" t="s">
        <v>1960</v>
      </c>
      <c r="F9" s="1943"/>
      <c r="G9" s="1943"/>
      <c r="H9" s="1943"/>
      <c r="I9" s="1557"/>
    </row>
    <row r="10" spans="1:12" ht="12.75">
      <c r="A10" s="3186" t="s">
        <v>1961</v>
      </c>
      <c r="B10" s="3244">
        <v>15</v>
      </c>
      <c r="C10" s="3247"/>
      <c r="D10" s="3235"/>
      <c r="E10" s="136" t="s">
        <v>1962</v>
      </c>
      <c r="F10" s="1943"/>
      <c r="G10" s="1943"/>
      <c r="H10" s="1943"/>
      <c r="I10" s="1557"/>
    </row>
    <row r="11" spans="1:12" ht="12.75">
      <c r="A11" s="3186"/>
      <c r="B11" s="3244"/>
      <c r="C11" s="3248"/>
      <c r="D11" s="3235"/>
      <c r="E11" s="136" t="s">
        <v>1963</v>
      </c>
      <c r="F11" s="1943"/>
      <c r="G11" s="1943"/>
      <c r="H11" s="1943"/>
      <c r="I11" s="1557"/>
    </row>
    <row r="12" spans="1:12" ht="12.75">
      <c r="A12" s="3186" t="s">
        <v>1964</v>
      </c>
      <c r="B12" s="3244">
        <v>15</v>
      </c>
      <c r="C12" s="3247"/>
      <c r="D12" s="3235"/>
      <c r="E12" s="136" t="s">
        <v>1965</v>
      </c>
      <c r="F12" s="1943"/>
      <c r="G12" s="1943"/>
      <c r="H12" s="1943"/>
      <c r="I12" s="1557"/>
    </row>
    <row r="13" spans="1:12" ht="12.75">
      <c r="A13" s="3186"/>
      <c r="B13" s="3244"/>
      <c r="C13" s="3248"/>
      <c r="D13" s="3235"/>
      <c r="E13" s="136" t="s">
        <v>1966</v>
      </c>
      <c r="F13" s="1943"/>
      <c r="G13" s="1943"/>
      <c r="H13" s="1943"/>
      <c r="I13" s="1557"/>
    </row>
    <row r="14" spans="1:12" ht="12.75">
      <c r="A14" s="3186" t="s">
        <v>1967</v>
      </c>
      <c r="B14" s="3244">
        <v>30</v>
      </c>
      <c r="C14" s="3247"/>
      <c r="D14" s="3235"/>
      <c r="E14" s="136" t="s">
        <v>1968</v>
      </c>
      <c r="F14" s="1943"/>
      <c r="G14" s="1943"/>
      <c r="H14" s="1943"/>
      <c r="I14" s="1557"/>
    </row>
    <row r="15" spans="1:12" ht="12.75">
      <c r="A15" s="3186"/>
      <c r="B15" s="3244"/>
      <c r="C15" s="3249"/>
      <c r="D15" s="3235"/>
      <c r="E15" s="136" t="s">
        <v>1969</v>
      </c>
      <c r="F15" s="1943"/>
      <c r="G15" s="1943"/>
      <c r="H15" s="1943"/>
      <c r="I15" s="1557"/>
    </row>
    <row r="16" spans="1:12" ht="12.75">
      <c r="A16" s="3186"/>
      <c r="B16" s="3244"/>
      <c r="C16" s="3248"/>
      <c r="D16" s="3235"/>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66" t="s">
        <v>2873</v>
      </c>
      <c r="F18" s="3267"/>
      <c r="G18" s="3267"/>
      <c r="H18" s="3267"/>
      <c r="I18" s="3267"/>
      <c r="K18" s="308" t="s">
        <v>1975</v>
      </c>
      <c r="L18" s="308">
        <f>IF(C1="",'数据-汇总表'!E3,SUMIF(项目类型,C1,'数据-汇总表'!E17:E26)+SUMIF(项目类型,C1,'数据-汇总表'!I17:I26))</f>
        <v>6416.15</v>
      </c>
      <c r="M18" s="308">
        <f>IF(C1="",'数据-汇总表'!E3,SUMIF(项目类型,C1,'数据-汇总表'!E17:E26))</f>
        <v>6416.15</v>
      </c>
    </row>
    <row r="19" spans="1:36" ht="15">
      <c r="A19" s="1947" t="s">
        <v>1976</v>
      </c>
      <c r="B19" s="1948" t="s">
        <v>1977</v>
      </c>
      <c r="C19" s="139">
        <f ca="1">SUMIF(INDIRECT("'"&amp;C4&amp;"'"&amp;"!A:A"),结果表!B19,INDIRECT("'"&amp;C4&amp;"'"&amp;"!B:B"))</f>
        <v>18432</v>
      </c>
      <c r="D19" s="140">
        <f ca="1">SUMIF(INDIRECT("'"&amp;D4&amp;"'"&amp;"!A:A"),结果表!B19,INDIRECT("'"&amp;D4&amp;"'"&amp;"!B:B"))</f>
        <v>20782</v>
      </c>
      <c r="E19" s="1947" t="s">
        <v>1978</v>
      </c>
      <c r="F19" s="1948" t="s">
        <v>1977</v>
      </c>
      <c r="G19" s="141">
        <f ca="1">ROUND(C19*$C$18+D19*$D$18,0)</f>
        <v>19607</v>
      </c>
      <c r="H19" s="1949" t="s">
        <v>1979</v>
      </c>
      <c r="I19" s="134"/>
      <c r="K19" s="308" t="s">
        <v>1980</v>
      </c>
      <c r="L19" s="308">
        <f>IF(C1="",'数据-汇总表'!D3,SUMIF(项目类型,C1,'数据-汇总表'!D17:D26)+SUMIF(项目类型,C1,'数据-汇总表'!H17:H27))</f>
        <v>1510.18</v>
      </c>
      <c r="M19" s="308">
        <f>IF(C1="",'数据-汇总表'!D3,SUMIF(项目类型,C1,'数据-汇总表'!D17:D26))</f>
        <v>1510.18</v>
      </c>
    </row>
    <row r="20" spans="1:36" ht="15">
      <c r="A20" s="1950"/>
      <c r="B20" s="1157" t="s">
        <v>1981</v>
      </c>
      <c r="C20" s="142">
        <f ca="1">SUMIF(INDIRECT("'"&amp;C4&amp;"'"&amp;"!A:A"),结果表!B20,INDIRECT("'"&amp;C4&amp;"'"&amp;"!B:B"))</f>
        <v>28728</v>
      </c>
      <c r="D20" s="143">
        <f ca="1">SUMIF(INDIRECT("'"&amp;D4&amp;"'"&amp;"!A:A"),结果表!B20,INDIRECT("'"&amp;D4&amp;"'"&amp;"!B:B"))</f>
        <v>32390</v>
      </c>
      <c r="E20" s="1950"/>
      <c r="F20" s="1157" t="s">
        <v>1981</v>
      </c>
      <c r="G20" s="144">
        <f ca="1">ROUND(C20*$C$18+D20*$D$18,0)</f>
        <v>30559</v>
      </c>
      <c r="H20" s="917" t="s">
        <v>1982</v>
      </c>
      <c r="I20" s="134"/>
    </row>
    <row r="21" spans="1:36" ht="15" customHeight="1" thickBot="1">
      <c r="A21" s="937"/>
      <c r="B21" s="1951" t="s">
        <v>1983</v>
      </c>
      <c r="C21" s="728">
        <f ca="1">ROUND(C19*10000/L19,0)</f>
        <v>122052</v>
      </c>
      <c r="D21" s="729">
        <f ca="1">ROUND(D19*10000/L19,0)</f>
        <v>137613</v>
      </c>
      <c r="E21" s="937"/>
      <c r="F21" s="1951" t="s">
        <v>1983</v>
      </c>
      <c r="G21" s="145">
        <f ca="1">ROUND(G19*10000/L19,0)</f>
        <v>129832</v>
      </c>
      <c r="H21" s="1952" t="s">
        <v>1982</v>
      </c>
      <c r="I21" s="134"/>
    </row>
    <row r="22" spans="1:36" ht="15" thickBot="1">
      <c r="A22" s="1874" t="s">
        <v>1984</v>
      </c>
      <c r="B22" s="1953"/>
      <c r="C22" s="1954"/>
      <c r="D22" s="730">
        <f ca="1">IF(C19&lt;D19,D19/C19-1,C19/D19-1)</f>
        <v>0.12749565972222232</v>
      </c>
      <c r="E22" s="134"/>
      <c r="F22" s="134"/>
      <c r="G22" s="134"/>
      <c r="H22" s="134"/>
      <c r="I22" s="134"/>
    </row>
    <row r="23" spans="1:36" ht="13.5" thickBot="1">
      <c r="A23" s="1933"/>
      <c r="B23" s="1933"/>
      <c r="C23" s="1933"/>
      <c r="D23" s="1933"/>
      <c r="E23" s="134"/>
      <c r="F23" s="134"/>
      <c r="G23" s="134"/>
      <c r="H23" s="134"/>
      <c r="I23" s="134"/>
    </row>
    <row r="24" spans="1:36" ht="14.25">
      <c r="A24" s="3259" t="s">
        <v>1985</v>
      </c>
      <c r="B24" s="1948" t="s">
        <v>1977</v>
      </c>
      <c r="C24" s="141">
        <f>IF(B30=0,0,D30)</f>
        <v>0</v>
      </c>
      <c r="D24" s="1955"/>
      <c r="E24" s="134"/>
      <c r="F24" s="134"/>
      <c r="G24" s="134"/>
      <c r="H24" s="134"/>
      <c r="I24" s="134"/>
    </row>
    <row r="25" spans="1:36" ht="14.25">
      <c r="A25" s="3260"/>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30559</v>
      </c>
      <c r="D32" s="1961" t="s">
        <v>3141</v>
      </c>
      <c r="E32" s="134"/>
      <c r="F32" s="134"/>
      <c r="G32" s="134"/>
      <c r="H32" s="134"/>
      <c r="I32" s="134"/>
    </row>
    <row r="33" spans="1:15" ht="15">
      <c r="A33" s="894" t="s">
        <v>1992</v>
      </c>
      <c r="B33" s="1962"/>
      <c r="C33" s="1963"/>
      <c r="D33" s="1964"/>
      <c r="E33" s="1965" t="s">
        <v>1993</v>
      </c>
      <c r="F33" s="1966" t="str">
        <f>IF(D32="楼面单价","取值（单价）","取值（总价）")</f>
        <v>取值（单价）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36" t="s">
        <v>1998</v>
      </c>
      <c r="B36" s="1973" t="s">
        <v>1999</v>
      </c>
      <c r="C36" s="150"/>
      <c r="D36" s="1974"/>
      <c r="E36" s="1975"/>
      <c r="F36" s="1976"/>
      <c r="G36" s="134"/>
      <c r="H36" s="134"/>
      <c r="I36" s="134"/>
    </row>
    <row r="37" spans="1:15" ht="15.75" thickBot="1">
      <c r="A37" s="3237"/>
      <c r="B37" s="1860" t="s">
        <v>2000</v>
      </c>
      <c r="C37" s="152"/>
      <c r="D37" s="1301"/>
      <c r="E37" s="1301"/>
      <c r="F37" s="1976"/>
      <c r="G37" s="134"/>
      <c r="H37" s="134"/>
      <c r="I37" s="134"/>
    </row>
    <row r="38" spans="1:15" ht="15.75" thickBot="1">
      <c r="A38" s="323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56" t="s">
        <v>2012</v>
      </c>
      <c r="B45" s="3257"/>
      <c r="C45" s="3258"/>
      <c r="D45" s="160">
        <f ca="1">ROUND(H101*F45,0)</f>
        <v>19607</v>
      </c>
      <c r="E45" s="161" t="s">
        <v>2013</v>
      </c>
      <c r="F45" s="162">
        <v>1</v>
      </c>
      <c r="G45" s="163" t="s">
        <v>2014</v>
      </c>
      <c r="H45" s="134"/>
      <c r="I45" s="134"/>
      <c r="J45" s="3173" t="s">
        <v>2015</v>
      </c>
      <c r="K45" s="3173"/>
      <c r="L45" s="3173"/>
      <c r="M45" s="3173"/>
      <c r="N45" s="3173"/>
      <c r="O45" s="3173"/>
    </row>
    <row r="46" spans="1:15" ht="14.25" customHeight="1">
      <c r="A46" s="3253" t="s">
        <v>2016</v>
      </c>
      <c r="B46" s="3254"/>
      <c r="C46" s="3254"/>
      <c r="D46" s="3254"/>
      <c r="E46" s="3254"/>
      <c r="F46" s="3254"/>
      <c r="G46" s="3255"/>
      <c r="H46" s="1992"/>
      <c r="I46" s="164"/>
      <c r="J46" s="2749">
        <v>1</v>
      </c>
      <c r="K46" s="3174" t="s">
        <v>2017</v>
      </c>
      <c r="L46" s="3174"/>
      <c r="M46" s="3175"/>
      <c r="N46" s="3175"/>
      <c r="O46" s="3175"/>
    </row>
    <row r="47" spans="1:15" ht="12" customHeight="1">
      <c r="A47" s="165" t="s">
        <v>2018</v>
      </c>
      <c r="B47" s="166"/>
      <c r="C47" s="167"/>
      <c r="D47" s="1247" t="s">
        <v>2019</v>
      </c>
      <c r="E47" s="308" t="s">
        <v>2020</v>
      </c>
      <c r="F47" s="168" t="s">
        <v>2021</v>
      </c>
      <c r="G47" s="2772" t="s">
        <v>2022</v>
      </c>
      <c r="H47" s="2773"/>
      <c r="I47" s="164"/>
      <c r="J47" s="2749">
        <v>2</v>
      </c>
      <c r="K47" s="3174" t="s">
        <v>2023</v>
      </c>
      <c r="L47" s="3174"/>
      <c r="M47" s="3176">
        <f>'数据-取费表'!B2</f>
        <v>44490</v>
      </c>
      <c r="N47" s="3176"/>
      <c r="O47" s="3176"/>
    </row>
    <row r="48" spans="1:15" ht="25.5">
      <c r="A48" s="3239" t="s">
        <v>2024</v>
      </c>
      <c r="B48" s="3240"/>
      <c r="C48" s="3240"/>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174" t="s">
        <v>2026</v>
      </c>
      <c r="L48" s="3174"/>
      <c r="M48" s="3177">
        <f ca="1">H101</f>
        <v>19607</v>
      </c>
      <c r="N48" s="3177"/>
      <c r="O48" s="3177"/>
    </row>
    <row r="49" spans="1:35" ht="25.5" customHeight="1">
      <c r="A49" s="2556" t="s">
        <v>2027</v>
      </c>
      <c r="B49" s="3222" t="s">
        <v>2028</v>
      </c>
      <c r="C49" s="3222"/>
      <c r="D49" s="1775">
        <v>0</v>
      </c>
      <c r="E49" s="330" t="s">
        <v>2029</v>
      </c>
      <c r="F49" s="2650" t="s">
        <v>34</v>
      </c>
      <c r="G49" s="3205"/>
      <c r="H49" s="2528" t="s">
        <v>2876</v>
      </c>
      <c r="I49" s="2529"/>
      <c r="J49" s="2749">
        <v>4</v>
      </c>
      <c r="K49" s="3174" t="str">
        <f>IF(项目基本情况!E8="房地产抵押价值","房地产抵押价值","抵押担保权已注销时的房地产抵押价值")</f>
        <v>抵押担保权已注销时的房地产抵押价值</v>
      </c>
      <c r="L49" s="3174"/>
      <c r="M49" s="3177">
        <f ca="1">IF(项目基本情况!E8="房地产抵押价值",H107,H109)</f>
        <v>19607</v>
      </c>
      <c r="N49" s="3177"/>
      <c r="O49" s="3177"/>
    </row>
    <row r="50" spans="1:35" ht="25.5" customHeight="1">
      <c r="A50" s="2777"/>
      <c r="B50" s="3222" t="s">
        <v>2030</v>
      </c>
      <c r="C50" s="3222"/>
      <c r="D50" s="2778"/>
      <c r="E50" s="338"/>
      <c r="F50" s="2650"/>
      <c r="G50" s="3206"/>
      <c r="H50" s="2530" t="s">
        <v>2877</v>
      </c>
      <c r="I50" s="2529"/>
      <c r="J50" s="3173" t="s">
        <v>2031</v>
      </c>
      <c r="K50" s="3173"/>
      <c r="L50" s="3173"/>
      <c r="M50" s="3173"/>
      <c r="N50" s="3173"/>
      <c r="O50" s="3173"/>
    </row>
    <row r="51" spans="1:35" ht="20.45" customHeight="1">
      <c r="A51" s="2779"/>
      <c r="B51" s="3222" t="s">
        <v>2032</v>
      </c>
      <c r="C51" s="3222"/>
      <c r="D51" s="1247"/>
      <c r="E51" s="333"/>
      <c r="F51" s="2650"/>
      <c r="G51" s="3207"/>
      <c r="H51" s="2530" t="s">
        <v>2878</v>
      </c>
      <c r="I51" s="2529"/>
      <c r="J51" s="2750" t="s">
        <v>2033</v>
      </c>
      <c r="K51" s="3174" t="s">
        <v>2034</v>
      </c>
      <c r="L51" s="3174"/>
      <c r="M51" s="2750" t="s">
        <v>2035</v>
      </c>
      <c r="N51" s="2750" t="s">
        <v>2036</v>
      </c>
      <c r="O51" s="2750" t="s">
        <v>2037</v>
      </c>
    </row>
    <row r="52" spans="1:35" ht="24" customHeight="1">
      <c r="A52" s="2558" t="s">
        <v>2038</v>
      </c>
      <c r="B52" s="3222" t="s">
        <v>2039</v>
      </c>
      <c r="C52" s="3222"/>
      <c r="D52" s="1247">
        <f ca="1">ROUND(D45*'数据-取费表'!B41/(1+'数据-取费表'!C42),0)</f>
        <v>1046</v>
      </c>
      <c r="E52" s="2557" t="s">
        <v>2040</v>
      </c>
      <c r="F52" s="2780">
        <f>'数据-取费表'!B41</f>
        <v>5.6000000000000001E-2</v>
      </c>
      <c r="G52" s="2781"/>
      <c r="H52" s="2770"/>
      <c r="I52" s="1993"/>
      <c r="J52" s="2749">
        <v>1</v>
      </c>
      <c r="K52" s="3199" t="s">
        <v>2041</v>
      </c>
      <c r="L52" s="3199"/>
      <c r="M52" s="2751" t="b">
        <f>D48</f>
        <v>0</v>
      </c>
      <c r="N52" s="2749" t="str">
        <f>E48</f>
        <v>销售额×税（费）率</v>
      </c>
      <c r="O52" s="2752">
        <f>F48</f>
        <v>5.6000000000000001E-2</v>
      </c>
    </row>
    <row r="53" spans="1:35" ht="12" customHeight="1">
      <c r="A53" s="2558" t="s">
        <v>2042</v>
      </c>
      <c r="B53" s="3223" t="s">
        <v>3037</v>
      </c>
      <c r="C53" s="3224"/>
      <c r="D53" s="1247">
        <f ca="1">ROUND(D45*'数据-取费表'!B41/(1+'数据-取费表'!C42),0)</f>
        <v>1046</v>
      </c>
      <c r="E53" s="2557" t="s">
        <v>2040</v>
      </c>
      <c r="F53" s="2780">
        <f>'数据-取费表'!B41</f>
        <v>5.6000000000000001E-2</v>
      </c>
      <c r="G53" s="2781"/>
      <c r="H53" s="2770"/>
      <c r="I53" s="1993"/>
      <c r="J53" s="2749">
        <v>2</v>
      </c>
      <c r="K53" s="3199" t="s">
        <v>2043</v>
      </c>
      <c r="L53" s="3199"/>
      <c r="M53" s="2751">
        <f t="shared" ref="M53:O54" ca="1" si="0">D55</f>
        <v>10</v>
      </c>
      <c r="N53" s="2749" t="str">
        <f t="shared" si="0"/>
        <v>销售额×税（费）率</v>
      </c>
      <c r="O53" s="2752" t="str">
        <f t="shared" si="0"/>
        <v>免征</v>
      </c>
    </row>
    <row r="54" spans="1:35" ht="12" customHeight="1">
      <c r="A54" s="2558" t="s">
        <v>2044</v>
      </c>
      <c r="B54" s="3223" t="s">
        <v>3038</v>
      </c>
      <c r="C54" s="3224"/>
      <c r="D54" s="1247">
        <f ca="1">C68</f>
        <v>1046</v>
      </c>
      <c r="E54" s="333" t="s">
        <v>2045</v>
      </c>
      <c r="F54" s="2780">
        <f>'数据-取费表'!B41</f>
        <v>5.6000000000000001E-2</v>
      </c>
      <c r="G54" s="2781"/>
      <c r="H54" s="2782"/>
      <c r="I54" s="1993"/>
      <c r="J54" s="2749">
        <v>3</v>
      </c>
      <c r="K54" s="3199" t="s">
        <v>2046</v>
      </c>
      <c r="L54" s="3199"/>
      <c r="M54" s="2751">
        <f t="shared" ca="1" si="0"/>
        <v>11097</v>
      </c>
      <c r="N54" s="2749" t="str">
        <f t="shared" si="0"/>
        <v>增值额×税（费）率</v>
      </c>
      <c r="O54" s="2753" t="str">
        <f t="shared" si="0"/>
        <v>免征</v>
      </c>
    </row>
    <row r="55" spans="1:35" ht="24" customHeight="1">
      <c r="A55" s="3262" t="s">
        <v>2047</v>
      </c>
      <c r="B55" s="3240"/>
      <c r="C55" s="3240"/>
      <c r="D55" s="2547">
        <f ca="1">IF(H55="个人住宅",0,ROUND(D45*I55,0))</f>
        <v>10</v>
      </c>
      <c r="E55" s="2557" t="s">
        <v>2048</v>
      </c>
      <c r="F55" s="2780" t="str">
        <f>IF(H55="正常",I55,"免征")</f>
        <v>免征</v>
      </c>
      <c r="G55" s="2781"/>
      <c r="H55" s="2776"/>
      <c r="I55" s="170">
        <f>'数据-取费表'!B49</f>
        <v>5.0000000000000001E-4</v>
      </c>
      <c r="J55" s="2749">
        <f>IF(H59="非个人房产","",4)</f>
        <v>4</v>
      </c>
      <c r="K55" s="3199" t="str">
        <f>IF(H59="非个人房产","——","个人所得税")</f>
        <v>个人所得税</v>
      </c>
      <c r="L55" s="3199"/>
      <c r="M55" s="2754">
        <f ca="1">D59</f>
        <v>187</v>
      </c>
      <c r="N55" s="2228" t="str">
        <f>E59</f>
        <v>差额计税</v>
      </c>
      <c r="O55" s="2755">
        <f>F59</f>
        <v>0.01</v>
      </c>
    </row>
    <row r="56" spans="1:35" ht="24.75">
      <c r="A56" s="3262" t="s">
        <v>2049</v>
      </c>
      <c r="B56" s="3240"/>
      <c r="C56" s="3240"/>
      <c r="D56" s="2547">
        <f ca="1">IF(H56="个人住宅",D57,D58)</f>
        <v>11097</v>
      </c>
      <c r="E56" s="2557" t="s">
        <v>2050</v>
      </c>
      <c r="F56" s="2780" t="str">
        <f>IF(H56="正常",F58,"免征")</f>
        <v>免征</v>
      </c>
      <c r="G56" s="2783" t="s">
        <v>2051</v>
      </c>
      <c r="H56" s="2784"/>
      <c r="I56" s="1994"/>
      <c r="J56" s="2749" t="str">
        <f>IF(项目基本情况!K6="上海银行",IF(J55="",4,J55+1),"")</f>
        <v/>
      </c>
      <c r="K56" s="3180" t="str">
        <f>IF(项目基本情况!K6="上海银行","其他处置费用","")</f>
        <v/>
      </c>
      <c r="L56" s="3181"/>
      <c r="M56" s="2751" t="str">
        <f>IF(项目基本情况!K6="上海银行",M69,"")</f>
        <v/>
      </c>
      <c r="N56" s="3180" t="str">
        <f>IF(项目基本情况!K6="上海银行","包含处置中涉及的律师、诉讼、拍卖、评估等费用","")</f>
        <v/>
      </c>
      <c r="O56" s="3183"/>
    </row>
    <row r="57" spans="1:35" ht="12.75">
      <c r="A57" s="2558" t="s">
        <v>2027</v>
      </c>
      <c r="B57" s="3223" t="s">
        <v>2052</v>
      </c>
      <c r="C57" s="3224"/>
      <c r="D57" s="1775">
        <v>0</v>
      </c>
      <c r="E57" s="330" t="s">
        <v>2029</v>
      </c>
      <c r="F57" s="308"/>
      <c r="G57" s="2781"/>
      <c r="H57" s="2785"/>
      <c r="I57" s="1994"/>
      <c r="J57" s="3199">
        <f>IF(AND(J55="",J56=""),4,IF(项目基本情况!K6="上海银行",结果表!J56+1,结果表!J55+1))</f>
        <v>5</v>
      </c>
      <c r="K57" s="3199" t="s">
        <v>2053</v>
      </c>
      <c r="L57" s="2756" t="s">
        <v>2054</v>
      </c>
      <c r="M57" s="2757"/>
      <c r="N57" s="2758">
        <f ca="1">SUMIF(M52:M56,"&lt;9e307")</f>
        <v>11294</v>
      </c>
      <c r="O57" s="2759"/>
      <c r="P57" s="2919">
        <f ca="1">N57/M49</f>
        <v>0.57601876880705871</v>
      </c>
    </row>
    <row r="58" spans="1:35" ht="24.75">
      <c r="A58" s="2558" t="s">
        <v>2038</v>
      </c>
      <c r="B58" s="3223" t="s">
        <v>2055</v>
      </c>
      <c r="C58" s="3222"/>
      <c r="D58" s="2547">
        <f ca="1">IF(H58="转让取得",C81,C97)</f>
        <v>11097</v>
      </c>
      <c r="E58" s="2557" t="s">
        <v>2050</v>
      </c>
      <c r="F58" s="308" t="s">
        <v>34</v>
      </c>
      <c r="G58" s="2781"/>
      <c r="H58" s="2784"/>
      <c r="I58" s="1994"/>
      <c r="J58" s="3199"/>
      <c r="K58" s="3199"/>
      <c r="L58" s="2756" t="s">
        <v>2056</v>
      </c>
      <c r="M58" s="2760"/>
      <c r="N58" s="2761" t="str">
        <f ca="1">NUMBERSTRING(INT(N57*10000),2)&amp;"元整"</f>
        <v>壹亿壹仟贰佰玖拾肆万元整</v>
      </c>
      <c r="O58" s="2762"/>
    </row>
    <row r="59" spans="1:35" ht="24.75" thickBot="1">
      <c r="A59" s="3203" t="s">
        <v>2057</v>
      </c>
      <c r="B59" s="3204"/>
      <c r="C59" s="3204"/>
      <c r="D59" s="2786">
        <f ca="1">IF(H59="非个人房产","——",IF(H59="个人住宅（满五唯一有凭证）",0,IF(H59="个人其他（无凭证）",ROUND(D45*F59,0),ROUND(C67*F59,0))))</f>
        <v>187</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201">
        <f>J57+1</f>
        <v>6</v>
      </c>
      <c r="K59" s="3199" t="s">
        <v>2058</v>
      </c>
      <c r="L59" s="2749" t="s">
        <v>2054</v>
      </c>
      <c r="M59" s="2763"/>
      <c r="N59" s="2764">
        <f ca="1">M49-N57</f>
        <v>8313</v>
      </c>
      <c r="O59" s="2765"/>
    </row>
    <row r="60" spans="1:35" ht="12" customHeight="1">
      <c r="A60" s="1995"/>
      <c r="B60" s="1933"/>
      <c r="C60" s="1933"/>
      <c r="D60" s="1933"/>
      <c r="E60" s="1763"/>
      <c r="F60" s="1994"/>
      <c r="G60" s="1994"/>
      <c r="H60" s="1996"/>
      <c r="I60" s="134"/>
      <c r="J60" s="3202"/>
      <c r="K60" s="3199"/>
      <c r="L60" s="2756" t="s">
        <v>2056</v>
      </c>
      <c r="M60" s="2760"/>
      <c r="N60" s="2761" t="str">
        <f ca="1">NUMBERSTRING(INT(N59*10000),2)&amp;"元整"</f>
        <v>捌仟叁佰壹拾叁万元整</v>
      </c>
      <c r="O60" s="2762"/>
    </row>
    <row r="61" spans="1:35" ht="13.5" thickBot="1">
      <c r="A61" s="3261" t="s">
        <v>2059</v>
      </c>
      <c r="B61" s="3261"/>
      <c r="C61" s="3261"/>
      <c r="D61" s="3261"/>
      <c r="E61" s="3261"/>
      <c r="F61" s="1994"/>
      <c r="G61" s="1994"/>
      <c r="H61" s="1996"/>
      <c r="I61" s="134"/>
      <c r="J61" s="2749">
        <f>J59+1</f>
        <v>7</v>
      </c>
      <c r="K61" s="3199" t="s">
        <v>2060</v>
      </c>
      <c r="L61" s="3199"/>
      <c r="M61" s="2766"/>
      <c r="N61" s="2767">
        <f ca="1">ROUND(N59*10000/'数据-汇总表'!E3,0)</f>
        <v>12956</v>
      </c>
      <c r="O61" s="2768"/>
    </row>
    <row r="62" spans="1:35" ht="12.75">
      <c r="A62" s="3218" t="s">
        <v>2061</v>
      </c>
      <c r="B62" s="3219"/>
      <c r="C62" s="2209"/>
      <c r="D62" s="2209" t="s">
        <v>2062</v>
      </c>
      <c r="E62" s="171" t="s">
        <v>2063</v>
      </c>
      <c r="F62" s="1994"/>
      <c r="G62" s="1994"/>
      <c r="H62" s="1996"/>
      <c r="I62" s="134"/>
    </row>
    <row r="63" spans="1:35" ht="12.75">
      <c r="A63" s="178" t="s">
        <v>775</v>
      </c>
      <c r="B63" s="172" t="s">
        <v>2064</v>
      </c>
      <c r="C63" s="2790">
        <f ca="1">ROUND((C64+C65)/(1+'数据-取费表'!C42),0)</f>
        <v>18673</v>
      </c>
      <c r="D63" s="172"/>
      <c r="E63" s="173"/>
      <c r="F63" s="1994"/>
      <c r="G63" s="1994"/>
      <c r="H63" s="1996"/>
      <c r="I63" s="134"/>
      <c r="J63" s="3182" t="s">
        <v>2065</v>
      </c>
      <c r="K63" s="1501" t="s">
        <v>2066</v>
      </c>
      <c r="L63" s="1501">
        <f ca="1">IF(M49&gt;10000,M49*0.5%,IF(AND(M49&gt;1000,M49&lt;=10000),M49*1%,IF(AND(M49&gt;100,M49&lt;=1000),M49*3%,IF(AND(M49&gt;10,M49&lt;=100),M49*5%,M49*8%))))</f>
        <v>98.034999999999997</v>
      </c>
      <c r="M63" s="308">
        <f ca="1">ROUND(L63,1)</f>
        <v>98</v>
      </c>
      <c r="N63" s="2769"/>
      <c r="Z63" s="1938"/>
      <c r="AI63" s="1939"/>
    </row>
    <row r="64" spans="1:35" ht="14.25" customHeight="1">
      <c r="A64" s="174" t="s">
        <v>770</v>
      </c>
      <c r="B64" s="175" t="s">
        <v>2067</v>
      </c>
      <c r="C64" s="2791">
        <f ca="1">D45</f>
        <v>19607</v>
      </c>
      <c r="D64" s="175" t="s">
        <v>32</v>
      </c>
      <c r="E64" s="177"/>
      <c r="F64" s="1994"/>
      <c r="G64" s="1994"/>
      <c r="H64" s="1996"/>
      <c r="I64" s="134"/>
      <c r="J64" s="3182"/>
      <c r="K64" s="1501" t="s">
        <v>2068</v>
      </c>
      <c r="L64" s="1501">
        <f ca="1">IF(M49&gt;2000,M49*0.5%,IF(AND(M49&gt;1000,M49&lt;=2000),M49*0.6%,IF(AND(M49&gt;500,M49&lt;=1000),M49*0.7%,IF(AND(M49&gt;200,M49&lt;=500),M49*0.8%,IF(AND(M49&gt;100,M49&lt;=200),M49*0.9%,IF(AND(M49&gt;50,M49&lt;=100),M49*1%,IF(AND(M49&gt;20,M49&lt;=50),M49*1.5%,IF(AND(M49&gt;10,M49&lt;=20),M49*2%,IF(AND(M49&gt;1,M49&lt;=10),M49*2.5%)))))))))</f>
        <v>98.034999999999997</v>
      </c>
      <c r="M64" s="308">
        <f t="shared" ref="M64:M65" ca="1" si="1">ROUND(L64,1)</f>
        <v>98</v>
      </c>
      <c r="N64" s="2770" t="s">
        <v>2069</v>
      </c>
      <c r="Z64" s="1938"/>
      <c r="AI64" s="1939"/>
    </row>
    <row r="65" spans="1:35" ht="14.25" customHeight="1">
      <c r="A65" s="174" t="s">
        <v>771</v>
      </c>
      <c r="B65" s="175" t="s">
        <v>2070</v>
      </c>
      <c r="C65" s="2792"/>
      <c r="D65" s="175"/>
      <c r="E65" s="177"/>
      <c r="F65" s="1994"/>
      <c r="G65" s="1994"/>
      <c r="H65" s="1996"/>
      <c r="I65" s="134"/>
      <c r="J65" s="3182"/>
      <c r="K65" s="1501" t="s">
        <v>2071</v>
      </c>
      <c r="L65" s="1501">
        <f ca="1">IF(M49&gt;1000,M49*0.1%,IF(AND(M49&gt;500,M49&lt;=1000),M49*0.5%,IF(AND(M49&gt;50,M49&lt;=500),M49*1%,IF(AND(M49&gt;1,M49&lt;=50),M49*1.5%))))</f>
        <v>19.606999999999999</v>
      </c>
      <c r="M65" s="308">
        <f t="shared" ca="1" si="1"/>
        <v>19.600000000000001</v>
      </c>
      <c r="N65" s="2770" t="s">
        <v>2069</v>
      </c>
      <c r="Z65" s="1938"/>
      <c r="AI65" s="1939"/>
    </row>
    <row r="66" spans="1:35" ht="14.25" customHeight="1">
      <c r="A66" s="178" t="s">
        <v>772</v>
      </c>
      <c r="B66" s="179" t="s">
        <v>2072</v>
      </c>
      <c r="C66" s="2793"/>
      <c r="D66" s="179" t="s">
        <v>32</v>
      </c>
      <c r="E66" s="1509" t="s">
        <v>1337</v>
      </c>
      <c r="F66" s="1994"/>
      <c r="G66" s="1994"/>
      <c r="H66" s="1996"/>
      <c r="I66" s="134"/>
      <c r="J66" s="3182"/>
      <c r="K66" s="1501" t="s">
        <v>2073</v>
      </c>
      <c r="L66" s="1501">
        <f ca="1">M49*0.5%</f>
        <v>98.034999999999997</v>
      </c>
      <c r="M66" s="308">
        <f ca="1">IF(L66&gt;0.5,0.5,ROUND(L66,0))</f>
        <v>0.5</v>
      </c>
      <c r="N66" s="2770" t="s">
        <v>2074</v>
      </c>
      <c r="Z66" s="1938"/>
      <c r="AI66" s="1939"/>
    </row>
    <row r="67" spans="1:35" ht="14.25" customHeight="1">
      <c r="A67" s="178" t="s">
        <v>773</v>
      </c>
      <c r="B67" s="179" t="s">
        <v>2075</v>
      </c>
      <c r="C67" s="2794">
        <f ca="1">C63-C66</f>
        <v>18673</v>
      </c>
      <c r="D67" s="175" t="s">
        <v>32</v>
      </c>
      <c r="E67" s="177"/>
      <c r="F67" s="1994"/>
      <c r="G67" s="1994"/>
      <c r="H67" s="1996"/>
      <c r="I67" s="134"/>
      <c r="J67" s="3182"/>
      <c r="K67" s="1501" t="s">
        <v>2076</v>
      </c>
      <c r="L67" s="1501">
        <f ca="1">IF(M49&gt;=10000,(8.25+(M49-10000)*0.01%),IF(AND(M49&gt;=8000,M49&lt;10000),(7.85+(M49-8000)*0.02%),IF(AND(M49&gt;=5000,M49&lt;8000),(6.65+(M49-5000)*0.04%),IF(AND(M49&gt;=2000,M49&lt;5000),(4.25+(PM49-2000)*0.08%),IF(AND(M49&gt;=1000,M49&lt;2000),(2.75+(M49-1000)*0.15%),IF(AND(M49&gt;=100,M49&lt;1000),(0.5+(M49-100)*0.25%),IF(AND(M49&gt;0,M49&lt;100),M49*0.5%)))))))</f>
        <v>9.2106999999999992</v>
      </c>
      <c r="M67" s="308">
        <f ca="1">ROUND(L67*0.9,1)</f>
        <v>8.3000000000000007</v>
      </c>
      <c r="N67" s="2769"/>
      <c r="Z67" s="1938"/>
      <c r="AI67" s="1939"/>
    </row>
    <row r="68" spans="1:35" ht="14.25" customHeight="1" thickBot="1">
      <c r="A68" s="181" t="s">
        <v>774</v>
      </c>
      <c r="B68" s="182" t="s">
        <v>2077</v>
      </c>
      <c r="C68" s="2795">
        <f ca="1">IF(C67&lt;=0,0,ROUND(C67*D68,0))</f>
        <v>1046</v>
      </c>
      <c r="D68" s="2796">
        <f>'数据-取费表'!B41</f>
        <v>5.6000000000000001E-2</v>
      </c>
      <c r="E68" s="184"/>
      <c r="F68" s="1994"/>
      <c r="G68" s="1994"/>
      <c r="H68" s="1996"/>
      <c r="I68" s="134"/>
      <c r="J68" s="3182"/>
      <c r="K68" s="1501" t="s">
        <v>2078</v>
      </c>
      <c r="L68" s="1501">
        <f ca="1">IF(M49&gt;10000,M49*0.5%,IF(AND(M49&gt;5000,M49&lt;=10000),M49*1%,IF(AND(M49&gt;1000,M49&lt;=5000),M49*2%,IF(AND(M49&gt;200,M49&lt;=1000),M49*3%,M49*5%))))</f>
        <v>98.034999999999997</v>
      </c>
      <c r="M68" s="308">
        <f ca="1">ROUND(L68,1)</f>
        <v>98</v>
      </c>
      <c r="N68" s="2769"/>
      <c r="Z68" s="1938"/>
      <c r="AI68" s="1939"/>
    </row>
    <row r="69" spans="1:35" s="1958" customFormat="1" ht="16.5" customHeight="1">
      <c r="A69" s="1997"/>
      <c r="B69" s="1998"/>
      <c r="C69" s="1999"/>
      <c r="D69" s="2000"/>
      <c r="E69" s="2001"/>
      <c r="F69" s="1763"/>
      <c r="G69" s="1763"/>
      <c r="H69" s="1762"/>
      <c r="I69" s="1933"/>
      <c r="J69" s="3182"/>
      <c r="K69" s="1501" t="s">
        <v>2079</v>
      </c>
      <c r="L69" s="1501"/>
      <c r="M69" s="308">
        <f ca="1">ROUND(SUM(M63:M68),0)</f>
        <v>322</v>
      </c>
      <c r="N69" s="2771">
        <f ca="1">M69/M49</f>
        <v>1.6422706176365584E-2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6" t="s">
        <v>2080</v>
      </c>
      <c r="B70" s="3227"/>
      <c r="C70" s="3227"/>
      <c r="D70" s="3227"/>
      <c r="E70" s="3227"/>
      <c r="F70" s="3227"/>
      <c r="G70" s="3227"/>
      <c r="H70" s="322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8" t="s">
        <v>2061</v>
      </c>
      <c r="B71" s="3219"/>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18673</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112</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23" t="s">
        <v>2088</v>
      </c>
      <c r="F76" s="3222"/>
      <c r="G76" s="3222"/>
      <c r="H76" s="322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112</v>
      </c>
      <c r="D78" s="2803">
        <f>'数据-取费表'!B43</f>
        <v>6.000000000000001E-3</v>
      </c>
      <c r="E78" s="3215" t="s">
        <v>2092</v>
      </c>
      <c r="F78" s="3216"/>
      <c r="G78" s="3216"/>
      <c r="H78" s="321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18561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165.72321428571428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11097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6" t="s">
        <v>2096</v>
      </c>
      <c r="B83" s="3227"/>
      <c r="C83" s="3227"/>
      <c r="D83" s="3227"/>
      <c r="E83" s="3227"/>
      <c r="F83" s="3227"/>
      <c r="G83" s="3227"/>
      <c r="H83" s="322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8" t="s">
        <v>2061</v>
      </c>
      <c r="B84" s="321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18673</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112</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84" t="s">
        <v>2871</v>
      </c>
      <c r="H90" s="3185"/>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215" t="s">
        <v>2105</v>
      </c>
      <c r="F91" s="3216"/>
      <c r="G91" s="321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215" t="s">
        <v>2108</v>
      </c>
      <c r="F92" s="3216"/>
      <c r="G92" s="3216"/>
      <c r="H92" s="3217"/>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112</v>
      </c>
      <c r="D93" s="2803">
        <f>'数据-取费表'!B43</f>
        <v>6.000000000000001E-3</v>
      </c>
      <c r="E93" s="3215" t="s">
        <v>2092</v>
      </c>
      <c r="F93" s="3216"/>
      <c r="G93" s="3216"/>
      <c r="H93" s="321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63" t="s">
        <v>2112</v>
      </c>
      <c r="F94" s="3264"/>
      <c r="G94" s="3264"/>
      <c r="H94" s="326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18561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165.72321428571428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11097</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65" t="s">
        <v>2114</v>
      </c>
      <c r="B100" s="3166"/>
      <c r="C100" s="3166"/>
      <c r="D100" s="3200"/>
      <c r="E100" s="3166" t="s">
        <v>2115</v>
      </c>
      <c r="F100" s="3166"/>
      <c r="G100" s="3166"/>
      <c r="H100" s="3200"/>
      <c r="I100" s="134"/>
    </row>
    <row r="101" spans="1:35" ht="18.75" customHeight="1">
      <c r="A101" s="3208" t="s">
        <v>2116</v>
      </c>
      <c r="B101" s="3209"/>
      <c r="C101" s="2811" t="str">
        <f>C4</f>
        <v>收益法 (元)</v>
      </c>
      <c r="D101" s="2812" t="str">
        <f>D4</f>
        <v>比较法-办公</v>
      </c>
      <c r="E101" s="3178" t="s">
        <v>2117</v>
      </c>
      <c r="F101" s="3179"/>
      <c r="G101" s="2013" t="s">
        <v>2118</v>
      </c>
      <c r="H101" s="2821">
        <f ca="1">H118</f>
        <v>19607</v>
      </c>
      <c r="I101" s="134"/>
    </row>
    <row r="102" spans="1:35" ht="18.75" customHeight="1">
      <c r="A102" s="3210" t="s">
        <v>2119</v>
      </c>
      <c r="B102" s="2810" t="s">
        <v>2118</v>
      </c>
      <c r="C102" s="2811">
        <f ca="1">C19</f>
        <v>18432</v>
      </c>
      <c r="D102" s="2812">
        <f ca="1">D19</f>
        <v>20782</v>
      </c>
      <c r="E102" s="3178"/>
      <c r="F102" s="3179"/>
      <c r="G102" s="2013" t="s">
        <v>2120</v>
      </c>
      <c r="H102" s="2781">
        <f ca="1">I118</f>
        <v>30559</v>
      </c>
      <c r="I102" s="134"/>
    </row>
    <row r="103" spans="1:35" ht="42.75" customHeight="1">
      <c r="A103" s="3210"/>
      <c r="B103" s="2810" t="s">
        <v>2120</v>
      </c>
      <c r="C103" s="2813">
        <f ca="1">C20</f>
        <v>28728</v>
      </c>
      <c r="D103" s="2814">
        <f ca="1">D20</f>
        <v>32390</v>
      </c>
      <c r="E103" s="3171" t="s">
        <v>2121</v>
      </c>
      <c r="F103" s="3172"/>
      <c r="G103" s="2014" t="s">
        <v>2122</v>
      </c>
      <c r="H103" s="2821">
        <f>IF(D36="正常操作",H104+H105+H106,H105+H106)</f>
        <v>0</v>
      </c>
      <c r="I103" s="134"/>
    </row>
    <row r="104" spans="1:35" ht="18.75" customHeight="1">
      <c r="A104" s="3210" t="s">
        <v>2123</v>
      </c>
      <c r="B104" s="2815" t="s">
        <v>2118</v>
      </c>
      <c r="C104" s="2816">
        <f ca="1">H118</f>
        <v>19607</v>
      </c>
      <c r="D104" s="2817"/>
      <c r="E104" s="1860" t="s">
        <v>2124</v>
      </c>
      <c r="F104" s="1851"/>
      <c r="G104" s="2014" t="s">
        <v>2122</v>
      </c>
      <c r="H104" s="2822">
        <f>IF(D36="同一抵押权人同一抵押物续贷",C36&amp;"（续贷，未扣减，详见特别提示）",C36)</f>
        <v>0</v>
      </c>
      <c r="I104" s="134"/>
    </row>
    <row r="105" spans="1:35" ht="18.75" customHeight="1" thickBot="1">
      <c r="A105" s="3220"/>
      <c r="B105" s="2818" t="s">
        <v>2120</v>
      </c>
      <c r="C105" s="2819">
        <f ca="1">I118</f>
        <v>30559</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11" t="str">
        <f>IF(项目基本情况!E8="已注销","——","3.房地产抵押价值")</f>
        <v>——</v>
      </c>
      <c r="F107" s="3179"/>
      <c r="G107" s="2013" t="s">
        <v>2118</v>
      </c>
      <c r="H107" s="2821" t="str">
        <f>IF(E107="——","——",H101-H103)</f>
        <v>——</v>
      </c>
      <c r="I107" s="134"/>
    </row>
    <row r="108" spans="1:35" ht="18.75" customHeight="1">
      <c r="A108" s="134"/>
      <c r="B108" s="134"/>
      <c r="C108" s="134"/>
      <c r="D108" s="134"/>
      <c r="E108" s="3211"/>
      <c r="F108" s="3179"/>
      <c r="G108" s="2013" t="s">
        <v>2120</v>
      </c>
      <c r="H108" s="2781" t="e">
        <f>ROUND(H107*10000/'数据-汇总表'!E3,0)</f>
        <v>#VALUE!</v>
      </c>
      <c r="I108" s="134"/>
    </row>
    <row r="109" spans="1:35" ht="18.75" customHeight="1">
      <c r="A109" s="134"/>
      <c r="B109" s="134"/>
      <c r="C109" s="134"/>
      <c r="D109" s="134"/>
      <c r="E109" s="3211" t="str">
        <f>IF(项目基本情况!E8="已注销及未注销","4.抵押担保权已注销时的房地产抵押价值",IF(项目基本情况!E8="已注销","3.抵押担保权已注销时的房地产抵押价值","——"))</f>
        <v>3.抵押担保权已注销时的房地产抵押价值</v>
      </c>
      <c r="F109" s="3179"/>
      <c r="G109" s="2013" t="s">
        <v>2118</v>
      </c>
      <c r="H109" s="2824">
        <f ca="1">IF(E109="——","——",H101-H105-H106)</f>
        <v>19607</v>
      </c>
      <c r="I109" s="134"/>
    </row>
    <row r="110" spans="1:35" ht="18.75" customHeight="1">
      <c r="A110" s="134"/>
      <c r="B110" s="134"/>
      <c r="C110" s="134"/>
      <c r="D110" s="134"/>
      <c r="E110" s="3211"/>
      <c r="F110" s="3179"/>
      <c r="G110" s="2013" t="s">
        <v>2120</v>
      </c>
      <c r="H110" s="2781">
        <f ca="1">IF(H109="——","——",ROUND(H109*10000/'数据-汇总表'!E3,0))</f>
        <v>30559</v>
      </c>
      <c r="I110" s="134"/>
    </row>
    <row r="111" spans="1:35" ht="18.75" customHeight="1">
      <c r="A111" s="134"/>
      <c r="B111" s="134"/>
      <c r="C111" s="134"/>
      <c r="D111" s="134"/>
      <c r="E111" s="3212" t="str">
        <f>IF(项目基本情况!E9="抵押净值",IF(OR(项目基本情况!E8="已注销",项目基本情况!E8="房地产抵押价值"),"4.抵押净值","5.抵押净值"),"——")</f>
        <v>——</v>
      </c>
      <c r="F111" s="3198"/>
      <c r="G111" s="2013" t="s">
        <v>2118</v>
      </c>
      <c r="H111" s="2821" t="str">
        <f>IF(E111="——","——",N59)</f>
        <v>——</v>
      </c>
      <c r="I111" s="134"/>
    </row>
    <row r="112" spans="1:35" ht="18.75" customHeight="1" thickBot="1">
      <c r="A112" s="134"/>
      <c r="B112" s="134"/>
      <c r="C112" s="134"/>
      <c r="D112" s="134"/>
      <c r="E112" s="3213"/>
      <c r="F112" s="3214"/>
      <c r="G112" s="2016" t="s">
        <v>2120</v>
      </c>
      <c r="H112" s="2825" t="str">
        <f>IF(E111="——","——",N61)</f>
        <v>——</v>
      </c>
      <c r="I112" s="134"/>
    </row>
    <row r="113" spans="1:27" ht="18.75" customHeight="1">
      <c r="A113" s="134"/>
      <c r="B113" s="134"/>
      <c r="C113" s="134"/>
      <c r="D113" s="134"/>
      <c r="E113" s="3221" t="s">
        <v>2126</v>
      </c>
      <c r="F113" s="3221"/>
      <c r="G113" s="3221"/>
      <c r="H113" s="3221"/>
      <c r="I113" s="134"/>
    </row>
    <row r="114" spans="1:27" ht="3.75" customHeight="1">
      <c r="A114" s="1933"/>
      <c r="B114" s="1933"/>
      <c r="C114" s="1933"/>
      <c r="D114" s="1933"/>
      <c r="E114" s="1995"/>
      <c r="F114" s="1995"/>
      <c r="G114" s="1995"/>
      <c r="H114" s="1995"/>
      <c r="I114" s="1933"/>
    </row>
    <row r="115" spans="1:27" ht="18.75" customHeight="1">
      <c r="A115" s="3232" t="s">
        <v>2128</v>
      </c>
      <c r="B115" s="3233"/>
      <c r="C115" s="3233"/>
      <c r="D115" s="3233"/>
      <c r="E115" s="3233"/>
      <c r="F115" s="3233"/>
      <c r="G115" s="3233"/>
      <c r="H115" s="3233"/>
      <c r="I115" s="3234"/>
    </row>
    <row r="116" spans="1:27" ht="27" customHeight="1">
      <c r="A116" s="3186" t="s">
        <v>2129</v>
      </c>
      <c r="B116" s="3190" t="s">
        <v>2130</v>
      </c>
      <c r="C116" s="3190" t="s">
        <v>2131</v>
      </c>
      <c r="D116" s="3196" t="s">
        <v>2132</v>
      </c>
      <c r="E116" s="3197"/>
      <c r="F116" s="3228" t="s">
        <v>2133</v>
      </c>
      <c r="G116" s="3228"/>
      <c r="H116" s="3186" t="s">
        <v>2134</v>
      </c>
      <c r="I116" s="3186"/>
    </row>
    <row r="117" spans="1:27" ht="18.75" customHeight="1">
      <c r="A117" s="3186"/>
      <c r="B117" s="3191"/>
      <c r="C117" s="3191"/>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6416.15</v>
      </c>
      <c r="C118" s="2552">
        <f>M19</f>
        <v>1510.18</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19607</v>
      </c>
      <c r="I118" s="2552">
        <f ca="1">ROUND(IF(D32="楼面单价",C32,H118*10000/B118),0)</f>
        <v>30559</v>
      </c>
    </row>
    <row r="119" spans="1:27" ht="18.75" customHeight="1">
      <c r="A119" s="3186" t="s">
        <v>2138</v>
      </c>
      <c r="B119" s="3186"/>
      <c r="C119" s="3186"/>
      <c r="D119" s="3192" t="e">
        <f ca="1">NUMBERSTRING(INT(D118*10000),2)&amp;"元整"</f>
        <v>#REF!</v>
      </c>
      <c r="E119" s="3193"/>
      <c r="F119" s="3192" t="e">
        <f ca="1">NUMBERSTRING(INT(F118*10000),2)&amp;"元整"</f>
        <v>#REF!</v>
      </c>
      <c r="G119" s="3193"/>
      <c r="H119" s="3192" t="str">
        <f ca="1">NUMBERSTRING(INT(H118*10000),2)&amp;"元整"</f>
        <v>壹亿玖仟陆佰零柒万元整</v>
      </c>
      <c r="I119" s="3193"/>
    </row>
    <row r="120" spans="1:27" ht="18.75" customHeight="1">
      <c r="A120" s="3187" t="str">
        <f>IF(项目基本情况!B9="房地产市场价值","",MID(E103,3,LEN(E103)-2))</f>
        <v/>
      </c>
      <c r="B120" s="3188"/>
      <c r="C120" s="3189"/>
      <c r="D120" s="3187">
        <f>H103</f>
        <v>0</v>
      </c>
      <c r="E120" s="3188"/>
      <c r="F120" s="3188"/>
      <c r="G120" s="3188"/>
      <c r="H120" s="3188"/>
      <c r="I120" s="3189"/>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29" t="s">
        <v>2138</v>
      </c>
      <c r="B121" s="3230"/>
      <c r="C121" s="3231"/>
      <c r="D121" s="3192" t="str">
        <f>IF(D120=0,"零元整",NUMBERSTRING(INT(D120*10000),2)&amp;"元整")</f>
        <v>零元整</v>
      </c>
      <c r="E121" s="3194"/>
      <c r="F121" s="3194"/>
      <c r="G121" s="3194"/>
      <c r="H121" s="3194"/>
      <c r="I121" s="3193"/>
      <c r="AA121" s="734"/>
    </row>
    <row r="122" spans="1:27" ht="18.75" customHeight="1">
      <c r="A122" s="3198" t="str">
        <f>IF(项目基本情况!B9="房地产市场价值","",MID(E107,3,LEN(E107)-2))</f>
        <v/>
      </c>
      <c r="B122" s="3198"/>
      <c r="C122" s="3198"/>
      <c r="D122" s="3187" t="str">
        <f>H107</f>
        <v>——</v>
      </c>
      <c r="E122" s="3188"/>
      <c r="F122" s="3188"/>
      <c r="G122" s="3188"/>
      <c r="H122" s="3188"/>
      <c r="I122" s="3189"/>
      <c r="AA122" s="734"/>
    </row>
    <row r="123" spans="1:27" ht="18.75" customHeight="1">
      <c r="A123" s="3186" t="s">
        <v>2138</v>
      </c>
      <c r="B123" s="3186"/>
      <c r="C123" s="3186"/>
      <c r="D123" s="3192" t="e">
        <f>NUMBERSTRING(INT(D122*10000),2)&amp;"元整"</f>
        <v>#VALUE!</v>
      </c>
      <c r="E123" s="3194"/>
      <c r="F123" s="3194"/>
      <c r="G123" s="3194"/>
      <c r="H123" s="3194"/>
      <c r="I123" s="3193"/>
      <c r="AA123" s="734"/>
    </row>
    <row r="124" spans="1:27" ht="18.75" customHeight="1">
      <c r="A124" s="3198" t="str">
        <f>IF(项目基本情况!B9="房地产市场价值","",MID(E109,3,LEN(E109)-2))</f>
        <v/>
      </c>
      <c r="B124" s="3198"/>
      <c r="C124" s="3198"/>
      <c r="D124" s="3187">
        <f ca="1">H109</f>
        <v>19607</v>
      </c>
      <c r="E124" s="3188"/>
      <c r="F124" s="3188"/>
      <c r="G124" s="3188"/>
      <c r="H124" s="3188"/>
      <c r="I124" s="3189"/>
      <c r="AA124" s="734"/>
    </row>
    <row r="125" spans="1:27" ht="18.75" customHeight="1">
      <c r="A125" s="3186" t="s">
        <v>2138</v>
      </c>
      <c r="B125" s="3186"/>
      <c r="C125" s="3186"/>
      <c r="D125" s="3192" t="str">
        <f ca="1">NUMBERSTRING(INT(D124*10000),2)&amp;"元整"</f>
        <v>壹亿玖仟陆佰零柒万元整</v>
      </c>
      <c r="E125" s="3194"/>
      <c r="F125" s="3194"/>
      <c r="G125" s="3194"/>
      <c r="H125" s="3194"/>
      <c r="I125" s="3193"/>
      <c r="AA125" s="734"/>
    </row>
    <row r="126" spans="1:27" ht="18.75" customHeight="1">
      <c r="A126" s="3198" t="str">
        <f>IF(项目基本情况!B9="房地产市场价值","",MID(E111,3,LEN(E111)-2))</f>
        <v/>
      </c>
      <c r="B126" s="3198"/>
      <c r="C126" s="3198"/>
      <c r="D126" s="3187" t="str">
        <f>H111</f>
        <v>——</v>
      </c>
      <c r="E126" s="3188"/>
      <c r="F126" s="3188"/>
      <c r="G126" s="3188"/>
      <c r="H126" s="3188"/>
      <c r="I126" s="3189"/>
      <c r="AA126" s="734"/>
    </row>
    <row r="127" spans="1:27" ht="18.75" customHeight="1">
      <c r="A127" s="3186" t="s">
        <v>2138</v>
      </c>
      <c r="B127" s="3186"/>
      <c r="C127" s="3186"/>
      <c r="D127" s="3192" t="e">
        <f>NUMBERSTRING(INT(D126*10000),2)&amp;"元整"</f>
        <v>#VALUE!</v>
      </c>
      <c r="E127" s="3194"/>
      <c r="F127" s="3194"/>
      <c r="G127" s="3194"/>
      <c r="H127" s="3194"/>
      <c r="I127" s="3193"/>
      <c r="AA127" s="734"/>
    </row>
    <row r="128" spans="1:27" ht="21.75" customHeight="1">
      <c r="A128" s="3195" t="s">
        <v>2139</v>
      </c>
      <c r="B128" s="3195"/>
      <c r="C128" s="3195"/>
      <c r="D128" s="3195"/>
      <c r="E128" s="3195"/>
      <c r="F128" s="3195"/>
      <c r="G128" s="3195"/>
      <c r="H128" s="3195"/>
      <c r="I128" s="3195"/>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2686</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4186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1283230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1283230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1283230</v>
      </c>
      <c r="D10" s="954">
        <f ca="1">IF(B1="",'数据-汇总表'!E6,IF(INDIRECT("'数据-取费表'!c"&amp;$G$1)="住宅",INDIRECT("'数据-取费表'!s"&amp;$G$1),INDIRECT("'数据-取费表'!k"&amp;$G$1)+INDIRECT("'数据-取费表'!s"&amp;$G$1)))</f>
        <v>6416.15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1283230</v>
      </c>
      <c r="D19" s="958">
        <f ca="1">D9+D10</f>
        <v>6416.15</v>
      </c>
      <c r="E19" s="217">
        <f>'数据-取费表'!B31</f>
        <v>200</v>
      </c>
      <c r="F19" s="237"/>
      <c r="G19" s="2042"/>
    </row>
    <row r="20" spans="1:7" s="220" customFormat="1" ht="13.5" customHeight="1">
      <c r="A20" s="261" t="s">
        <v>2260</v>
      </c>
      <c r="B20" s="216" t="s">
        <v>2261</v>
      </c>
      <c r="C20" s="238">
        <f ca="1">ROUND((C5+C19)*F20,0)</f>
        <v>25665</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229254</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114069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114069</v>
      </c>
      <c r="D24" s="244"/>
      <c r="E24" s="244"/>
      <c r="F24" s="245"/>
      <c r="G24" s="246" t="s">
        <v>2272</v>
      </c>
    </row>
    <row r="25" spans="1:7" s="220" customFormat="1" ht="24">
      <c r="A25" s="888" t="s">
        <v>2162</v>
      </c>
      <c r="B25" s="221" t="s">
        <v>2273</v>
      </c>
      <c r="C25" s="1290">
        <f ca="1">ROUND(IF('数据-取费表'!B22&lt;=1,C20*F22*'数据-取费表'!B22/2,C20*(POWER((1+F22),'数据-取费表'!B22/2)-1)),0)</f>
        <v>1116</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518425</v>
      </c>
      <c r="D27" s="241">
        <f ca="1">C29</f>
        <v>2E-3</v>
      </c>
      <c r="E27" s="242" t="s">
        <v>2200</v>
      </c>
      <c r="F27" s="252">
        <f ca="1">IF(B1="",'数据-取费表'!Q16,INDIRECT("'数据-取费表'!q"&amp;$G$1))</f>
        <v>0.2</v>
      </c>
      <c r="G27" s="253" t="s">
        <v>2201</v>
      </c>
    </row>
    <row r="28" spans="1:7" s="220" customFormat="1" ht="13.5" customHeight="1">
      <c r="A28" s="888" t="s">
        <v>791</v>
      </c>
      <c r="B28" s="254" t="s">
        <v>2202</v>
      </c>
      <c r="C28" s="255">
        <f ca="1">ROUND((C5+C19+C20)*F27,0)</f>
        <v>518425</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3574659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24750299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22456525</v>
      </c>
      <c r="D34" s="223"/>
      <c r="E34" s="226"/>
      <c r="F34" s="263"/>
      <c r="G34" s="225"/>
    </row>
    <row r="35" spans="1:7" ht="13.5" customHeight="1">
      <c r="A35" s="888" t="s">
        <v>796</v>
      </c>
      <c r="B35" s="221" t="s">
        <v>2213</v>
      </c>
      <c r="C35" s="226">
        <f ca="1">ROUND(C34*F35,0)</f>
        <v>673696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1283230</v>
      </c>
      <c r="D37" s="223">
        <f ca="1">D19</f>
        <v>6416.15</v>
      </c>
      <c r="E37" s="255">
        <f>'数据-取费表'!B35</f>
        <v>200</v>
      </c>
      <c r="F37" s="265"/>
      <c r="G37" s="267"/>
    </row>
    <row r="38" spans="1:7" ht="13.5" customHeight="1">
      <c r="A38" s="888" t="s">
        <v>799</v>
      </c>
      <c r="B38" s="221" t="s">
        <v>2219</v>
      </c>
      <c r="C38" s="226">
        <f ca="1">ROUND(C34*F38,0)</f>
        <v>336848</v>
      </c>
      <c r="D38" s="226"/>
      <c r="E38" s="226"/>
      <c r="F38" s="265">
        <f>'数据-取费表'!B36</f>
        <v>1.4999999999999999E-2</v>
      </c>
      <c r="G38" s="225" t="s">
        <v>2214</v>
      </c>
    </row>
    <row r="39" spans="1:7" s="220" customFormat="1" ht="13.5" customHeight="1">
      <c r="A39" s="261" t="s">
        <v>2220</v>
      </c>
      <c r="B39" s="216" t="s">
        <v>2221</v>
      </c>
      <c r="C39" s="238">
        <f ca="1">ROUND(C33*F20,0)</f>
        <v>247503</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1087404</v>
      </c>
      <c r="D41" s="241">
        <f ca="1">C44</f>
        <v>4.0000000000000002E-4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1076638</v>
      </c>
      <c r="D42" s="244"/>
      <c r="E42" s="244"/>
      <c r="F42" s="245"/>
      <c r="G42" s="3268" t="s">
        <v>2277</v>
      </c>
    </row>
    <row r="43" spans="1:7" ht="13.5" customHeight="1">
      <c r="A43" s="888" t="s">
        <v>792</v>
      </c>
      <c r="B43" s="221" t="s">
        <v>2231</v>
      </c>
      <c r="C43" s="244">
        <f ca="1">ROUND(IF('数据-取费表'!B22&lt;=1,C39*F22*'数据-取费表'!B20/2,C39*(POWER((1+F22),'数据-取费表'!B20/2)-1)),0)</f>
        <v>10766</v>
      </c>
      <c r="D43" s="244"/>
      <c r="E43" s="244"/>
      <c r="F43" s="245"/>
      <c r="G43" s="3269"/>
    </row>
    <row r="44" spans="1:7" ht="13.5" customHeight="1">
      <c r="A44" s="888" t="s">
        <v>793</v>
      </c>
      <c r="B44" s="221" t="s">
        <v>2232</v>
      </c>
      <c r="C44" s="244">
        <f ca="1">ROUND(IF('数据-取费表'!B22&lt;=1,C40*F22*'数据-取费表'!B20/2,C40*(POWER((1+F22),'数据-取费表'!B20/2)-1)),4)</f>
        <v>4.0000000000000002E-4</v>
      </c>
      <c r="D44" s="244"/>
      <c r="E44" s="244"/>
      <c r="F44" s="245"/>
      <c r="G44" s="3270"/>
    </row>
    <row r="45" spans="1:7" s="220" customFormat="1" ht="13.5" customHeight="1">
      <c r="A45" s="261" t="s">
        <v>2233</v>
      </c>
      <c r="B45" s="250" t="s">
        <v>2199</v>
      </c>
      <c r="C45" s="251">
        <f ca="1">C46</f>
        <v>4999560</v>
      </c>
      <c r="D45" s="241">
        <f ca="1">C47</f>
        <v>2E-3</v>
      </c>
      <c r="E45" s="242" t="s">
        <v>2225</v>
      </c>
      <c r="F45" s="2537">
        <f ca="1">F27</f>
        <v>0.2</v>
      </c>
      <c r="G45" s="253" t="s">
        <v>2234</v>
      </c>
    </row>
    <row r="46" spans="1:7" s="220" customFormat="1" ht="13.5" customHeight="1">
      <c r="A46" s="888" t="s">
        <v>791</v>
      </c>
      <c r="B46" s="254" t="s">
        <v>2235</v>
      </c>
      <c r="C46" s="255">
        <f ca="1">ROUND((C33+C39)*F27,0)</f>
        <v>4999560</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33270648</v>
      </c>
      <c r="D49" s="238"/>
      <c r="E49" s="238"/>
      <c r="F49" s="270"/>
      <c r="G49" s="240" t="s">
        <v>2240</v>
      </c>
    </row>
    <row r="50" spans="1:7" s="264" customFormat="1">
      <c r="A50" s="261" t="s">
        <v>2241</v>
      </c>
      <c r="B50" s="216" t="s">
        <v>2242</v>
      </c>
      <c r="C50" s="238"/>
      <c r="D50" s="238"/>
      <c r="E50" s="238"/>
      <c r="F50" s="270">
        <f>IF('数据-取费表'!B24=0,'数据-取费表'!N16,1)</f>
        <v>0.7</v>
      </c>
      <c r="G50" s="253"/>
    </row>
    <row r="51" spans="1:7" ht="16.5" customHeight="1">
      <c r="A51" s="261" t="s">
        <v>2244</v>
      </c>
      <c r="B51" s="216" t="s">
        <v>2279</v>
      </c>
      <c r="C51" s="238">
        <f ca="1">ROUND(C49*F50,0)</f>
        <v>23289454</v>
      </c>
      <c r="D51" s="238"/>
      <c r="E51" s="238"/>
      <c r="F51" s="270"/>
      <c r="G51" s="240" t="s">
        <v>2246</v>
      </c>
    </row>
    <row r="52" spans="1:7" s="214" customFormat="1" ht="16.5" thickBot="1">
      <c r="A52" s="271" t="s">
        <v>2247</v>
      </c>
      <c r="B52" s="272"/>
      <c r="C52" s="273">
        <f ca="1">C31+C51</f>
        <v>26864113</v>
      </c>
      <c r="D52" s="272"/>
      <c r="E52" s="272"/>
      <c r="F52" s="272"/>
      <c r="G52" s="274"/>
    </row>
    <row r="55" spans="1:7" ht="15">
      <c r="B55" s="276" t="s">
        <v>2248</v>
      </c>
      <c r="C55" s="277"/>
    </row>
    <row r="56" spans="1:7">
      <c r="B56" s="279" t="s">
        <v>1478</v>
      </c>
      <c r="C56" s="281">
        <f ca="1">1-C57</f>
        <v>0.13300000000000001</v>
      </c>
    </row>
    <row r="57" spans="1:7">
      <c r="B57" s="279" t="s">
        <v>1479</v>
      </c>
      <c r="C57" s="280">
        <f ca="1">ROUND(C51/C52,3)</f>
        <v>0.86699999999999999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9" t="str">
        <f>项目基本情况!B1</f>
        <v>北京市房地产市场价值预评估</v>
      </c>
      <c r="C37" s="3079"/>
      <c r="D37" s="3079"/>
      <c r="E37" s="3079"/>
      <c r="F37" s="3079"/>
      <c r="G37" s="3079"/>
      <c r="H37" s="3079"/>
      <c r="I37" s="3079"/>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陈颖（注册号：1120060040)、陈颖（注册号：1120060040)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-151</v>
      </c>
      <c r="C2" s="282" t="s">
        <v>2281</v>
      </c>
      <c r="D2" s="282"/>
      <c r="E2" s="3037"/>
      <c r="F2" s="3037"/>
      <c r="G2" s="3037"/>
      <c r="H2" s="3037"/>
      <c r="I2" s="3037"/>
      <c r="J2" s="3037"/>
      <c r="K2" s="3037"/>
    </row>
    <row r="3" spans="1:33" ht="18" customHeight="1" thickBot="1">
      <c r="A3" s="209" t="s">
        <v>2150</v>
      </c>
      <c r="B3" s="210">
        <f ca="1">ROUND(B2*10000/IF(C1="",'数据-汇总表'!E3,INDIRECT("'数据-取费表'!K"&amp;$K$1)),0)</f>
        <v>-235</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6416.15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6416.15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128</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128</v>
      </c>
      <c r="D20" s="955">
        <f ca="1">IF(C1="",'数据-汇总表'!E6,IF(INDIRECT("'数据-取费表'!c"&amp;$K$1)="住宅",INDIRECT("'数据-取费表'!s"&amp;$K$1),INDIRECT("'数据-取费表'!k"&amp;$K$1)+INDIRECT("'数据-取费表'!s"&amp;$K$1)))</f>
        <v>6416.15</v>
      </c>
      <c r="E20" s="24">
        <f>'数据-取费表'!B28</f>
        <v>200</v>
      </c>
      <c r="F20" s="913"/>
      <c r="G20" s="15"/>
      <c r="H20" s="918"/>
      <c r="I20" s="918"/>
      <c r="J20" s="918"/>
      <c r="K20" s="919"/>
    </row>
    <row r="21" spans="1:33" s="912" customFormat="1" ht="13.5" customHeight="1">
      <c r="A21" s="898" t="s">
        <v>802</v>
      </c>
      <c r="B21" s="922" t="s">
        <v>2317</v>
      </c>
      <c r="C21" s="923">
        <f ca="1">C16+C17+C18</f>
        <v>128</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26</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26</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-151</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273" t="s">
        <v>1368</v>
      </c>
      <c r="C6" s="1206">
        <f ca="1">ROUND(F6*F8*F7*(1-F9)/10000,0)</f>
        <v>0</v>
      </c>
      <c r="D6" s="160" t="s">
        <v>2850</v>
      </c>
      <c r="E6" s="308" t="s">
        <v>1370</v>
      </c>
      <c r="F6" s="309">
        <f ca="1">INDIRECT("'数据-取费表'!u"&amp;$G$1)</f>
        <v>0</v>
      </c>
      <c r="G6" s="1568"/>
      <c r="H6" s="1201" t="s">
        <v>1003</v>
      </c>
      <c r="I6" s="3273" t="s">
        <v>1368</v>
      </c>
      <c r="J6" s="307">
        <f ca="1">ROUND(M6*M8*M7*(1-M9)/10000,0)</f>
        <v>0</v>
      </c>
      <c r="K6" s="160" t="s">
        <v>2849</v>
      </c>
      <c r="L6" s="308" t="s">
        <v>1370</v>
      </c>
      <c r="M6" s="309">
        <f ca="1">INDIRECT("'数据-取费表'!z"&amp;$G$1)</f>
        <v>0</v>
      </c>
    </row>
    <row r="7" spans="1:37" ht="18" customHeight="1">
      <c r="A7" s="1205"/>
      <c r="B7" s="3274"/>
      <c r="C7" s="1207"/>
      <c r="D7" s="313"/>
      <c r="E7" s="1208" t="s">
        <v>1371</v>
      </c>
      <c r="F7" s="309">
        <f ca="1">IF(INDIRECT("'数据-取费表'!ah"&amp;$G$1)="",INDIRECT("'数据-取费表'!k"&amp;$G$1),INDIRECT("'数据-取费表'!ah"&amp;$G$1))</f>
        <v>0</v>
      </c>
      <c r="G7" s="1568"/>
      <c r="H7" s="310"/>
      <c r="I7" s="3274"/>
      <c r="J7" s="312"/>
      <c r="K7" s="313"/>
      <c r="L7" s="308" t="s">
        <v>1371</v>
      </c>
      <c r="M7" s="309">
        <f ca="1">F7</f>
        <v>0</v>
      </c>
    </row>
    <row r="8" spans="1:37" ht="18" customHeight="1">
      <c r="A8" s="310"/>
      <c r="B8" s="3274"/>
      <c r="C8" s="312"/>
      <c r="D8" s="313"/>
      <c r="E8" s="308" t="s">
        <v>1372</v>
      </c>
      <c r="F8" s="309">
        <f ca="1">INDIRECT("'数据-取费表'!ai"&amp;$G$1)</f>
        <v>0</v>
      </c>
      <c r="G8" s="1568"/>
      <c r="H8" s="310"/>
      <c r="I8" s="3274"/>
      <c r="J8" s="312"/>
      <c r="K8" s="313"/>
      <c r="L8" s="308" t="s">
        <v>1372</v>
      </c>
      <c r="M8" s="309">
        <f ca="1">INDIRECT("'数据-取费表'!ai"&amp;$G$1)</f>
        <v>0</v>
      </c>
    </row>
    <row r="9" spans="1:37" ht="18" customHeight="1">
      <c r="A9" s="310"/>
      <c r="B9" s="3275"/>
      <c r="C9" s="312"/>
      <c r="D9" s="313"/>
      <c r="E9" s="308" t="s">
        <v>1373</v>
      </c>
      <c r="F9" s="318">
        <f ca="1">INDIRECT("'数据-取费表'!w"&amp;$G$1)</f>
        <v>0</v>
      </c>
      <c r="G9" s="1568"/>
      <c r="H9" s="310"/>
      <c r="I9" s="3275"/>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0.01</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271" t="s">
        <v>1513</v>
      </c>
      <c r="L53" s="3272"/>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80" zoomScaleNormal="70" zoomScaleSheetLayoutView="80" workbookViewId="0">
      <selection activeCell="A4" sqref="A4:F43"/>
    </sheetView>
  </sheetViews>
  <sheetFormatPr defaultColWidth="9" defaultRowHeight="12.75"/>
  <cols>
    <col min="1" max="1" width="9" style="264" customWidth="1"/>
    <col min="2" max="2" width="20.625" style="663" customWidth="1"/>
    <col min="3" max="3" width="18"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28.73</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18432</v>
      </c>
      <c r="C2" s="1571" t="s">
        <v>1556</v>
      </c>
      <c r="D2" s="1655">
        <f ca="1">C40+J29+L46</f>
        <v>184320016</v>
      </c>
      <c r="E2" s="1572" t="s">
        <v>1557</v>
      </c>
      <c r="F2" s="1573"/>
      <c r="G2" s="2935"/>
      <c r="H2" s="2924"/>
      <c r="I2" s="2924"/>
      <c r="J2" s="2924"/>
      <c r="K2" s="2925"/>
      <c r="L2" s="2924"/>
      <c r="M2" s="2924"/>
    </row>
    <row r="3" spans="1:37" ht="18" customHeight="1" thickBot="1">
      <c r="A3" s="1574" t="s">
        <v>1558</v>
      </c>
      <c r="B3" s="1575">
        <f ca="1">IF(ISERROR(D2/F43),0,ROUND(D2/F43,0))</f>
        <v>28728</v>
      </c>
      <c r="C3" s="1571" t="s">
        <v>1559</v>
      </c>
      <c r="D3" s="1571"/>
      <c r="E3" s="1572"/>
      <c r="F3" s="1573"/>
      <c r="G3" s="2935"/>
      <c r="H3" s="692" t="s">
        <v>1553</v>
      </c>
      <c r="I3" s="1566"/>
      <c r="J3" s="1566"/>
      <c r="K3" s="1567"/>
      <c r="L3" s="1566"/>
      <c r="M3" s="1566"/>
    </row>
    <row r="4" spans="1:37" ht="18" customHeight="1">
      <c r="A4" s="3423" t="s">
        <v>1560</v>
      </c>
      <c r="B4" s="3424" t="s">
        <v>1561</v>
      </c>
      <c r="C4" s="3424" t="s">
        <v>1562</v>
      </c>
      <c r="D4" s="3424" t="s">
        <v>1563</v>
      </c>
      <c r="E4" s="3425" t="s">
        <v>1564</v>
      </c>
      <c r="F4" s="3426"/>
      <c r="G4" s="1568"/>
      <c r="H4" s="301" t="s">
        <v>1560</v>
      </c>
      <c r="I4" s="302" t="s">
        <v>1561</v>
      </c>
      <c r="J4" s="302" t="s">
        <v>1562</v>
      </c>
      <c r="K4" s="302" t="s">
        <v>1563</v>
      </c>
      <c r="L4" s="303" t="s">
        <v>1564</v>
      </c>
      <c r="M4" s="304"/>
    </row>
    <row r="5" spans="1:37" ht="18" customHeight="1">
      <c r="A5" s="3427">
        <v>1</v>
      </c>
      <c r="B5" s="3428" t="s">
        <v>1565</v>
      </c>
      <c r="C5" s="3429">
        <f ca="1">C6+C10+C12</f>
        <v>11864799</v>
      </c>
      <c r="D5" s="3430" t="s">
        <v>1566</v>
      </c>
      <c r="E5" s="3431"/>
      <c r="F5" s="3432"/>
      <c r="G5" s="1568"/>
      <c r="H5" s="305">
        <v>1</v>
      </c>
      <c r="I5" s="306" t="s">
        <v>1565</v>
      </c>
      <c r="J5" s="1202">
        <f ca="1">J6+J10+J12</f>
        <v>0</v>
      </c>
      <c r="K5" s="1548" t="s">
        <v>1566</v>
      </c>
      <c r="L5" s="1203"/>
      <c r="M5" s="1204"/>
    </row>
    <row r="6" spans="1:37" ht="18" customHeight="1">
      <c r="A6" s="3433" t="s">
        <v>1003</v>
      </c>
      <c r="B6" s="3434" t="s">
        <v>1368</v>
      </c>
      <c r="C6" s="3435">
        <f ca="1">ROUND(F6*F8*F7*(1-F9),0)</f>
        <v>11849987</v>
      </c>
      <c r="D6" s="3436" t="s">
        <v>2847</v>
      </c>
      <c r="E6" s="3437" t="s">
        <v>1370</v>
      </c>
      <c r="F6" s="3438">
        <f ca="1">INDIRECT("'数据-取费表'!u"&amp;$G$1)</f>
        <v>5.5</v>
      </c>
      <c r="G6" s="1568"/>
      <c r="H6" s="1201" t="s">
        <v>1003</v>
      </c>
      <c r="I6" s="3273" t="s">
        <v>1368</v>
      </c>
      <c r="J6" s="307">
        <f ca="1">ROUND(M6*M8*M7*(1-M9),0)</f>
        <v>0</v>
      </c>
      <c r="K6" s="1560" t="s">
        <v>2848</v>
      </c>
      <c r="L6" s="308" t="s">
        <v>1370</v>
      </c>
      <c r="M6" s="309">
        <f ca="1">INDIRECT("'数据-取费表'!z"&amp;$G$1)</f>
        <v>0</v>
      </c>
    </row>
    <row r="7" spans="1:37" ht="18" customHeight="1">
      <c r="A7" s="3439"/>
      <c r="B7" s="3440"/>
      <c r="C7" s="3441"/>
      <c r="D7" s="3442"/>
      <c r="E7" s="3443" t="s">
        <v>1371</v>
      </c>
      <c r="F7" s="3438">
        <f>'数据-基础表'!B3</f>
        <v>6416.15</v>
      </c>
      <c r="G7" s="1568"/>
      <c r="H7" s="310"/>
      <c r="I7" s="3274"/>
      <c r="J7" s="312"/>
      <c r="K7" s="313"/>
      <c r="L7" s="308" t="s">
        <v>1371</v>
      </c>
      <c r="M7" s="309">
        <f>F7</f>
        <v>6416.15</v>
      </c>
    </row>
    <row r="8" spans="1:37" ht="18" customHeight="1">
      <c r="A8" s="3444"/>
      <c r="B8" s="3440"/>
      <c r="C8" s="3445"/>
      <c r="D8" s="3442"/>
      <c r="E8" s="3437" t="s">
        <v>1372</v>
      </c>
      <c r="F8" s="3438">
        <f>'数据-取费表'!AI6</f>
        <v>365</v>
      </c>
      <c r="G8" s="1568"/>
      <c r="H8" s="310"/>
      <c r="I8" s="3274"/>
      <c r="J8" s="312"/>
      <c r="K8" s="313"/>
      <c r="L8" s="308" t="s">
        <v>1372</v>
      </c>
      <c r="M8" s="309">
        <f ca="1">INDIRECT("'数据-取费表'!ai"&amp;$G$1)</f>
        <v>365</v>
      </c>
    </row>
    <row r="9" spans="1:37" ht="18" customHeight="1">
      <c r="A9" s="3444"/>
      <c r="B9" s="3446"/>
      <c r="C9" s="3445"/>
      <c r="D9" s="3442"/>
      <c r="E9" s="3437" t="s">
        <v>1373</v>
      </c>
      <c r="F9" s="3447">
        <f ca="1">INDIRECT("'数据-取费表'!w"&amp;$G$1)</f>
        <v>0.08</v>
      </c>
      <c r="G9" s="1568"/>
      <c r="H9" s="310"/>
      <c r="I9" s="3275"/>
      <c r="J9" s="312"/>
      <c r="K9" s="313"/>
      <c r="L9" s="319" t="s">
        <v>1373</v>
      </c>
      <c r="M9" s="320">
        <f ca="1">INDIRECT("'数据-取费表'!ab"&amp;$G$1)</f>
        <v>0</v>
      </c>
    </row>
    <row r="10" spans="1:37" ht="18" customHeight="1">
      <c r="A10" s="3433" t="s">
        <v>1007</v>
      </c>
      <c r="B10" s="2610" t="s">
        <v>1374</v>
      </c>
      <c r="C10" s="3448">
        <f ca="1">ROUND(IF(F10="押一",C6/12*F11,IF(F10="押二",C6/12*2*F11,IF(F10="押三",C6/12*3*F11,C11*F11))),0)</f>
        <v>14812</v>
      </c>
      <c r="D10" s="3449" t="s">
        <v>2857</v>
      </c>
      <c r="E10" s="3450" t="s">
        <v>1375</v>
      </c>
      <c r="F10" s="3451" t="s">
        <v>3138</v>
      </c>
      <c r="G10" s="1568"/>
      <c r="H10" s="1201" t="s">
        <v>1007</v>
      </c>
      <c r="I10" s="1549" t="s">
        <v>1374</v>
      </c>
      <c r="J10" s="307">
        <f ca="1">ROUND(IF(M10="押一",J6/12*M11,IF(M10="押二",J6/12*2*M11,IF(M10="押三",J6/12*3*M11,J11*M11))),0)</f>
        <v>0</v>
      </c>
      <c r="K10" s="1561" t="s">
        <v>2859</v>
      </c>
      <c r="L10" s="319" t="s">
        <v>1375</v>
      </c>
      <c r="M10" s="1276" t="s">
        <v>3138</v>
      </c>
    </row>
    <row r="11" spans="1:37" ht="18" customHeight="1">
      <c r="A11" s="3452"/>
      <c r="B11" s="3453" t="s">
        <v>1567</v>
      </c>
      <c r="C11" s="3454"/>
      <c r="D11" s="3442"/>
      <c r="E11" s="3450" t="s">
        <v>1377</v>
      </c>
      <c r="F11" s="3455">
        <f ca="1">'数据-取费表'!B39</f>
        <v>1.4999999999999999E-2</v>
      </c>
      <c r="G11" s="1568"/>
      <c r="H11" s="1209"/>
      <c r="I11" s="1551" t="s">
        <v>1568</v>
      </c>
      <c r="J11" s="1090"/>
      <c r="K11" s="693"/>
      <c r="L11" s="319" t="s">
        <v>1377</v>
      </c>
      <c r="M11" s="971">
        <f ca="1">'数据-取费表'!B39</f>
        <v>1.4999999999999999E-2</v>
      </c>
    </row>
    <row r="12" spans="1:37" ht="18" customHeight="1" thickBot="1">
      <c r="A12" s="3456" t="s">
        <v>1043</v>
      </c>
      <c r="B12" s="3457" t="s">
        <v>1378</v>
      </c>
      <c r="C12" s="3458"/>
      <c r="D12" s="3459"/>
      <c r="E12" s="3460"/>
      <c r="F12" s="3461"/>
      <c r="G12" s="1568"/>
      <c r="H12" s="1243" t="s">
        <v>1043</v>
      </c>
      <c r="I12" s="1553" t="s">
        <v>1378</v>
      </c>
      <c r="J12" s="1244"/>
      <c r="K12" s="1258"/>
      <c r="L12" s="1250"/>
      <c r="M12" s="1259"/>
    </row>
    <row r="13" spans="1:37" ht="18" customHeight="1" thickTop="1">
      <c r="A13" s="3462">
        <v>2</v>
      </c>
      <c r="B13" s="3463" t="s">
        <v>1379</v>
      </c>
      <c r="C13" s="3464">
        <f ca="1">ROUND(C29*F13,0)</f>
        <v>23289454</v>
      </c>
      <c r="D13" s="3465" t="s">
        <v>1380</v>
      </c>
      <c r="E13" s="3465" t="s">
        <v>1381</v>
      </c>
      <c r="F13" s="3466">
        <f ca="1">INDIRECT("'数据-取费表'!y"&amp;$G$1)</f>
        <v>0.7</v>
      </c>
      <c r="G13" s="1568"/>
      <c r="H13" s="1239">
        <v>2</v>
      </c>
      <c r="I13" s="1240" t="s">
        <v>1379</v>
      </c>
      <c r="J13" s="1200">
        <f ca="1">ROUND(J14*J15,0)</f>
        <v>0</v>
      </c>
      <c r="K13" s="1247" t="s">
        <v>1380</v>
      </c>
      <c r="L13" s="1576"/>
      <c r="M13" s="1577"/>
    </row>
    <row r="14" spans="1:37" ht="18" customHeight="1">
      <c r="A14" s="3467" t="s">
        <v>1002</v>
      </c>
      <c r="B14" s="3437" t="s">
        <v>1382</v>
      </c>
      <c r="C14" s="3468">
        <f ca="1">ROUND(INDIRECT("'数据-取费表'!l"&amp;$G$1)*F43+'数据-取费表'!L14*INDIRECT("'数据-取费表'!S"&amp;$G$1),0)</f>
        <v>22456525</v>
      </c>
      <c r="D14" s="3469" t="s">
        <v>1383</v>
      </c>
      <c r="E14" s="3470"/>
      <c r="F14" s="3471"/>
      <c r="G14" s="1568"/>
      <c r="H14" s="1113" t="s">
        <v>1003</v>
      </c>
      <c r="I14" s="308" t="s">
        <v>1384</v>
      </c>
      <c r="J14" s="24">
        <f ca="1">C29</f>
        <v>33270648</v>
      </c>
      <c r="K14" s="15"/>
      <c r="L14" s="916"/>
      <c r="M14" s="917"/>
    </row>
    <row r="15" spans="1:37" s="1581" customFormat="1" ht="18" customHeight="1" thickBot="1">
      <c r="A15" s="3467" t="s">
        <v>1004</v>
      </c>
      <c r="B15" s="3437" t="s">
        <v>1385</v>
      </c>
      <c r="C15" s="3472">
        <f ca="1">ROUND(C14*F15,0)</f>
        <v>673696</v>
      </c>
      <c r="D15" s="3473" t="s">
        <v>1386</v>
      </c>
      <c r="E15" s="3473" t="s">
        <v>1387</v>
      </c>
      <c r="F15" s="3474">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3467" t="s">
        <v>1354</v>
      </c>
      <c r="B16" s="3437" t="s">
        <v>1388</v>
      </c>
      <c r="C16" s="3472">
        <f ca="1">ROUND(INDIRECT("'数据-取费表'!l"&amp;$G$1)*F43*F16,0)</f>
        <v>0</v>
      </c>
      <c r="D16" s="3437" t="s">
        <v>1386</v>
      </c>
      <c r="E16" s="3437" t="s">
        <v>1387</v>
      </c>
      <c r="F16" s="3475">
        <f ca="1">IF(INDIRECT("'数据-取费表'!c"&amp;$G$1)="住宅",'数据-取费表'!B34,0)</f>
        <v>0</v>
      </c>
      <c r="G16" s="1568"/>
      <c r="H16" s="1239" t="s">
        <v>998</v>
      </c>
      <c r="I16" s="1240" t="s">
        <v>1389</v>
      </c>
      <c r="J16" s="316">
        <f ca="1">ROUND(J17+J22+J23+J24,0)</f>
        <v>501325</v>
      </c>
      <c r="K16" s="1247" t="s">
        <v>1390</v>
      </c>
      <c r="L16" s="1248"/>
      <c r="M16" s="1204"/>
    </row>
    <row r="17" spans="1:37" s="1581" customFormat="1" ht="18" customHeight="1">
      <c r="A17" s="3467" t="s">
        <v>1355</v>
      </c>
      <c r="B17" s="3437" t="s">
        <v>1391</v>
      </c>
      <c r="C17" s="3472">
        <f ca="1">ROUND(F17*(F43+INDIRECT("'数据-取费表'!S"&amp;$G$1)),0)</f>
        <v>1283230</v>
      </c>
      <c r="D17" s="3437" t="s">
        <v>1392</v>
      </c>
      <c r="E17" s="3437" t="s">
        <v>1393</v>
      </c>
      <c r="F17" s="3476">
        <f>'数据-取费表'!B35</f>
        <v>200</v>
      </c>
      <c r="G17" s="1580"/>
      <c r="H17" s="1113" t="s">
        <v>1003</v>
      </c>
      <c r="I17" s="308" t="s">
        <v>1394</v>
      </c>
      <c r="J17" s="2534">
        <f ca="1">ROUND(IF(AND(项目基本情况!B11="自然人",项目基本情况!B10="北京市"),J6*M17/(1+'数据-取费表'!C42),J18+J19+J20),0)</f>
        <v>2265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3467" t="s">
        <v>1356</v>
      </c>
      <c r="B18" s="3437" t="s">
        <v>1397</v>
      </c>
      <c r="C18" s="3472">
        <f ca="1">ROUND(C14*F18,0)</f>
        <v>336848</v>
      </c>
      <c r="D18" s="3437" t="s">
        <v>1386</v>
      </c>
      <c r="E18" s="3437" t="s">
        <v>1387</v>
      </c>
      <c r="F18" s="3475">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3467" t="s">
        <v>1003</v>
      </c>
      <c r="B19" s="3437" t="s">
        <v>1400</v>
      </c>
      <c r="C19" s="3472">
        <f ca="1">SUM(C14:C18)</f>
        <v>24750299</v>
      </c>
      <c r="D19" s="3477" t="s">
        <v>1401</v>
      </c>
      <c r="E19" s="3478"/>
      <c r="F19" s="3476"/>
      <c r="G19" s="1568"/>
      <c r="H19" s="1113" t="s">
        <v>1004</v>
      </c>
      <c r="I19" s="308" t="s">
        <v>1402</v>
      </c>
      <c r="J19" s="24">
        <f ca="1">IF(K19="按租金收入计税",ROUND(J6*M19/(1+'数据-取费表'!C42),0),ROUND(C29*M19*0.7,0))</f>
        <v>0</v>
      </c>
      <c r="K19" s="1554" t="s">
        <v>3088</v>
      </c>
      <c r="L19" s="308" t="s">
        <v>1387</v>
      </c>
      <c r="M19" s="328">
        <f>IF(K19="按租金收入计税",'数据-取费表'!B51,'数据-取费表'!B50)</f>
        <v>0.12</v>
      </c>
    </row>
    <row r="20" spans="1:37" s="1581" customFormat="1" ht="18" customHeight="1">
      <c r="A20" s="3467" t="s">
        <v>1007</v>
      </c>
      <c r="B20" s="3437" t="s">
        <v>1404</v>
      </c>
      <c r="C20" s="3472">
        <f ca="1">ROUND(C19*F20,0)</f>
        <v>247503</v>
      </c>
      <c r="D20" s="3479" t="s">
        <v>1405</v>
      </c>
      <c r="E20" s="3437" t="s">
        <v>1387</v>
      </c>
      <c r="F20" s="3475">
        <f>'数据-取费表'!B37</f>
        <v>0.01</v>
      </c>
      <c r="G20" s="1580"/>
      <c r="H20" s="1113" t="s">
        <v>1354</v>
      </c>
      <c r="I20" s="160" t="s">
        <v>1406</v>
      </c>
      <c r="J20" s="25">
        <f ca="1">ROUND(M20*M21,0)</f>
        <v>2265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3467" t="s">
        <v>1043</v>
      </c>
      <c r="B21" s="3437" t="s">
        <v>1409</v>
      </c>
      <c r="C21" s="3472" t="s">
        <v>1</v>
      </c>
      <c r="D21" s="3479" t="s">
        <v>1410</v>
      </c>
      <c r="E21" s="3437" t="s">
        <v>1411</v>
      </c>
      <c r="F21" s="3475">
        <f>'数据-取费表'!B38</f>
        <v>0.01</v>
      </c>
      <c r="G21" s="1580"/>
      <c r="H21" s="332"/>
      <c r="I21" s="317"/>
      <c r="J21" s="29"/>
      <c r="K21" s="333"/>
      <c r="L21" s="308" t="s">
        <v>1412</v>
      </c>
      <c r="M21" s="309">
        <f ca="1">INDIRECT("'数据-取费表'!r"&amp;$G$1)</f>
        <v>1510.18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3467" t="s">
        <v>1357</v>
      </c>
      <c r="B22" s="3437" t="s">
        <v>1413</v>
      </c>
      <c r="C22" s="3472"/>
      <c r="D22" s="3477" t="str">
        <f>IF(F23&lt;=1,"单利计息。","复利计息。")&amp;"建造成本、管理费用、销售费用产生的利息。"</f>
        <v>复利计息。建造成本、管理费用、销售费用产生的利息。</v>
      </c>
      <c r="E22" s="3478"/>
      <c r="F22" s="3476"/>
      <c r="G22" s="1568"/>
      <c r="H22" s="1113" t="s">
        <v>1007</v>
      </c>
      <c r="I22" s="308" t="s">
        <v>1414</v>
      </c>
      <c r="J22" s="24">
        <f ca="1">ROUND(J14*M22,0)</f>
        <v>499060</v>
      </c>
      <c r="K22" s="1528" t="s">
        <v>1415</v>
      </c>
      <c r="L22" s="308" t="s">
        <v>1387</v>
      </c>
      <c r="M22" s="334">
        <f ca="1">INDIRECT("'数据-取费表'!Ak"&amp;$G$1)</f>
        <v>1.4999999999999999E-2</v>
      </c>
    </row>
    <row r="23" spans="1:37" s="1581" customFormat="1" ht="18" customHeight="1">
      <c r="A23" s="3467" t="s">
        <v>1002</v>
      </c>
      <c r="B23" s="3437" t="s">
        <v>1416</v>
      </c>
      <c r="C23" s="3472">
        <f ca="1">IF('数据-取费表'!B22&lt;=1,ROUND(C19*F24*F23/2,0)+ROUND(C20*F24*F23/2,0),ROUND(C19*(POWER((1+F24),F23/2)-1),0)+ROUND(C20*(POWER((1+F24),F23/2)-1),0))</f>
        <v>1087404</v>
      </c>
      <c r="D23" s="3480" t="str">
        <f>IF(F23&lt;=1,"(建造成本+管理费用)×利率×(建设周期÷2)","(建造成本+管理费用)×((1+利率)^(建设周期÷2)-1)")</f>
        <v>(建造成本+管理费用)×((1+利率)^(建设周期÷2)-1)</v>
      </c>
      <c r="E23" s="3437" t="s">
        <v>1417</v>
      </c>
      <c r="F23" s="348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3467" t="s">
        <v>1421</v>
      </c>
      <c r="B24" s="3437" t="s">
        <v>1422</v>
      </c>
      <c r="C24" s="3472">
        <f ca="1">ROUND(IF('数据-取费表'!B22&lt;=1,F21*F24*F23/2,F21*(POWER((1+F24),F23/2)-1)),4)</f>
        <v>4.0000000000000002E-4</v>
      </c>
      <c r="D24" s="3480" t="str">
        <f>IF(F23&lt;=1,"销售费用×利率×(建设周期÷2)","销售费用×((1+利率)^(建设周期÷2)-1)")</f>
        <v>销售费用×((1+利率)^(建设周期÷2)-1)</v>
      </c>
      <c r="E24" s="3437" t="s">
        <v>1423</v>
      </c>
      <c r="F24" s="3482">
        <f ca="1">'数据-取费表'!B40</f>
        <v>4.3499999999999997E-2</v>
      </c>
      <c r="G24" s="1580"/>
      <c r="H24" s="1249" t="s">
        <v>1358</v>
      </c>
      <c r="I24" s="1250" t="s">
        <v>1404</v>
      </c>
      <c r="J24" s="1251">
        <f ca="1">ROUND(J5*M24,0)</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3467" t="s">
        <v>1425</v>
      </c>
      <c r="B25" s="3437" t="s">
        <v>1426</v>
      </c>
      <c r="C25" s="3472"/>
      <c r="D25" s="3477" t="s">
        <v>1427</v>
      </c>
      <c r="E25" s="3478"/>
      <c r="F25" s="3476"/>
      <c r="G25" s="1568"/>
      <c r="H25" s="1239" t="s">
        <v>999</v>
      </c>
      <c r="I25" s="1254" t="s">
        <v>1428</v>
      </c>
      <c r="J25" s="316">
        <f ca="1">J5-J16</f>
        <v>-501325</v>
      </c>
      <c r="K25" s="1255" t="s">
        <v>1429</v>
      </c>
      <c r="L25" s="1256"/>
      <c r="M25" s="1257"/>
    </row>
    <row r="26" spans="1:37" ht="18" customHeight="1">
      <c r="A26" s="3467" t="s">
        <v>1002</v>
      </c>
      <c r="B26" s="3437" t="s">
        <v>1430</v>
      </c>
      <c r="C26" s="3472">
        <f ca="1">ROUND((C19+C20)*F26,0)</f>
        <v>4999560</v>
      </c>
      <c r="D26" s="3479" t="s">
        <v>1431</v>
      </c>
      <c r="E26" s="3450" t="s">
        <v>1432</v>
      </c>
      <c r="F26" s="3447">
        <f ca="1">INDIRECT("'数据-取费表'!q"&amp;$G$1)</f>
        <v>0.2</v>
      </c>
      <c r="G26" s="1568"/>
      <c r="H26" s="305" t="s">
        <v>1000</v>
      </c>
      <c r="I26" s="306" t="s">
        <v>1433</v>
      </c>
      <c r="J26" s="307">
        <f ca="1">IF(J5&lt;&gt;0,ROUND(J25*(1-((1+M28)/(1+M26))^M27)/(M26-M28),0),0)</f>
        <v>0</v>
      </c>
      <c r="K26" s="330" t="s">
        <v>1434</v>
      </c>
      <c r="L26" s="308" t="s">
        <v>1435</v>
      </c>
      <c r="M26" s="318">
        <f ca="1">INDIRECT("'数据-取费表'!I"&amp;$G$1)</f>
        <v>0.05</v>
      </c>
    </row>
    <row r="27" spans="1:37" ht="18" customHeight="1">
      <c r="A27" s="3467" t="s">
        <v>1004</v>
      </c>
      <c r="B27" s="3437" t="s">
        <v>1436</v>
      </c>
      <c r="C27" s="3472">
        <f ca="1">ROUND(F21*F26,4)</f>
        <v>2E-3</v>
      </c>
      <c r="D27" s="3479" t="s">
        <v>1437</v>
      </c>
      <c r="E27" s="3473"/>
      <c r="F27" s="3474"/>
      <c r="G27" s="1568"/>
      <c r="H27" s="310"/>
      <c r="I27" s="311"/>
      <c r="J27" s="312"/>
      <c r="K27" s="338" t="s">
        <v>1438</v>
      </c>
      <c r="L27" s="308" t="s">
        <v>1439</v>
      </c>
      <c r="M27" s="339">
        <f ca="1">INDIRECT("'数据-取费表'!ag"&amp;$G$1)</f>
        <v>0</v>
      </c>
    </row>
    <row r="28" spans="1:37" s="1581" customFormat="1" ht="18" customHeight="1">
      <c r="A28" s="3467" t="s">
        <v>1005</v>
      </c>
      <c r="B28" s="3437" t="s">
        <v>1440</v>
      </c>
      <c r="C28" s="3472">
        <f>ROUND(F28/(1+'数据-取费表'!C42),4)</f>
        <v>5.33E-2</v>
      </c>
      <c r="D28" s="3479" t="s">
        <v>1441</v>
      </c>
      <c r="E28" s="3437" t="s">
        <v>1387</v>
      </c>
      <c r="F28" s="3475">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3483" t="s">
        <v>1006</v>
      </c>
      <c r="B29" s="3460" t="s">
        <v>1443</v>
      </c>
      <c r="C29" s="3484">
        <f ca="1">ROUND((C19+C20+C23+C26)/(1-F21-C24-C27-C28),0)</f>
        <v>33270648</v>
      </c>
      <c r="D29" s="3485"/>
      <c r="E29" s="3460"/>
      <c r="F29" s="3486"/>
      <c r="G29" s="1580"/>
      <c r="H29" s="340" t="s">
        <v>1001</v>
      </c>
      <c r="I29" s="341" t="s">
        <v>1444</v>
      </c>
      <c r="J29" s="342">
        <f ca="1">ROUND(J26/(1+F40)^F41,0)</f>
        <v>0</v>
      </c>
      <c r="K29" s="343" t="s">
        <v>1445</v>
      </c>
      <c r="L29" s="344"/>
      <c r="M29" s="345">
        <f ca="1">INDIRECT("'数据-取费表'!k"&amp;$G$1)</f>
        <v>6416.15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3462" t="s">
        <v>998</v>
      </c>
      <c r="B30" s="3463" t="s">
        <v>1389</v>
      </c>
      <c r="C30" s="3464">
        <f ca="1">ROUND(C31+C36+C37+C38,0)</f>
        <v>2641190</v>
      </c>
      <c r="D30" s="3487" t="s">
        <v>1390</v>
      </c>
      <c r="E30" s="3488"/>
      <c r="F30" s="3432"/>
      <c r="G30" s="1568"/>
      <c r="H30" s="2926"/>
      <c r="I30" s="1582"/>
      <c r="J30" s="1583"/>
      <c r="K30" s="2701"/>
      <c r="L30" s="2927"/>
      <c r="M30" s="2928"/>
    </row>
    <row r="31" spans="1:37" ht="18" customHeight="1">
      <c r="A31" s="3467" t="s">
        <v>1003</v>
      </c>
      <c r="B31" s="3437" t="s">
        <v>1394</v>
      </c>
      <c r="C31" s="3472">
        <f ca="1">ROUND(IF(AND(项目基本情况!B11="自然人",项目基本情况!B10="北京市"),C6*F31/(1+'数据-取费表'!C42),C32+C33+C34),0)</f>
        <v>1988548</v>
      </c>
      <c r="D31" s="3469" t="s">
        <v>1395</v>
      </c>
      <c r="E31" s="3489" t="s">
        <v>1446</v>
      </c>
      <c r="F31" s="3490"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3467" t="s">
        <v>1002</v>
      </c>
      <c r="B32" s="3437" t="s">
        <v>1398</v>
      </c>
      <c r="C32" s="3472">
        <f ca="1">IF(项目基本情况!B11="自然人","——",ROUND(C6*F32/(1+'数据-取费表'!C42),0))</f>
        <v>631999</v>
      </c>
      <c r="D32" s="3489" t="s">
        <v>1399</v>
      </c>
      <c r="E32" s="3437" t="s">
        <v>1387</v>
      </c>
      <c r="F32" s="3482">
        <f>'数据-取费表'!B41</f>
        <v>5.6000000000000001E-2</v>
      </c>
      <c r="G32" s="1568"/>
      <c r="H32" s="2926"/>
      <c r="I32" s="1582"/>
      <c r="J32" s="1583"/>
      <c r="K32" s="2701"/>
      <c r="L32" s="2927"/>
      <c r="M32" s="2928"/>
    </row>
    <row r="33" spans="1:18" ht="18" customHeight="1">
      <c r="A33" s="3467" t="s">
        <v>1004</v>
      </c>
      <c r="B33" s="3437" t="s">
        <v>1402</v>
      </c>
      <c r="C33" s="3472">
        <f ca="1">IF(项目基本情况!B11="自然人","——",IF(D33="按租金收入计税",ROUND(C6*F33/(1+'数据-取费表'!C42),0),IF(D33="按房产原值计税",ROUND(C29*F33*0.7,0),INDIRECT("'数据-取费表'!Aj"&amp;$G$1))))</f>
        <v>1354284</v>
      </c>
      <c r="D33" s="3491" t="s">
        <v>3088</v>
      </c>
      <c r="E33" s="3437" t="s">
        <v>1387</v>
      </c>
      <c r="F33" s="3475">
        <f>IF(D33="按票据","——",IF(D33="按租金收入计税",'数据-取费表'!B51,'数据-取费表'!B50))</f>
        <v>0.12</v>
      </c>
      <c r="G33" s="1568"/>
      <c r="H33" s="2929"/>
      <c r="I33" s="1582"/>
      <c r="J33" s="1583"/>
      <c r="K33" s="2930"/>
      <c r="L33" s="2929"/>
      <c r="M33" s="2929"/>
    </row>
    <row r="34" spans="1:18" ht="18" customHeight="1">
      <c r="A34" s="3433" t="s">
        <v>1354</v>
      </c>
      <c r="B34" s="3436" t="s">
        <v>1406</v>
      </c>
      <c r="C34" s="3492">
        <f ca="1">IF(项目基本情况!B11="自然人","——",ROUND(F34*F35,))</f>
        <v>2265</v>
      </c>
      <c r="D34" s="3493" t="s">
        <v>1407</v>
      </c>
      <c r="E34" s="3437" t="s">
        <v>1408</v>
      </c>
      <c r="F34" s="3481">
        <f>'数据-取费表'!B52</f>
        <v>1.5</v>
      </c>
      <c r="G34" s="1568"/>
      <c r="H34" s="2926"/>
      <c r="I34" s="1582"/>
      <c r="J34" s="1583"/>
      <c r="K34" s="2931"/>
      <c r="L34" s="2932"/>
      <c r="M34" s="2932"/>
    </row>
    <row r="35" spans="1:18" ht="18" customHeight="1">
      <c r="A35" s="3494"/>
      <c r="B35" s="3495"/>
      <c r="C35" s="3496"/>
      <c r="D35" s="3497"/>
      <c r="E35" s="3437" t="s">
        <v>1412</v>
      </c>
      <c r="F35" s="3438">
        <f ca="1">INDIRECT("'数据-取费表'!r"&amp;$G$1)</f>
        <v>1510.18</v>
      </c>
      <c r="G35" s="1568"/>
      <c r="H35" s="2926"/>
      <c r="I35" s="1582"/>
      <c r="J35" s="1583"/>
      <c r="K35" s="2930"/>
      <c r="L35" s="2929"/>
      <c r="M35" s="2929"/>
    </row>
    <row r="36" spans="1:18" ht="18" customHeight="1">
      <c r="A36" s="3498" t="s">
        <v>1007</v>
      </c>
      <c r="B36" s="3437" t="s">
        <v>1414</v>
      </c>
      <c r="C36" s="3472">
        <f ca="1">ROUND(C29*F36,0)</f>
        <v>499060</v>
      </c>
      <c r="D36" s="3489" t="s">
        <v>1447</v>
      </c>
      <c r="E36" s="3437" t="s">
        <v>1387</v>
      </c>
      <c r="F36" s="3499">
        <f ca="1">INDIRECT("'数据-取费表'!Ak"&amp;$G$1)</f>
        <v>1.4999999999999999E-2</v>
      </c>
      <c r="G36" s="1568"/>
      <c r="H36" s="2929"/>
      <c r="I36" s="1582"/>
      <c r="J36" s="1583"/>
      <c r="K36" s="2770"/>
      <c r="L36" s="2929"/>
      <c r="M36" s="2929"/>
    </row>
    <row r="37" spans="1:18" ht="18" customHeight="1">
      <c r="A37" s="3467" t="s">
        <v>1043</v>
      </c>
      <c r="B37" s="3437" t="s">
        <v>1418</v>
      </c>
      <c r="C37" s="3472">
        <f ca="1">ROUND(C13*F37,0)</f>
        <v>34934</v>
      </c>
      <c r="D37" s="3489" t="s">
        <v>1419</v>
      </c>
      <c r="E37" s="3437" t="s">
        <v>1420</v>
      </c>
      <c r="F37" s="3500">
        <f ca="1">INDIRECT("'数据-取费表'!Al"&amp;$G$1)</f>
        <v>1.5E-3</v>
      </c>
      <c r="G37" s="1568"/>
      <c r="H37" s="2929"/>
      <c r="I37" s="1582"/>
      <c r="J37" s="1583"/>
      <c r="K37" s="2770"/>
      <c r="L37" s="2929"/>
      <c r="M37" s="2929"/>
    </row>
    <row r="38" spans="1:18" ht="18" customHeight="1" thickBot="1">
      <c r="A38" s="3483" t="s">
        <v>1358</v>
      </c>
      <c r="B38" s="3460" t="s">
        <v>1404</v>
      </c>
      <c r="C38" s="3484">
        <f ca="1">ROUND(C5*F38,1)</f>
        <v>118648</v>
      </c>
      <c r="D38" s="3485" t="s">
        <v>1424</v>
      </c>
      <c r="E38" s="3460" t="s">
        <v>1420</v>
      </c>
      <c r="F38" s="3461">
        <f ca="1">INDIRECT("'数据-取费表'!Am"&amp;$G$1)</f>
        <v>0.01</v>
      </c>
      <c r="G38" s="1568"/>
      <c r="H38" s="2929"/>
      <c r="I38" s="1582"/>
      <c r="J38" s="1583"/>
      <c r="K38" s="2933"/>
      <c r="L38" s="2929"/>
      <c r="M38" s="2929"/>
    </row>
    <row r="39" spans="1:18" ht="24.6" customHeight="1" thickTop="1">
      <c r="A39" s="3462" t="s">
        <v>999</v>
      </c>
      <c r="B39" s="3501" t="s">
        <v>1448</v>
      </c>
      <c r="C39" s="3464">
        <f ca="1">C5-C30</f>
        <v>9223609</v>
      </c>
      <c r="D39" s="3502" t="s">
        <v>1449</v>
      </c>
      <c r="E39" s="3503"/>
      <c r="F39" s="3504"/>
      <c r="G39" s="1568"/>
      <c r="H39" s="2929"/>
      <c r="I39" s="1582"/>
      <c r="J39" s="1583"/>
      <c r="K39" s="2933"/>
      <c r="L39" s="2929"/>
      <c r="M39" s="2929"/>
    </row>
    <row r="40" spans="1:18" ht="18" customHeight="1">
      <c r="A40" s="3427" t="s">
        <v>1000</v>
      </c>
      <c r="B40" s="3428" t="s">
        <v>1450</v>
      </c>
      <c r="C40" s="3505">
        <f ca="1">ROUND(C39*(1-((1+F42)/(1+F40))^F41)/(F40-F42),0)</f>
        <v>184320016</v>
      </c>
      <c r="D40" s="3493" t="s">
        <v>1434</v>
      </c>
      <c r="E40" s="3437" t="s">
        <v>1435</v>
      </c>
      <c r="F40" s="3447">
        <f ca="1">INDIRECT("'数据-取费表'!I"&amp;$G$1)</f>
        <v>0.05</v>
      </c>
      <c r="G40" s="1568"/>
      <c r="H40" s="1645"/>
      <c r="I40" s="1582"/>
      <c r="J40" s="1583"/>
      <c r="K40" s="2933"/>
      <c r="L40" s="1645"/>
      <c r="M40" s="1645"/>
    </row>
    <row r="41" spans="1:18" ht="18" customHeight="1">
      <c r="A41" s="3444"/>
      <c r="B41" s="3506"/>
      <c r="C41" s="3445"/>
      <c r="D41" s="3507" t="s">
        <v>1451</v>
      </c>
      <c r="E41" s="3437" t="s">
        <v>1439</v>
      </c>
      <c r="F41" s="3508">
        <f>'数据-取费表'!F6</f>
        <v>28.73</v>
      </c>
      <c r="G41" s="1568"/>
      <c r="H41" s="1353"/>
      <c r="I41" s="1582"/>
      <c r="J41" s="1583"/>
      <c r="K41" s="2770"/>
      <c r="L41" s="1353"/>
      <c r="M41" s="1353"/>
    </row>
    <row r="42" spans="1:18" ht="18" customHeight="1">
      <c r="A42" s="3452"/>
      <c r="B42" s="3509"/>
      <c r="C42" s="3464"/>
      <c r="D42" s="3497"/>
      <c r="E42" s="3437" t="s">
        <v>1442</v>
      </c>
      <c r="F42" s="3447">
        <f ca="1">INDIRECT("'数据-取费表'!v"&amp;$G$1)</f>
        <v>2.5000000000000001E-2</v>
      </c>
      <c r="G42" s="1568"/>
      <c r="H42" s="1353"/>
      <c r="I42" s="1582"/>
      <c r="J42" s="1583"/>
      <c r="K42" s="2770"/>
      <c r="L42" s="1353"/>
      <c r="M42" s="1353"/>
    </row>
    <row r="43" spans="1:18" ht="18" customHeight="1" thickBot="1">
      <c r="A43" s="3510" t="s">
        <v>1001</v>
      </c>
      <c r="B43" s="3511" t="s">
        <v>1452</v>
      </c>
      <c r="C43" s="3512">
        <f ca="1">ROUND(C40/F43,0)</f>
        <v>28728</v>
      </c>
      <c r="D43" s="3513" t="s">
        <v>1453</v>
      </c>
      <c r="E43" s="3514" t="s">
        <v>1454</v>
      </c>
      <c r="F43" s="3515">
        <f ca="1">INDIRECT("'数据-取费表'!k"&amp;$G$1)</f>
        <v>6416.15</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-250884924</v>
      </c>
      <c r="D45" s="1657" t="s">
        <v>1569</v>
      </c>
      <c r="E45" s="1584"/>
      <c r="F45" s="1584"/>
      <c r="O45" s="1587" t="s">
        <v>1484</v>
      </c>
      <c r="P45" s="1645"/>
      <c r="Q45" s="1645"/>
      <c r="R45" s="1645"/>
    </row>
    <row r="46" spans="1:18" s="1568" customFormat="1" ht="13.5" thickBot="1">
      <c r="A46" s="1588" t="s">
        <v>1485</v>
      </c>
      <c r="C46" s="1589">
        <f ca="1">ROUND(C45/10000,0)</f>
        <v>-25088</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3086</v>
      </c>
      <c r="K47" s="1600" t="s">
        <v>1492</v>
      </c>
      <c r="L47" s="1601">
        <f ca="1">INDIRECT("'数据-取费表'!d"&amp;$G$1)</f>
        <v>50</v>
      </c>
      <c r="M47" s="1564" t="str">
        <f>IF(ISNUMBER(FIND("住宅",C1)),"住宅","非住宅")</f>
        <v>非住宅</v>
      </c>
      <c r="O47" s="1602" t="s">
        <v>1008</v>
      </c>
      <c r="P47" s="1603" t="s">
        <v>1493</v>
      </c>
      <c r="Q47" s="1604">
        <f ca="1">C40+J29</f>
        <v>184320016</v>
      </c>
      <c r="R47" s="1604" t="s">
        <v>1494</v>
      </c>
    </row>
    <row r="48" spans="1:18" s="1568" customFormat="1" ht="28.5" thickBot="1">
      <c r="A48" s="1270" t="s">
        <v>1103</v>
      </c>
      <c r="B48" s="306" t="s">
        <v>1366</v>
      </c>
      <c r="C48" s="1543">
        <f ca="1">C49+C53+C55</f>
        <v>0</v>
      </c>
      <c r="D48" s="1272"/>
      <c r="E48" s="1273"/>
      <c r="F48" s="1093"/>
      <c r="G48" s="731"/>
      <c r="H48" s="732"/>
      <c r="I48" s="1605" t="s">
        <v>1495</v>
      </c>
      <c r="J48" s="1606" t="s">
        <v>3087</v>
      </c>
      <c r="K48" s="1607" t="s">
        <v>1496</v>
      </c>
      <c r="L48" s="1608">
        <f ca="1">INDIRECT("'数据-取费表'!f"&amp;$G$1)</f>
        <v>28.73</v>
      </c>
      <c r="O48" s="1602" t="s">
        <v>1009</v>
      </c>
      <c r="P48" s="1603" t="s">
        <v>1497</v>
      </c>
      <c r="Q48" s="1604" t="str">
        <f ca="1">J60</f>
        <v>0</v>
      </c>
      <c r="R48" s="1604" t="s">
        <v>1498</v>
      </c>
    </row>
    <row r="49" spans="1:18" s="1568" customFormat="1" ht="13.5" thickBot="1">
      <c r="A49" s="1106" t="s">
        <v>1104</v>
      </c>
      <c r="B49" s="1555" t="s">
        <v>1455</v>
      </c>
      <c r="C49" s="1274">
        <f>ROUND(F49*F51*F50*(1-F52),0)</f>
        <v>0</v>
      </c>
      <c r="D49" s="1186" t="s">
        <v>1369</v>
      </c>
      <c r="E49" s="1556" t="s">
        <v>1456</v>
      </c>
      <c r="F49" s="1191"/>
      <c r="G49" s="1609"/>
      <c r="H49" s="732"/>
      <c r="I49" s="1605" t="s">
        <v>1499</v>
      </c>
      <c r="J49" s="1610"/>
      <c r="K49" s="1607" t="s">
        <v>1500</v>
      </c>
      <c r="L49" s="1611"/>
      <c r="O49" s="1612" t="s">
        <v>1010</v>
      </c>
      <c r="P49" s="1603" t="s">
        <v>1501</v>
      </c>
      <c r="Q49" s="1604">
        <f ca="1">C29</f>
        <v>33270648</v>
      </c>
      <c r="R49" s="1604" t="s">
        <v>1494</v>
      </c>
    </row>
    <row r="50" spans="1:18" s="1568" customFormat="1" ht="13.5" thickBot="1">
      <c r="A50" s="1107"/>
      <c r="B50" s="1110"/>
      <c r="C50" s="1111"/>
      <c r="D50" s="1084"/>
      <c r="E50" s="1187" t="s">
        <v>1371</v>
      </c>
      <c r="F50" s="1188">
        <f>F7</f>
        <v>6416.15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F8</f>
        <v>365</v>
      </c>
      <c r="I51" s="1616" t="s">
        <v>1505</v>
      </c>
      <c r="J51" s="1617">
        <f>IF(J49="",J50,J49+J50-YEAR('数据-取费表'!B2))</f>
        <v>60</v>
      </c>
      <c r="K51" s="1618" t="s">
        <v>1506</v>
      </c>
      <c r="L51" s="1619">
        <f ca="1">ROUND(-PV(INDIRECT("'数据-取费表'!h"&amp;$G$1),J51,(C39-C13*C76),0),0)</f>
        <v>171788015</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28.73</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28.73</v>
      </c>
      <c r="K53" s="3271" t="s">
        <v>1513</v>
      </c>
      <c r="L53" s="3272"/>
      <c r="O53" s="1602" t="s">
        <v>1014</v>
      </c>
      <c r="P53" s="1603" t="s">
        <v>1514</v>
      </c>
      <c r="Q53" s="1604">
        <f ca="1">Q47+Q48</f>
        <v>184320016</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23289454</v>
      </c>
      <c r="D56" s="1631"/>
      <c r="E56" s="1632"/>
      <c r="F56" s="1624"/>
      <c r="I56" s="1633" t="s">
        <v>1519</v>
      </c>
      <c r="J56" s="1634" t="s">
        <v>3072</v>
      </c>
      <c r="K56" s="1605" t="s">
        <v>1520</v>
      </c>
      <c r="L56" s="1608" t="str">
        <f ca="1">IF(L48&lt;J51,"——",L48-J51)</f>
        <v>——</v>
      </c>
      <c r="O56" s="1602" t="s">
        <v>1008</v>
      </c>
      <c r="P56" s="1603" t="s">
        <v>1493</v>
      </c>
      <c r="Q56" s="1604">
        <f ca="1">C40+J29</f>
        <v>184320016</v>
      </c>
      <c r="R56" s="1604" t="s">
        <v>1494</v>
      </c>
    </row>
    <row r="57" spans="1:18" s="1568" customFormat="1" ht="24.75" thickBot="1">
      <c r="A57" s="1635"/>
      <c r="B57" s="1081" t="s">
        <v>1443</v>
      </c>
      <c r="C57" s="244">
        <f ca="1">C29</f>
        <v>33270648</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3330993</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2796999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2794734</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2265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184320016</v>
      </c>
      <c r="R62" s="1604" t="s">
        <v>1015</v>
      </c>
    </row>
    <row r="63" spans="1:18" s="1568" customFormat="1" ht="13.5" thickBot="1">
      <c r="A63" s="332"/>
      <c r="B63" s="1087"/>
      <c r="C63" s="29"/>
      <c r="D63" s="1097"/>
      <c r="E63" s="1081" t="s">
        <v>1464</v>
      </c>
      <c r="F63" s="309">
        <f t="shared" ca="1" si="0"/>
        <v>1510.18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499060</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34934</v>
      </c>
      <c r="D65" s="1095" t="s">
        <v>1419</v>
      </c>
      <c r="E65" s="1081" t="s">
        <v>1420</v>
      </c>
      <c r="F65" s="336">
        <f t="shared" ca="1" si="0"/>
        <v>1.5E-3</v>
      </c>
      <c r="I65" s="1646" t="s">
        <v>1544</v>
      </c>
      <c r="J65" s="1647">
        <v>40</v>
      </c>
      <c r="K65" s="1647">
        <v>30</v>
      </c>
      <c r="L65" s="1647">
        <v>50</v>
      </c>
      <c r="M65" s="1649">
        <v>0.02</v>
      </c>
      <c r="O65" s="1602" t="s">
        <v>1008</v>
      </c>
      <c r="P65" s="1603" t="s">
        <v>1545</v>
      </c>
      <c r="Q65" s="1604">
        <f ca="1">C40+J29</f>
        <v>184320016</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-3330993</v>
      </c>
      <c r="D67" s="1094" t="s">
        <v>1429</v>
      </c>
      <c r="E67" s="1099"/>
      <c r="F67" s="1100"/>
      <c r="O67" s="1612" t="s">
        <v>1010</v>
      </c>
      <c r="P67" s="1603" t="s">
        <v>1527</v>
      </c>
      <c r="Q67" s="1650">
        <f ca="1">L51</f>
        <v>171788015</v>
      </c>
      <c r="R67" s="1604" t="s">
        <v>1547</v>
      </c>
    </row>
    <row r="68" spans="1:18" s="1568" customFormat="1" ht="16.5" thickBot="1">
      <c r="A68" s="1078" t="s">
        <v>1000</v>
      </c>
      <c r="B68" s="1079" t="s">
        <v>1450</v>
      </c>
      <c r="C68" s="307">
        <f ca="1">ROUND(C67*(1-((1+F70)/(1+F68))^F69)/(F68-F70),0)</f>
        <v>-66564908</v>
      </c>
      <c r="D68" s="1096" t="s">
        <v>1434</v>
      </c>
      <c r="E68" s="1081" t="s">
        <v>1435</v>
      </c>
      <c r="F68" s="318">
        <f ca="1">F40</f>
        <v>0.05</v>
      </c>
      <c r="O68" s="1612" t="s">
        <v>1011</v>
      </c>
      <c r="P68" s="1651" t="s">
        <v>1548</v>
      </c>
      <c r="Q68" s="1604">
        <f ca="1">ROUND(Q69-Q70*Q71,0)</f>
        <v>7593347</v>
      </c>
      <c r="R68" s="1604" t="s">
        <v>1019</v>
      </c>
    </row>
    <row r="69" spans="1:18" s="1568" customFormat="1" ht="13.5" thickBot="1">
      <c r="A69" s="1082"/>
      <c r="B69" s="1083"/>
      <c r="C69" s="312"/>
      <c r="D69" s="1101" t="s">
        <v>1438</v>
      </c>
      <c r="E69" s="1081" t="s">
        <v>1439</v>
      </c>
      <c r="F69" s="339">
        <f>F41</f>
        <v>28.73</v>
      </c>
      <c r="O69" s="1612" t="s">
        <v>1016</v>
      </c>
      <c r="P69" s="1651" t="s">
        <v>1549</v>
      </c>
      <c r="Q69" s="1604">
        <f ca="1">C39</f>
        <v>9223609</v>
      </c>
      <c r="R69" s="1604" t="s">
        <v>1494</v>
      </c>
    </row>
    <row r="70" spans="1:18" s="1568" customFormat="1" ht="13.5" thickBot="1">
      <c r="A70" s="1085"/>
      <c r="B70" s="1086"/>
      <c r="C70" s="316"/>
      <c r="D70" s="1097"/>
      <c r="E70" s="1081" t="s">
        <v>1442</v>
      </c>
      <c r="F70" s="1185">
        <f ca="1">F42</f>
        <v>2.5000000000000001E-2</v>
      </c>
      <c r="O70" s="1612" t="s">
        <v>1017</v>
      </c>
      <c r="P70" s="1651" t="s">
        <v>1550</v>
      </c>
      <c r="Q70" s="1604">
        <f ca="1">C13</f>
        <v>23289454</v>
      </c>
      <c r="R70" s="1604" t="s">
        <v>1494</v>
      </c>
    </row>
    <row r="71" spans="1:18" s="1568" customFormat="1" ht="13.5" thickBot="1">
      <c r="A71" s="1102" t="s">
        <v>1001</v>
      </c>
      <c r="B71" s="1103" t="s">
        <v>1452</v>
      </c>
      <c r="C71" s="342">
        <f ca="1">ROUND(C68/F71,0)</f>
        <v>-10375</v>
      </c>
      <c r="D71" s="1104" t="s">
        <v>1453</v>
      </c>
      <c r="E71" s="1105" t="s">
        <v>1454</v>
      </c>
      <c r="F71" s="345">
        <f ca="1">F43</f>
        <v>6416.15</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1630262</v>
      </c>
      <c r="D75" s="1568"/>
      <c r="E75" s="1568"/>
      <c r="F75" s="1568"/>
      <c r="K75" s="1586"/>
      <c r="L75" s="1568"/>
      <c r="O75" s="1602" t="s">
        <v>1014</v>
      </c>
      <c r="P75" s="1603" t="s">
        <v>1514</v>
      </c>
      <c r="Q75" s="1604">
        <f ca="1">Q65+Q66</f>
        <v>184320016</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0.874</v>
      </c>
    </row>
    <row r="83" spans="2:3">
      <c r="B83" s="279" t="s">
        <v>1479</v>
      </c>
      <c r="C83" s="280">
        <f ca="1">ROUND(C13/C40,3)</f>
        <v>0.126</v>
      </c>
    </row>
  </sheetData>
  <sheetProtection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18432</v>
      </c>
      <c r="C2" s="2058" t="s">
        <v>2340</v>
      </c>
      <c r="D2" s="2059" t="s">
        <v>2341</v>
      </c>
      <c r="E2" s="2833">
        <f>SUM(E6:E13)</f>
        <v>6416.15</v>
      </c>
      <c r="F2" s="2936"/>
      <c r="G2" s="1674"/>
      <c r="H2" s="1674"/>
      <c r="I2" s="1674"/>
      <c r="J2" s="1674"/>
      <c r="K2" s="1674"/>
      <c r="L2" s="1674"/>
      <c r="M2" s="1674"/>
      <c r="N2" s="1674"/>
      <c r="O2" s="1674"/>
      <c r="P2" s="1674"/>
      <c r="Q2" s="1674"/>
      <c r="R2" s="1674"/>
      <c r="S2" s="1674"/>
    </row>
    <row r="3" spans="1:22" ht="15.75">
      <c r="A3" s="2056" t="s">
        <v>1360</v>
      </c>
      <c r="B3" s="2827">
        <f ca="1">ROUND(B2*10000/E2,0)</f>
        <v>28728</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76" t="s">
        <v>2343</v>
      </c>
      <c r="C5" s="3277"/>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18432</v>
      </c>
      <c r="C6" s="2058" t="s">
        <v>2340</v>
      </c>
      <c r="D6" s="2938"/>
      <c r="E6" s="2832">
        <f>IF(OR(A6=0,F6="否"),0,'数据-取费表'!K6+'数据-取费表'!S6)</f>
        <v>6416.15</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600-000000000000}">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8" t="s">
        <v>1044</v>
      </c>
      <c r="B1" s="3279"/>
      <c r="C1" s="3280"/>
      <c r="D1" s="3281">
        <f>SUM(I10,I15,I20,I21,I23)</f>
        <v>0</v>
      </c>
      <c r="E1" s="3281"/>
      <c r="F1" s="3281"/>
      <c r="G1" s="3281"/>
      <c r="H1" s="3281"/>
      <c r="I1" s="3282"/>
    </row>
    <row r="2" spans="1:9">
      <c r="A2" s="3283" t="s">
        <v>1045</v>
      </c>
      <c r="B2" s="3284" t="s">
        <v>1046</v>
      </c>
      <c r="C2" s="3284"/>
      <c r="D2" s="1211" t="s">
        <v>1047</v>
      </c>
      <c r="E2" s="1211" t="s">
        <v>1048</v>
      </c>
      <c r="F2" s="1211" t="s">
        <v>1049</v>
      </c>
      <c r="G2" s="1211" t="s">
        <v>1050</v>
      </c>
      <c r="H2" s="1211" t="s">
        <v>1051</v>
      </c>
      <c r="I2" s="1212" t="s">
        <v>1052</v>
      </c>
    </row>
    <row r="3" spans="1:9">
      <c r="A3" s="3283"/>
      <c r="B3" s="3284" t="s">
        <v>1053</v>
      </c>
      <c r="C3" s="3284"/>
      <c r="D3" s="1213"/>
      <c r="E3" s="1211"/>
      <c r="F3" s="1214"/>
      <c r="G3" s="1214"/>
      <c r="H3" s="1215"/>
      <c r="I3" s="1216">
        <f>ROUND(D3*E3*F3*G3*H3/10000,0)</f>
        <v>0</v>
      </c>
    </row>
    <row r="4" spans="1:9">
      <c r="A4" s="3283"/>
      <c r="B4" s="3284" t="s">
        <v>1054</v>
      </c>
      <c r="C4" s="3284"/>
      <c r="D4" s="1213"/>
      <c r="E4" s="1211"/>
      <c r="F4" s="1214"/>
      <c r="G4" s="1214"/>
      <c r="H4" s="1215"/>
      <c r="I4" s="1216">
        <f t="shared" ref="I4:I9" si="0">ROUND(D4*E4*F4*G4*H4/10000,0)</f>
        <v>0</v>
      </c>
    </row>
    <row r="5" spans="1:9">
      <c r="A5" s="3283"/>
      <c r="B5" s="3284" t="s">
        <v>1055</v>
      </c>
      <c r="C5" s="3284"/>
      <c r="D5" s="1213"/>
      <c r="E5" s="1211"/>
      <c r="F5" s="1214"/>
      <c r="G5" s="1214"/>
      <c r="H5" s="1215"/>
      <c r="I5" s="1216">
        <f t="shared" si="0"/>
        <v>0</v>
      </c>
    </row>
    <row r="6" spans="1:9">
      <c r="A6" s="3283"/>
      <c r="B6" s="3284" t="s">
        <v>1056</v>
      </c>
      <c r="C6" s="3284"/>
      <c r="D6" s="1213"/>
      <c r="E6" s="1211"/>
      <c r="F6" s="1214"/>
      <c r="G6" s="1214"/>
      <c r="H6" s="1215"/>
      <c r="I6" s="1216">
        <f t="shared" si="0"/>
        <v>0</v>
      </c>
    </row>
    <row r="7" spans="1:9">
      <c r="A7" s="3283"/>
      <c r="B7" s="3284" t="s">
        <v>1057</v>
      </c>
      <c r="C7" s="3284"/>
      <c r="D7" s="1213"/>
      <c r="E7" s="1211"/>
      <c r="F7" s="1214"/>
      <c r="G7" s="1214"/>
      <c r="H7" s="1215"/>
      <c r="I7" s="1216">
        <f t="shared" si="0"/>
        <v>0</v>
      </c>
    </row>
    <row r="8" spans="1:9">
      <c r="A8" s="3283"/>
      <c r="B8" s="3284" t="s">
        <v>1058</v>
      </c>
      <c r="C8" s="3284"/>
      <c r="D8" s="1213"/>
      <c r="E8" s="1211"/>
      <c r="F8" s="1214"/>
      <c r="G8" s="1214"/>
      <c r="H8" s="1215"/>
      <c r="I8" s="1216">
        <f t="shared" si="0"/>
        <v>0</v>
      </c>
    </row>
    <row r="9" spans="1:9">
      <c r="A9" s="3283"/>
      <c r="B9" s="3284" t="s">
        <v>1059</v>
      </c>
      <c r="C9" s="3284"/>
      <c r="D9" s="1213"/>
      <c r="E9" s="1211"/>
      <c r="F9" s="1214"/>
      <c r="G9" s="1214"/>
      <c r="H9" s="1215"/>
      <c r="I9" s="1216">
        <f t="shared" si="0"/>
        <v>0</v>
      </c>
    </row>
    <row r="10" spans="1:9">
      <c r="A10" s="3283"/>
      <c r="B10" s="3285" t="s">
        <v>1060</v>
      </c>
      <c r="C10" s="3285"/>
      <c r="D10" s="1217"/>
      <c r="E10" s="1217" t="e">
        <f>ROUND(D1*10000/D10/H9,0)</f>
        <v>#DIV/0!</v>
      </c>
      <c r="F10" s="1218"/>
      <c r="G10" s="1218"/>
      <c r="H10" s="1219"/>
      <c r="I10" s="1220">
        <f>SUM(I3:I9)</f>
        <v>0</v>
      </c>
    </row>
    <row r="11" spans="1:9" ht="14.25">
      <c r="A11" s="3283" t="s">
        <v>1061</v>
      </c>
      <c r="B11" s="3284" t="s">
        <v>1062</v>
      </c>
      <c r="C11" s="3284"/>
      <c r="D11" s="1213" t="s">
        <v>1063</v>
      </c>
      <c r="E11" s="1213" t="s">
        <v>1064</v>
      </c>
      <c r="F11" s="1214" t="s">
        <v>1065</v>
      </c>
      <c r="G11" s="1214" t="s">
        <v>1051</v>
      </c>
      <c r="H11" s="1221" t="s">
        <v>1066</v>
      </c>
      <c r="I11" s="1212" t="s">
        <v>1052</v>
      </c>
    </row>
    <row r="12" spans="1:9">
      <c r="A12" s="3283"/>
      <c r="B12" s="3284" t="s">
        <v>1067</v>
      </c>
      <c r="C12" s="3284"/>
      <c r="D12" s="1213"/>
      <c r="E12" s="1213"/>
      <c r="F12" s="1214"/>
      <c r="G12" s="1215"/>
      <c r="H12" s="1222"/>
      <c r="I12" s="1212">
        <f>ROUND(D12*E12*F12*G12/10000,0)</f>
        <v>0</v>
      </c>
    </row>
    <row r="13" spans="1:9">
      <c r="A13" s="3283"/>
      <c r="B13" s="3284" t="s">
        <v>1068</v>
      </c>
      <c r="C13" s="3284"/>
      <c r="D13" s="1213"/>
      <c r="E13" s="1213"/>
      <c r="F13" s="1214"/>
      <c r="G13" s="1215"/>
      <c r="H13" s="1222"/>
      <c r="I13" s="1212">
        <f>ROUND(D13*E13*F13*G13/10000,0)</f>
        <v>0</v>
      </c>
    </row>
    <row r="14" spans="1:9">
      <c r="A14" s="3283"/>
      <c r="B14" s="3284" t="s">
        <v>1069</v>
      </c>
      <c r="C14" s="3284"/>
      <c r="D14" s="1213"/>
      <c r="E14" s="1213"/>
      <c r="F14" s="1214"/>
      <c r="G14" s="1215"/>
      <c r="H14" s="1222"/>
      <c r="I14" s="1212">
        <f>ROUND(D14*E14*F14*G14/10000,0)</f>
        <v>0</v>
      </c>
    </row>
    <row r="15" spans="1:9">
      <c r="A15" s="3283"/>
      <c r="B15" s="3285" t="s">
        <v>1060</v>
      </c>
      <c r="C15" s="3285"/>
      <c r="D15" s="1217"/>
      <c r="E15" s="1217">
        <f>SUM(E12:E14)</f>
        <v>0</v>
      </c>
      <c r="F15" s="1218"/>
      <c r="G15" s="1215"/>
      <c r="H15" s="1222"/>
      <c r="I15" s="1223">
        <f>SUM(I12:I14)</f>
        <v>0</v>
      </c>
    </row>
    <row r="16" spans="1:9" ht="24">
      <c r="A16" s="3283" t="s">
        <v>1070</v>
      </c>
      <c r="B16" s="3284" t="s">
        <v>1071</v>
      </c>
      <c r="C16" s="3284"/>
      <c r="D16" s="1213" t="s">
        <v>1047</v>
      </c>
      <c r="E16" s="1224" t="s">
        <v>1072</v>
      </c>
      <c r="F16" s="1214" t="s">
        <v>1073</v>
      </c>
      <c r="G16" s="1215" t="s">
        <v>1051</v>
      </c>
      <c r="H16" s="1221" t="s">
        <v>1066</v>
      </c>
      <c r="I16" s="1212" t="s">
        <v>1052</v>
      </c>
    </row>
    <row r="17" spans="1:9" ht="14.25">
      <c r="A17" s="3283"/>
      <c r="B17" s="3284" t="s">
        <v>1074</v>
      </c>
      <c r="C17" s="3284"/>
      <c r="D17" s="1213"/>
      <c r="E17" s="1213"/>
      <c r="F17" s="1214"/>
      <c r="G17" s="1215"/>
      <c r="H17" s="1225"/>
      <c r="I17" s="1226">
        <f>ROUND(D17*E17*F17*G17/10000,0)</f>
        <v>0</v>
      </c>
    </row>
    <row r="18" spans="1:9" ht="14.25">
      <c r="A18" s="3283"/>
      <c r="B18" s="3284" t="s">
        <v>1075</v>
      </c>
      <c r="C18" s="3284"/>
      <c r="D18" s="1213"/>
      <c r="E18" s="1213"/>
      <c r="F18" s="1214"/>
      <c r="G18" s="1215"/>
      <c r="H18" s="1225"/>
      <c r="I18" s="1226">
        <f>ROUND(D18*E18*F18*G18/10000,0)</f>
        <v>0</v>
      </c>
    </row>
    <row r="19" spans="1:9" ht="14.25">
      <c r="A19" s="3283"/>
      <c r="B19" s="3284" t="s">
        <v>1076</v>
      </c>
      <c r="C19" s="3284"/>
      <c r="D19" s="1213"/>
      <c r="E19" s="1213"/>
      <c r="F19" s="1214"/>
      <c r="G19" s="1215"/>
      <c r="H19" s="1225"/>
      <c r="I19" s="1226">
        <f>ROUND(D19*E19*F19*G19/10000,0)</f>
        <v>0</v>
      </c>
    </row>
    <row r="20" spans="1:9">
      <c r="A20" s="3283"/>
      <c r="B20" s="3285" t="s">
        <v>1060</v>
      </c>
      <c r="C20" s="3285"/>
      <c r="D20" s="1217">
        <f>SUM(D17:D19)</f>
        <v>0</v>
      </c>
      <c r="E20" s="1217"/>
      <c r="F20" s="1218"/>
      <c r="G20" s="1215"/>
      <c r="H20" s="1222"/>
      <c r="I20" s="1223">
        <f>SUM(I17:I19)</f>
        <v>0</v>
      </c>
    </row>
    <row r="21" spans="1:9">
      <c r="A21" s="3283" t="s">
        <v>1077</v>
      </c>
      <c r="B21" s="3287"/>
      <c r="C21" s="3287"/>
      <c r="D21" s="3287"/>
      <c r="E21" s="3287"/>
      <c r="F21" s="3287"/>
      <c r="G21" s="3287"/>
      <c r="H21" s="1502">
        <v>0.1</v>
      </c>
      <c r="I21" s="1220">
        <f>ROUND(I10*H21,0)</f>
        <v>0</v>
      </c>
    </row>
    <row r="22" spans="1:9" ht="14.25">
      <c r="A22" s="3288" t="s">
        <v>1078</v>
      </c>
      <c r="B22" s="3289"/>
      <c r="C22" s="3290"/>
      <c r="D22" s="1227" t="s">
        <v>1079</v>
      </c>
      <c r="E22" s="1227" t="s">
        <v>1080</v>
      </c>
      <c r="F22" s="1228" t="s">
        <v>1081</v>
      </c>
      <c r="G22" s="1228" t="s">
        <v>1082</v>
      </c>
      <c r="H22" s="1221" t="s">
        <v>1083</v>
      </c>
      <c r="I22" s="1212" t="s">
        <v>1084</v>
      </c>
    </row>
    <row r="23" spans="1:9" ht="14.25" thickBot="1">
      <c r="A23" s="3291"/>
      <c r="B23" s="3292"/>
      <c r="C23" s="3293"/>
      <c r="D23" s="1229"/>
      <c r="E23" s="1229"/>
      <c r="F23" s="1229"/>
      <c r="G23" s="1230"/>
      <c r="H23" s="1231"/>
      <c r="I23" s="1232">
        <f>ROUND(E23*D23*F23*(1-G23)/10000,0)</f>
        <v>0</v>
      </c>
    </row>
    <row r="26" spans="1:9">
      <c r="A26" s="1233" t="s">
        <v>1085</v>
      </c>
      <c r="B26" s="1233"/>
      <c r="C26" s="1233"/>
      <c r="D26" s="1233"/>
      <c r="E26" s="3294">
        <f>C27-C30-C31-C32</f>
        <v>0</v>
      </c>
      <c r="F26" s="3294"/>
      <c r="G26" s="3294"/>
      <c r="H26" s="1499" t="s">
        <v>1306</v>
      </c>
    </row>
    <row r="27" spans="1:9">
      <c r="A27" s="1234">
        <v>1</v>
      </c>
      <c r="B27" s="1235" t="s">
        <v>1086</v>
      </c>
      <c r="C27" s="1235">
        <f>C28+C29</f>
        <v>0</v>
      </c>
      <c r="D27" s="1235"/>
      <c r="E27" s="3295"/>
      <c r="F27" s="3295"/>
      <c r="G27" s="3295"/>
    </row>
    <row r="28" spans="1:9">
      <c r="A28" s="1236" t="s">
        <v>1087</v>
      </c>
      <c r="B28" s="1235" t="s">
        <v>1088</v>
      </c>
      <c r="C28" s="1235"/>
      <c r="D28" s="1235"/>
      <c r="E28" s="3295"/>
      <c r="F28" s="3295"/>
      <c r="G28" s="329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6"/>
      <c r="F32" s="3286"/>
      <c r="G32" s="3286"/>
    </row>
    <row r="33" spans="1:7" hidden="1">
      <c r="A33" s="3296" t="s">
        <v>1097</v>
      </c>
      <c r="B33" s="3297"/>
      <c r="C33" s="3297"/>
      <c r="D33" s="3298"/>
      <c r="E33" s="3294"/>
      <c r="F33" s="3294"/>
      <c r="G33" s="3294"/>
    </row>
    <row r="34" spans="1:7" hidden="1">
      <c r="A34" s="1238">
        <v>1</v>
      </c>
      <c r="B34" s="1235" t="s">
        <v>1098</v>
      </c>
      <c r="C34" s="1235"/>
      <c r="D34" s="1235"/>
      <c r="E34" s="3295"/>
      <c r="F34" s="3295"/>
      <c r="G34" s="3295"/>
    </row>
    <row r="35" spans="1:7" hidden="1">
      <c r="A35" s="1238">
        <v>2</v>
      </c>
      <c r="B35" s="1235" t="s">
        <v>1099</v>
      </c>
      <c r="C35" s="1235"/>
      <c r="D35" s="1235"/>
      <c r="E35" s="3295"/>
      <c r="F35" s="3295"/>
      <c r="G35" s="3295"/>
    </row>
    <row r="36" spans="1:7" hidden="1">
      <c r="A36" s="1238">
        <v>3</v>
      </c>
      <c r="B36" s="1235" t="s">
        <v>1100</v>
      </c>
      <c r="C36" s="1235"/>
      <c r="D36" s="1235"/>
      <c r="E36" s="3295"/>
      <c r="F36" s="3295"/>
      <c r="G36" s="3295"/>
    </row>
    <row r="37" spans="1:7" hidden="1">
      <c r="A37" s="1238">
        <v>4</v>
      </c>
      <c r="B37" s="1235" t="s">
        <v>1101</v>
      </c>
      <c r="C37" s="1235"/>
      <c r="D37" s="1235"/>
      <c r="E37" s="3295"/>
      <c r="F37" s="3295"/>
      <c r="G37" s="3295"/>
    </row>
    <row r="38" spans="1:7" hidden="1">
      <c r="A38" s="3296" t="s">
        <v>1102</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6416.15</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17" t="s">
        <v>2357</v>
      </c>
      <c r="D4" s="3318"/>
      <c r="E4" s="3319" t="s">
        <v>2358</v>
      </c>
      <c r="F4" s="3320"/>
      <c r="G4" s="3317" t="s">
        <v>2359</v>
      </c>
      <c r="H4" s="3318"/>
      <c r="I4" s="3317" t="s">
        <v>2360</v>
      </c>
      <c r="J4" s="3318"/>
      <c r="K4" s="2075" t="s">
        <v>2361</v>
      </c>
      <c r="L4" s="2944"/>
      <c r="M4" s="2945"/>
      <c r="N4" s="2945"/>
      <c r="O4" s="2945"/>
      <c r="P4" s="3321" t="s">
        <v>2362</v>
      </c>
      <c r="Q4" s="3322"/>
      <c r="R4" s="3304" t="s">
        <v>2358</v>
      </c>
      <c r="S4" s="3305"/>
      <c r="T4" s="3304" t="s">
        <v>2359</v>
      </c>
      <c r="U4" s="3305"/>
      <c r="V4" s="3329" t="s">
        <v>2360</v>
      </c>
      <c r="W4" s="3329"/>
      <c r="X4" s="1539"/>
      <c r="Y4" s="3304" t="s">
        <v>2362</v>
      </c>
      <c r="Z4" s="3305"/>
      <c r="AA4" s="3299" t="s">
        <v>2358</v>
      </c>
      <c r="AB4" s="3299" t="s">
        <v>2359</v>
      </c>
      <c r="AC4" s="3299" t="s">
        <v>2360</v>
      </c>
    </row>
    <row r="5" spans="1:29" ht="15">
      <c r="A5" s="364"/>
      <c r="B5" s="365"/>
      <c r="C5" s="3310" t="s">
        <v>2363</v>
      </c>
      <c r="D5" s="3311"/>
      <c r="E5" s="3308" t="s">
        <v>2364</v>
      </c>
      <c r="F5" s="3309"/>
      <c r="G5" s="3310" t="s">
        <v>2365</v>
      </c>
      <c r="H5" s="3311"/>
      <c r="I5" s="3310" t="s">
        <v>2366</v>
      </c>
      <c r="J5" s="3311"/>
      <c r="K5" s="2076"/>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12" t="s">
        <v>2367</v>
      </c>
      <c r="D6" s="3313"/>
      <c r="E6" s="3314" t="s">
        <v>2367</v>
      </c>
      <c r="F6" s="3315"/>
      <c r="G6" s="3312" t="s">
        <v>2367</v>
      </c>
      <c r="H6" s="3313"/>
      <c r="I6" s="3312" t="s">
        <v>2367</v>
      </c>
      <c r="J6" s="3313"/>
      <c r="K6" s="2076" t="s">
        <v>2368</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02" t="s">
        <v>2370</v>
      </c>
      <c r="Q7" s="3330"/>
      <c r="R7" s="710" t="s">
        <v>23</v>
      </c>
      <c r="S7" s="711">
        <f t="shared" ref="S7:S15" si="0">F7</f>
        <v>0</v>
      </c>
      <c r="T7" s="710" t="s">
        <v>23</v>
      </c>
      <c r="U7" s="711">
        <f t="shared" ref="U7:U15" si="1">H7</f>
        <v>0</v>
      </c>
      <c r="V7" s="710" t="s">
        <v>23</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02" t="s">
        <v>2373</v>
      </c>
      <c r="Q8" s="3303"/>
      <c r="R8" s="710" t="s">
        <v>23</v>
      </c>
      <c r="S8" s="711">
        <f t="shared" si="0"/>
        <v>0</v>
      </c>
      <c r="T8" s="710" t="s">
        <v>23</v>
      </c>
      <c r="U8" s="711">
        <f t="shared" si="1"/>
        <v>0</v>
      </c>
      <c r="V8" s="710" t="s">
        <v>23</v>
      </c>
      <c r="W8" s="711">
        <f t="shared" si="2"/>
        <v>0</v>
      </c>
      <c r="X8" s="712"/>
      <c r="Y8" s="3302" t="s">
        <v>2373</v>
      </c>
      <c r="Z8" s="330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16"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16"/>
      <c r="Q11" s="1527" t="str">
        <f t="shared" si="6"/>
        <v>容积率</v>
      </c>
      <c r="R11" s="710" t="s">
        <v>21</v>
      </c>
      <c r="S11" s="711" t="e">
        <f t="shared" si="0"/>
        <v>#N/A</v>
      </c>
      <c r="T11" s="710" t="s">
        <v>21</v>
      </c>
      <c r="U11" s="711" t="e">
        <f t="shared" si="1"/>
        <v>#N/A</v>
      </c>
      <c r="V11" s="710" t="s">
        <v>21</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16"/>
      <c r="Q12" s="1527">
        <f t="shared" si="6"/>
        <v>111</v>
      </c>
      <c r="R12" s="710" t="s">
        <v>21</v>
      </c>
      <c r="S12" s="711">
        <f t="shared" si="0"/>
        <v>100</v>
      </c>
      <c r="T12" s="710" t="s">
        <v>21</v>
      </c>
      <c r="U12" s="711">
        <f t="shared" si="1"/>
        <v>100</v>
      </c>
      <c r="V12" s="710" t="s">
        <v>21</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16"/>
      <c r="Q13" s="1527">
        <f t="shared" si="6"/>
        <v>111</v>
      </c>
      <c r="R13" s="710" t="s">
        <v>21</v>
      </c>
      <c r="S13" s="711">
        <f t="shared" si="0"/>
        <v>100</v>
      </c>
      <c r="T13" s="710" t="s">
        <v>21</v>
      </c>
      <c r="U13" s="711">
        <f t="shared" si="1"/>
        <v>100</v>
      </c>
      <c r="V13" s="710" t="s">
        <v>21</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16"/>
      <c r="Q14" s="1527">
        <f t="shared" si="6"/>
        <v>111</v>
      </c>
      <c r="R14" s="710" t="s">
        <v>21</v>
      </c>
      <c r="S14" s="711">
        <f t="shared" si="0"/>
        <v>100</v>
      </c>
      <c r="T14" s="710" t="s">
        <v>21</v>
      </c>
      <c r="U14" s="711">
        <f t="shared" si="1"/>
        <v>100</v>
      </c>
      <c r="V14" s="710" t="s">
        <v>21</v>
      </c>
      <c r="W14" s="711">
        <f t="shared" si="2"/>
        <v>100</v>
      </c>
      <c r="X14" s="712"/>
      <c r="Y14" s="324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43" t="s">
        <v>2381</v>
      </c>
      <c r="Q15" s="1536" t="str">
        <f t="shared" si="6"/>
        <v>居住社区成熟度</v>
      </c>
      <c r="R15" s="714" t="s">
        <v>21</v>
      </c>
      <c r="S15" s="715">
        <f t="shared" si="0"/>
        <v>100</v>
      </c>
      <c r="T15" s="714" t="s">
        <v>21</v>
      </c>
      <c r="U15" s="715">
        <f t="shared" si="1"/>
        <v>100</v>
      </c>
      <c r="V15" s="714" t="s">
        <v>21</v>
      </c>
      <c r="W15" s="715">
        <f t="shared" si="2"/>
        <v>100</v>
      </c>
      <c r="X15" s="1539"/>
      <c r="Y15" s="3336"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44"/>
      <c r="Q16" s="1536"/>
      <c r="R16" s="714"/>
      <c r="S16" s="715"/>
      <c r="T16" s="714"/>
      <c r="U16" s="715"/>
      <c r="V16" s="714"/>
      <c r="W16" s="715"/>
      <c r="X16" s="1539"/>
      <c r="Y16" s="333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44"/>
      <c r="Q17" s="1536" t="str">
        <f>B17</f>
        <v>交通便捷度</v>
      </c>
      <c r="R17" s="714" t="s">
        <v>21</v>
      </c>
      <c r="S17" s="715">
        <f>F17</f>
        <v>100</v>
      </c>
      <c r="T17" s="714" t="s">
        <v>21</v>
      </c>
      <c r="U17" s="715">
        <f>H17</f>
        <v>100</v>
      </c>
      <c r="V17" s="714" t="s">
        <v>21</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44"/>
      <c r="Q18" s="1536"/>
      <c r="R18" s="714"/>
      <c r="S18" s="715"/>
      <c r="T18" s="714"/>
      <c r="U18" s="715"/>
      <c r="V18" s="714"/>
      <c r="W18" s="715"/>
      <c r="X18" s="1539"/>
      <c r="Y18" s="3337"/>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44"/>
      <c r="Q19" s="1536" t="str">
        <f>B19</f>
        <v>公共配套设施</v>
      </c>
      <c r="R19" s="714" t="s">
        <v>21</v>
      </c>
      <c r="S19" s="715">
        <f>F19</f>
        <v>100</v>
      </c>
      <c r="T19" s="714" t="s">
        <v>21</v>
      </c>
      <c r="U19" s="715">
        <f>H19</f>
        <v>100</v>
      </c>
      <c r="V19" s="714" t="s">
        <v>21</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44"/>
      <c r="Q20" s="1536"/>
      <c r="R20" s="714"/>
      <c r="S20" s="715"/>
      <c r="T20" s="714"/>
      <c r="U20" s="715"/>
      <c r="V20" s="714"/>
      <c r="W20" s="715"/>
      <c r="X20" s="1539"/>
      <c r="Y20" s="3337"/>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44"/>
      <c r="Q22" s="1536"/>
      <c r="R22" s="714"/>
      <c r="S22" s="715"/>
      <c r="T22" s="714"/>
      <c r="U22" s="715"/>
      <c r="V22" s="714"/>
      <c r="W22" s="715"/>
      <c r="X22" s="1539"/>
      <c r="Y22" s="3337"/>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44"/>
      <c r="Q23" s="1536" t="str">
        <f>B23</f>
        <v>自然及人文环境</v>
      </c>
      <c r="R23" s="714" t="s">
        <v>21</v>
      </c>
      <c r="S23" s="715">
        <f>F23</f>
        <v>100</v>
      </c>
      <c r="T23" s="714" t="s">
        <v>21</v>
      </c>
      <c r="U23" s="715">
        <f>H23</f>
        <v>100</v>
      </c>
      <c r="V23" s="714" t="s">
        <v>21</v>
      </c>
      <c r="W23" s="715">
        <f>J23</f>
        <v>100</v>
      </c>
      <c r="X23" s="1539"/>
      <c r="Y23" s="333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44"/>
      <c r="Q24" s="1536"/>
      <c r="R24" s="714"/>
      <c r="S24" s="715"/>
      <c r="T24" s="714"/>
      <c r="U24" s="715"/>
      <c r="V24" s="714"/>
      <c r="W24" s="715"/>
      <c r="X24" s="1539"/>
      <c r="Y24" s="3337"/>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4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7"/>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44"/>
      <c r="Q26" s="1536" t="str">
        <f t="shared" si="11"/>
        <v>朝向</v>
      </c>
      <c r="R26" s="714" t="s">
        <v>21</v>
      </c>
      <c r="S26" s="715">
        <f t="shared" si="12"/>
        <v>100</v>
      </c>
      <c r="T26" s="714" t="s">
        <v>21</v>
      </c>
      <c r="U26" s="715">
        <f t="shared" si="13"/>
        <v>100</v>
      </c>
      <c r="V26" s="714" t="s">
        <v>21</v>
      </c>
      <c r="W26" s="715">
        <f t="shared" si="14"/>
        <v>100</v>
      </c>
      <c r="X26" s="1539"/>
      <c r="Y26" s="333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44"/>
      <c r="Q27" s="1527">
        <f t="shared" si="11"/>
        <v>111</v>
      </c>
      <c r="R27" s="710" t="s">
        <v>21</v>
      </c>
      <c r="S27" s="711">
        <f t="shared" si="12"/>
        <v>100</v>
      </c>
      <c r="T27" s="710" t="s">
        <v>21</v>
      </c>
      <c r="U27" s="711">
        <f t="shared" si="13"/>
        <v>100</v>
      </c>
      <c r="V27" s="710" t="s">
        <v>21</v>
      </c>
      <c r="W27" s="711">
        <f t="shared" si="14"/>
        <v>100</v>
      </c>
      <c r="X27" s="712"/>
      <c r="Y27" s="333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44"/>
      <c r="Q28" s="1536">
        <f t="shared" si="11"/>
        <v>111</v>
      </c>
      <c r="R28" s="714" t="s">
        <v>21</v>
      </c>
      <c r="S28" s="715">
        <f t="shared" si="12"/>
        <v>100</v>
      </c>
      <c r="T28" s="714" t="s">
        <v>21</v>
      </c>
      <c r="U28" s="715">
        <f t="shared" si="13"/>
        <v>100</v>
      </c>
      <c r="V28" s="714" t="s">
        <v>21</v>
      </c>
      <c r="W28" s="715">
        <f t="shared" si="14"/>
        <v>100</v>
      </c>
      <c r="X28" s="1539"/>
      <c r="Y28" s="333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44"/>
      <c r="Q29" s="1536">
        <f t="shared" si="11"/>
        <v>111</v>
      </c>
      <c r="R29" s="714" t="s">
        <v>21</v>
      </c>
      <c r="S29" s="715">
        <f t="shared" si="12"/>
        <v>100</v>
      </c>
      <c r="T29" s="714" t="s">
        <v>21</v>
      </c>
      <c r="U29" s="715">
        <f t="shared" si="13"/>
        <v>100</v>
      </c>
      <c r="V29" s="714" t="s">
        <v>21</v>
      </c>
      <c r="W29" s="715">
        <f t="shared" si="14"/>
        <v>100</v>
      </c>
      <c r="X29" s="1539"/>
      <c r="Y29" s="333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44"/>
      <c r="Q30" s="1536">
        <f t="shared" si="11"/>
        <v>111</v>
      </c>
      <c r="R30" s="714" t="s">
        <v>21</v>
      </c>
      <c r="S30" s="715">
        <f t="shared" si="12"/>
        <v>100</v>
      </c>
      <c r="T30" s="714" t="s">
        <v>21</v>
      </c>
      <c r="U30" s="715">
        <f t="shared" si="13"/>
        <v>100</v>
      </c>
      <c r="V30" s="714" t="s">
        <v>21</v>
      </c>
      <c r="W30" s="715">
        <f t="shared" si="14"/>
        <v>100</v>
      </c>
      <c r="X30" s="1539"/>
      <c r="Y30" s="333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44"/>
      <c r="Q31" s="1536">
        <f t="shared" si="11"/>
        <v>111</v>
      </c>
      <c r="R31" s="714" t="s">
        <v>21</v>
      </c>
      <c r="S31" s="715">
        <f t="shared" si="12"/>
        <v>100</v>
      </c>
      <c r="T31" s="714" t="s">
        <v>21</v>
      </c>
      <c r="U31" s="715">
        <f t="shared" si="13"/>
        <v>100</v>
      </c>
      <c r="V31" s="714" t="s">
        <v>21</v>
      </c>
      <c r="W31" s="715">
        <f t="shared" si="14"/>
        <v>100</v>
      </c>
      <c r="X31" s="1539"/>
      <c r="Y31" s="3337"/>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38" t="s">
        <v>2386</v>
      </c>
      <c r="Q32" s="1536" t="str">
        <f t="shared" si="11"/>
        <v>建筑类型</v>
      </c>
      <c r="R32" s="714" t="s">
        <v>21</v>
      </c>
      <c r="S32" s="715">
        <f t="shared" si="12"/>
        <v>100</v>
      </c>
      <c r="T32" s="714" t="s">
        <v>21</v>
      </c>
      <c r="U32" s="715">
        <f t="shared" si="13"/>
        <v>100</v>
      </c>
      <c r="V32" s="714" t="s">
        <v>21</v>
      </c>
      <c r="W32" s="715">
        <f t="shared" si="14"/>
        <v>100</v>
      </c>
      <c r="X32" s="1539"/>
      <c r="Y32" s="3341"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39"/>
      <c r="Q33" s="716" t="str">
        <f t="shared" si="11"/>
        <v>项目建筑规模</v>
      </c>
      <c r="R33" s="717" t="s">
        <v>21</v>
      </c>
      <c r="S33" s="718" t="e">
        <f t="shared" si="12"/>
        <v>#N/A</v>
      </c>
      <c r="T33" s="717" t="s">
        <v>21</v>
      </c>
      <c r="U33" s="718" t="e">
        <f t="shared" si="13"/>
        <v>#N/A</v>
      </c>
      <c r="V33" s="717" t="s">
        <v>21</v>
      </c>
      <c r="W33" s="718" t="e">
        <f t="shared" si="14"/>
        <v>#N/A</v>
      </c>
      <c r="X33" s="719"/>
      <c r="Y33" s="3341"/>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39"/>
      <c r="Q34" s="1536" t="str">
        <f t="shared" si="11"/>
        <v>建筑结构</v>
      </c>
      <c r="R34" s="714" t="s">
        <v>21</v>
      </c>
      <c r="S34" s="715">
        <f t="shared" si="12"/>
        <v>100</v>
      </c>
      <c r="T34" s="714" t="s">
        <v>21</v>
      </c>
      <c r="U34" s="715">
        <f t="shared" si="13"/>
        <v>100</v>
      </c>
      <c r="V34" s="714" t="s">
        <v>21</v>
      </c>
      <c r="W34" s="715">
        <f t="shared" si="14"/>
        <v>100</v>
      </c>
      <c r="X34" s="1539"/>
      <c r="Y34" s="3341"/>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39"/>
      <c r="Q35" s="1536" t="str">
        <f t="shared" si="11"/>
        <v>建筑品质</v>
      </c>
      <c r="R35" s="714" t="s">
        <v>21</v>
      </c>
      <c r="S35" s="715">
        <f t="shared" si="12"/>
        <v>100</v>
      </c>
      <c r="T35" s="714" t="s">
        <v>21</v>
      </c>
      <c r="U35" s="715">
        <f t="shared" si="13"/>
        <v>100</v>
      </c>
      <c r="V35" s="714" t="s">
        <v>21</v>
      </c>
      <c r="W35" s="715">
        <f t="shared" si="14"/>
        <v>100</v>
      </c>
      <c r="X35" s="1539"/>
      <c r="Y35" s="3341"/>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39"/>
      <c r="Q36" s="1536" t="str">
        <f t="shared" si="11"/>
        <v>公共部分装修</v>
      </c>
      <c r="R36" s="714" t="s">
        <v>21</v>
      </c>
      <c r="S36" s="715">
        <f t="shared" si="12"/>
        <v>100</v>
      </c>
      <c r="T36" s="714" t="s">
        <v>21</v>
      </c>
      <c r="U36" s="715">
        <f t="shared" si="13"/>
        <v>100</v>
      </c>
      <c r="V36" s="714" t="s">
        <v>21</v>
      </c>
      <c r="W36" s="715">
        <f t="shared" si="14"/>
        <v>100</v>
      </c>
      <c r="X36" s="1539"/>
      <c r="Y36" s="3341"/>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39"/>
      <c r="Q37" s="1527" t="str">
        <f t="shared" si="11"/>
        <v>成新度</v>
      </c>
      <c r="R37" s="710" t="s">
        <v>21</v>
      </c>
      <c r="S37" s="711" t="e">
        <f t="shared" si="12"/>
        <v>#N/A</v>
      </c>
      <c r="T37" s="710" t="s">
        <v>21</v>
      </c>
      <c r="U37" s="711" t="e">
        <f t="shared" si="13"/>
        <v>#N/A</v>
      </c>
      <c r="V37" s="710" t="s">
        <v>21</v>
      </c>
      <c r="W37" s="711" t="e">
        <f t="shared" si="14"/>
        <v>#N/A</v>
      </c>
      <c r="X37" s="712"/>
      <c r="Y37" s="3341"/>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39" t="s">
        <v>2386</v>
      </c>
      <c r="Q38" s="1536" t="str">
        <f t="shared" si="11"/>
        <v>物业管理</v>
      </c>
      <c r="R38" s="714" t="s">
        <v>21</v>
      </c>
      <c r="S38" s="715">
        <f t="shared" si="12"/>
        <v>100</v>
      </c>
      <c r="T38" s="714" t="s">
        <v>21</v>
      </c>
      <c r="U38" s="715">
        <f t="shared" si="13"/>
        <v>100</v>
      </c>
      <c r="V38" s="714" t="s">
        <v>21</v>
      </c>
      <c r="W38" s="715">
        <f t="shared" si="14"/>
        <v>100</v>
      </c>
      <c r="X38" s="1539"/>
      <c r="Y38" s="3341"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39"/>
      <c r="Q39" s="1536" t="str">
        <f t="shared" si="11"/>
        <v>市政基础设施</v>
      </c>
      <c r="R39" s="714" t="s">
        <v>21</v>
      </c>
      <c r="S39" s="715">
        <f t="shared" si="12"/>
        <v>100</v>
      </c>
      <c r="T39" s="714" t="s">
        <v>21</v>
      </c>
      <c r="U39" s="715">
        <f t="shared" si="13"/>
        <v>100</v>
      </c>
      <c r="V39" s="714" t="s">
        <v>21</v>
      </c>
      <c r="W39" s="715">
        <f t="shared" si="14"/>
        <v>100</v>
      </c>
      <c r="X39" s="1539"/>
      <c r="Y39" s="3341"/>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39"/>
      <c r="Q40" s="1536" t="str">
        <f t="shared" si="11"/>
        <v>房型</v>
      </c>
      <c r="R40" s="714" t="s">
        <v>21</v>
      </c>
      <c r="S40" s="715">
        <f t="shared" si="12"/>
        <v>100</v>
      </c>
      <c r="T40" s="714" t="s">
        <v>21</v>
      </c>
      <c r="U40" s="715">
        <f t="shared" si="13"/>
        <v>100</v>
      </c>
      <c r="V40" s="714" t="s">
        <v>21</v>
      </c>
      <c r="W40" s="715">
        <f t="shared" si="14"/>
        <v>100</v>
      </c>
      <c r="X40" s="1539"/>
      <c r="Y40" s="3341"/>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39"/>
      <c r="Q41" s="716" t="str">
        <f t="shared" si="11"/>
        <v>单套/主力户型建筑面积</v>
      </c>
      <c r="R41" s="717" t="s">
        <v>21</v>
      </c>
      <c r="S41" s="718">
        <f t="shared" si="12"/>
        <v>100</v>
      </c>
      <c r="T41" s="717" t="s">
        <v>21</v>
      </c>
      <c r="U41" s="718">
        <f t="shared" si="13"/>
        <v>100</v>
      </c>
      <c r="V41" s="717" t="s">
        <v>21</v>
      </c>
      <c r="W41" s="718">
        <f t="shared" si="14"/>
        <v>100</v>
      </c>
      <c r="X41" s="719"/>
      <c r="Y41" s="3341"/>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39"/>
      <c r="Q42" s="1536" t="str">
        <f t="shared" si="11"/>
        <v>内部装修</v>
      </c>
      <c r="R42" s="714" t="s">
        <v>21</v>
      </c>
      <c r="S42" s="715">
        <f t="shared" si="12"/>
        <v>100</v>
      </c>
      <c r="T42" s="714" t="s">
        <v>21</v>
      </c>
      <c r="U42" s="715">
        <f t="shared" si="13"/>
        <v>100</v>
      </c>
      <c r="V42" s="714" t="s">
        <v>21</v>
      </c>
      <c r="W42" s="715">
        <f t="shared" si="14"/>
        <v>100</v>
      </c>
      <c r="X42" s="1539"/>
      <c r="Y42" s="3341"/>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39"/>
      <c r="Q43" s="1536" t="str">
        <f t="shared" si="11"/>
        <v>内部装修维护情况</v>
      </c>
      <c r="R43" s="714" t="s">
        <v>21</v>
      </c>
      <c r="S43" s="715">
        <f t="shared" si="12"/>
        <v>100</v>
      </c>
      <c r="T43" s="714" t="s">
        <v>21</v>
      </c>
      <c r="U43" s="715">
        <f t="shared" si="13"/>
        <v>100</v>
      </c>
      <c r="V43" s="714" t="s">
        <v>21</v>
      </c>
      <c r="W43" s="715">
        <f t="shared" si="14"/>
        <v>100</v>
      </c>
      <c r="X43" s="1539"/>
      <c r="Y43" s="334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39"/>
      <c r="Q44" s="1527">
        <f t="shared" si="11"/>
        <v>111</v>
      </c>
      <c r="R44" s="710" t="s">
        <v>21</v>
      </c>
      <c r="S44" s="711">
        <f t="shared" si="12"/>
        <v>100</v>
      </c>
      <c r="T44" s="710" t="s">
        <v>21</v>
      </c>
      <c r="U44" s="711">
        <f t="shared" si="13"/>
        <v>100</v>
      </c>
      <c r="V44" s="710" t="s">
        <v>21</v>
      </c>
      <c r="W44" s="711">
        <f t="shared" si="14"/>
        <v>100</v>
      </c>
      <c r="X44" s="712"/>
      <c r="Y44" s="334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39"/>
      <c r="Q45" s="1536">
        <f t="shared" si="11"/>
        <v>111</v>
      </c>
      <c r="R45" s="714" t="s">
        <v>21</v>
      </c>
      <c r="S45" s="715">
        <f t="shared" si="12"/>
        <v>100</v>
      </c>
      <c r="T45" s="714" t="s">
        <v>21</v>
      </c>
      <c r="U45" s="715">
        <f t="shared" si="13"/>
        <v>100</v>
      </c>
      <c r="V45" s="714" t="s">
        <v>21</v>
      </c>
      <c r="W45" s="715">
        <f t="shared" si="14"/>
        <v>100</v>
      </c>
      <c r="X45" s="1539"/>
      <c r="Y45" s="334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40"/>
      <c r="Q46" s="1536">
        <f t="shared" si="11"/>
        <v>111</v>
      </c>
      <c r="R46" s="714" t="s">
        <v>20</v>
      </c>
      <c r="S46" s="715">
        <f t="shared" si="12"/>
        <v>100</v>
      </c>
      <c r="T46" s="714" t="s">
        <v>20</v>
      </c>
      <c r="U46" s="715">
        <f t="shared" si="13"/>
        <v>100</v>
      </c>
      <c r="V46" s="714" t="s">
        <v>20</v>
      </c>
      <c r="W46" s="715">
        <f t="shared" si="14"/>
        <v>100</v>
      </c>
      <c r="X46" s="1539"/>
      <c r="Y46" s="3342"/>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34" t="str">
        <f>A47</f>
        <v>成交单价（元/平方米）</v>
      </c>
      <c r="Q47" s="3334"/>
      <c r="R47" s="3335">
        <f>E47</f>
        <v>0</v>
      </c>
      <c r="S47" s="3335"/>
      <c r="T47" s="3335">
        <f>G47</f>
        <v>0</v>
      </c>
      <c r="U47" s="3335"/>
      <c r="V47" s="3335">
        <f>I47</f>
        <v>0</v>
      </c>
      <c r="W47" s="3335"/>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2021-10</v>
      </c>
      <c r="D58" s="1347">
        <f>EDATE(C58,-1)</f>
        <v>44440</v>
      </c>
      <c r="E58" s="1347">
        <f>EDATE(D58,-1)</f>
        <v>44409</v>
      </c>
      <c r="F58" s="1347">
        <f t="shared" ref="F58:O58" si="19">EDATE(E58,-1)</f>
        <v>44378</v>
      </c>
      <c r="G58" s="1347">
        <f t="shared" si="19"/>
        <v>44348</v>
      </c>
      <c r="H58" s="1347">
        <f t="shared" si="19"/>
        <v>44317</v>
      </c>
      <c r="I58" s="1347">
        <f t="shared" si="19"/>
        <v>44287</v>
      </c>
      <c r="J58" s="1347">
        <f t="shared" si="19"/>
        <v>44256</v>
      </c>
      <c r="K58" s="1347">
        <f t="shared" si="19"/>
        <v>44228</v>
      </c>
      <c r="L58" s="1347">
        <f t="shared" si="19"/>
        <v>44197</v>
      </c>
      <c r="M58" s="1347">
        <f t="shared" si="19"/>
        <v>44166</v>
      </c>
      <c r="N58" s="1347">
        <f t="shared" si="19"/>
        <v>44136</v>
      </c>
      <c r="O58" s="1347">
        <f t="shared" si="19"/>
        <v>44105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6416.15</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29" t="s">
        <v>2469</v>
      </c>
      <c r="AC4" s="3299" t="s">
        <v>2470</v>
      </c>
    </row>
    <row r="5" spans="1:29"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29"/>
      <c r="AC5" s="3300"/>
    </row>
    <row r="6" spans="1:29" ht="15.75" thickBot="1">
      <c r="A6" s="366"/>
      <c r="B6" s="367"/>
      <c r="C6" s="3312" t="s">
        <v>2367</v>
      </c>
      <c r="D6" s="3313"/>
      <c r="E6" s="3314" t="s">
        <v>2367</v>
      </c>
      <c r="F6" s="3315"/>
      <c r="G6" s="3312" t="s">
        <v>2367</v>
      </c>
      <c r="H6" s="3313"/>
      <c r="I6" s="3312" t="s">
        <v>2367</v>
      </c>
      <c r="J6" s="3313"/>
      <c r="K6" s="567" t="s">
        <v>2368</v>
      </c>
      <c r="L6" s="2944"/>
      <c r="M6" s="2945"/>
      <c r="N6" s="2945"/>
      <c r="O6" s="2945"/>
      <c r="P6" s="3325"/>
      <c r="Q6" s="3326"/>
      <c r="R6" s="3306"/>
      <c r="S6" s="3307"/>
      <c r="T6" s="3327"/>
      <c r="U6" s="3328"/>
      <c r="V6" s="3329"/>
      <c r="W6" s="3329"/>
      <c r="X6" s="1539"/>
      <c r="Y6" s="3327"/>
      <c r="Z6" s="3328"/>
      <c r="AA6" s="3301"/>
      <c r="AB6" s="3329"/>
      <c r="AC6" s="3301"/>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16"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16"/>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16"/>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43" t="s">
        <v>2381</v>
      </c>
      <c r="Q15" s="1536" t="str">
        <f t="shared" si="6"/>
        <v>商业繁华度</v>
      </c>
      <c r="R15" s="714" t="s">
        <v>17</v>
      </c>
      <c r="S15" s="715">
        <f t="shared" si="0"/>
        <v>100</v>
      </c>
      <c r="T15" s="714" t="s">
        <v>17</v>
      </c>
      <c r="U15" s="715">
        <f t="shared" si="1"/>
        <v>100</v>
      </c>
      <c r="V15" s="714" t="s">
        <v>17</v>
      </c>
      <c r="W15" s="715">
        <f t="shared" si="2"/>
        <v>100</v>
      </c>
      <c r="X15" s="1539"/>
      <c r="Y15" s="3336"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44"/>
      <c r="Q16" s="1536"/>
      <c r="R16" s="714"/>
      <c r="S16" s="715"/>
      <c r="T16" s="714"/>
      <c r="U16" s="715"/>
      <c r="V16" s="714"/>
      <c r="W16" s="715"/>
      <c r="X16" s="1539"/>
      <c r="Y16" s="3337"/>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44"/>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44"/>
      <c r="Q18" s="1536"/>
      <c r="R18" s="714"/>
      <c r="S18" s="715"/>
      <c r="T18" s="714"/>
      <c r="U18" s="715"/>
      <c r="V18" s="714"/>
      <c r="W18" s="715"/>
      <c r="X18" s="1539"/>
      <c r="Y18" s="3337"/>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44"/>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44"/>
      <c r="Q20" s="1536"/>
      <c r="R20" s="714"/>
      <c r="S20" s="715"/>
      <c r="T20" s="714"/>
      <c r="U20" s="715"/>
      <c r="V20" s="714"/>
      <c r="W20" s="715"/>
      <c r="X20" s="1539"/>
      <c r="Y20" s="3337"/>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44"/>
      <c r="Q22" s="1536"/>
      <c r="R22" s="714"/>
      <c r="S22" s="715"/>
      <c r="T22" s="714"/>
      <c r="U22" s="715"/>
      <c r="V22" s="714"/>
      <c r="W22" s="715"/>
      <c r="X22" s="1539"/>
      <c r="Y22" s="3337"/>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44"/>
      <c r="Q23" s="1536" t="str">
        <f>B23</f>
        <v>自然及人文环境</v>
      </c>
      <c r="R23" s="714" t="s">
        <v>17</v>
      </c>
      <c r="S23" s="715">
        <f>F23</f>
        <v>100</v>
      </c>
      <c r="T23" s="714" t="s">
        <v>17</v>
      </c>
      <c r="U23" s="715">
        <f>H23</f>
        <v>100</v>
      </c>
      <c r="V23" s="714" t="s">
        <v>17</v>
      </c>
      <c r="W23" s="715">
        <f>J23</f>
        <v>100</v>
      </c>
      <c r="X23" s="1539"/>
      <c r="Y23" s="333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44"/>
      <c r="Q24" s="1536"/>
      <c r="R24" s="714"/>
      <c r="S24" s="715"/>
      <c r="T24" s="714"/>
      <c r="U24" s="715"/>
      <c r="V24" s="714"/>
      <c r="W24" s="715"/>
      <c r="X24" s="1539"/>
      <c r="Y24" s="3337"/>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44"/>
      <c r="Q25" s="1536" t="str">
        <f t="shared" ref="Q25:Q46" si="11">B25</f>
        <v>临街状况</v>
      </c>
      <c r="R25" s="714" t="s">
        <v>17</v>
      </c>
      <c r="S25" s="715">
        <f>F25</f>
        <v>100</v>
      </c>
      <c r="T25" s="714" t="s">
        <v>17</v>
      </c>
      <c r="U25" s="715">
        <f>H25</f>
        <v>100</v>
      </c>
      <c r="V25" s="714" t="s">
        <v>17</v>
      </c>
      <c r="W25" s="715">
        <f>J25</f>
        <v>100</v>
      </c>
      <c r="X25" s="1539"/>
      <c r="Y25" s="3337"/>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44"/>
      <c r="Q26" s="1536" t="str">
        <f t="shared" si="11"/>
        <v>平面位置/可视性</v>
      </c>
      <c r="R26" s="714" t="s">
        <v>17</v>
      </c>
      <c r="S26" s="715">
        <f>F26</f>
        <v>100</v>
      </c>
      <c r="T26" s="714" t="s">
        <v>17</v>
      </c>
      <c r="U26" s="715">
        <f>H26</f>
        <v>100</v>
      </c>
      <c r="V26" s="714" t="s">
        <v>17</v>
      </c>
      <c r="W26" s="715">
        <f>J26</f>
        <v>100</v>
      </c>
      <c r="X26" s="1539"/>
      <c r="Y26" s="3337"/>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44"/>
      <c r="Q27" s="1527" t="str">
        <f t="shared" si="11"/>
        <v>人流量</v>
      </c>
      <c r="R27" s="710" t="s">
        <v>17</v>
      </c>
      <c r="S27" s="711">
        <f>F27</f>
        <v>100</v>
      </c>
      <c r="T27" s="710" t="s">
        <v>17</v>
      </c>
      <c r="U27" s="711">
        <f>H27</f>
        <v>100</v>
      </c>
      <c r="V27" s="710" t="s">
        <v>17</v>
      </c>
      <c r="W27" s="711">
        <f>J27</f>
        <v>100</v>
      </c>
      <c r="X27" s="712"/>
      <c r="Y27" s="3337"/>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4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44"/>
      <c r="Q29" s="1536">
        <f t="shared" si="11"/>
        <v>111</v>
      </c>
      <c r="R29" s="714" t="s">
        <v>17</v>
      </c>
      <c r="S29" s="715">
        <f t="shared" si="12"/>
        <v>100</v>
      </c>
      <c r="T29" s="714" t="s">
        <v>17</v>
      </c>
      <c r="U29" s="715">
        <f t="shared" si="13"/>
        <v>100</v>
      </c>
      <c r="V29" s="714" t="s">
        <v>17</v>
      </c>
      <c r="W29" s="715">
        <f t="shared" si="14"/>
        <v>100</v>
      </c>
      <c r="X29" s="1539"/>
      <c r="Y29" s="333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44"/>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44"/>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38" t="s">
        <v>2386</v>
      </c>
      <c r="Q32" s="1536" t="str">
        <f t="shared" si="11"/>
        <v>商业类型</v>
      </c>
      <c r="R32" s="714" t="s">
        <v>17</v>
      </c>
      <c r="S32" s="715">
        <f t="shared" si="12"/>
        <v>100</v>
      </c>
      <c r="T32" s="714" t="s">
        <v>17</v>
      </c>
      <c r="U32" s="715">
        <f t="shared" si="13"/>
        <v>100</v>
      </c>
      <c r="V32" s="714" t="s">
        <v>17</v>
      </c>
      <c r="W32" s="715">
        <f t="shared" si="14"/>
        <v>100</v>
      </c>
      <c r="X32" s="1539"/>
      <c r="Y32" s="3341"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39"/>
      <c r="Q33" s="716" t="str">
        <f t="shared" si="11"/>
        <v>项目建筑规模</v>
      </c>
      <c r="R33" s="717" t="s">
        <v>17</v>
      </c>
      <c r="S33" s="718" t="e">
        <f t="shared" si="12"/>
        <v>#N/A</v>
      </c>
      <c r="T33" s="717" t="s">
        <v>17</v>
      </c>
      <c r="U33" s="718" t="e">
        <f t="shared" si="13"/>
        <v>#N/A</v>
      </c>
      <c r="V33" s="717" t="s">
        <v>17</v>
      </c>
      <c r="W33" s="718" t="e">
        <f t="shared" si="14"/>
        <v>#N/A</v>
      </c>
      <c r="X33" s="719"/>
      <c r="Y33" s="3341"/>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39"/>
      <c r="Q34" s="1536" t="str">
        <f t="shared" si="11"/>
        <v>建筑结构</v>
      </c>
      <c r="R34" s="714" t="s">
        <v>17</v>
      </c>
      <c r="S34" s="715">
        <f t="shared" si="12"/>
        <v>100</v>
      </c>
      <c r="T34" s="714" t="s">
        <v>17</v>
      </c>
      <c r="U34" s="715">
        <f t="shared" si="13"/>
        <v>100</v>
      </c>
      <c r="V34" s="714" t="s">
        <v>17</v>
      </c>
      <c r="W34" s="715">
        <f t="shared" si="14"/>
        <v>100</v>
      </c>
      <c r="X34" s="1539"/>
      <c r="Y34" s="3341"/>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39"/>
      <c r="Q35" s="1536" t="str">
        <f t="shared" si="11"/>
        <v>公共部分装修</v>
      </c>
      <c r="R35" s="714" t="s">
        <v>17</v>
      </c>
      <c r="S35" s="715">
        <f t="shared" si="12"/>
        <v>100</v>
      </c>
      <c r="T35" s="714" t="s">
        <v>17</v>
      </c>
      <c r="U35" s="715">
        <f t="shared" si="13"/>
        <v>100</v>
      </c>
      <c r="V35" s="714" t="s">
        <v>17</v>
      </c>
      <c r="W35" s="715">
        <f t="shared" si="14"/>
        <v>100</v>
      </c>
      <c r="X35" s="1539"/>
      <c r="Y35" s="3341"/>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39"/>
      <c r="Q36" s="1536" t="str">
        <f t="shared" si="11"/>
        <v>成新度</v>
      </c>
      <c r="R36" s="714" t="s">
        <v>17</v>
      </c>
      <c r="S36" s="715" t="e">
        <f t="shared" si="12"/>
        <v>#N/A</v>
      </c>
      <c r="T36" s="714" t="s">
        <v>17</v>
      </c>
      <c r="U36" s="715" t="e">
        <f t="shared" si="13"/>
        <v>#N/A</v>
      </c>
      <c r="V36" s="714" t="s">
        <v>17</v>
      </c>
      <c r="W36" s="715" t="e">
        <f t="shared" si="14"/>
        <v>#N/A</v>
      </c>
      <c r="X36" s="1539"/>
      <c r="Y36" s="3341"/>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39"/>
      <c r="Q37" s="1527" t="str">
        <f t="shared" si="11"/>
        <v>市政基础设施</v>
      </c>
      <c r="R37" s="710" t="s">
        <v>17</v>
      </c>
      <c r="S37" s="711">
        <f t="shared" si="12"/>
        <v>100</v>
      </c>
      <c r="T37" s="710" t="s">
        <v>17</v>
      </c>
      <c r="U37" s="711">
        <f t="shared" si="13"/>
        <v>100</v>
      </c>
      <c r="V37" s="710" t="s">
        <v>17</v>
      </c>
      <c r="W37" s="711">
        <f t="shared" si="14"/>
        <v>100</v>
      </c>
      <c r="X37" s="712"/>
      <c r="Y37" s="3341"/>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39" t="s">
        <v>2386</v>
      </c>
      <c r="Q38" s="1536" t="str">
        <f t="shared" si="11"/>
        <v>业态</v>
      </c>
      <c r="R38" s="714" t="s">
        <v>17</v>
      </c>
      <c r="S38" s="715">
        <f t="shared" si="12"/>
        <v>100</v>
      </c>
      <c r="T38" s="714" t="s">
        <v>17</v>
      </c>
      <c r="U38" s="715">
        <f t="shared" si="13"/>
        <v>100</v>
      </c>
      <c r="V38" s="714" t="s">
        <v>17</v>
      </c>
      <c r="W38" s="715">
        <f t="shared" si="14"/>
        <v>100</v>
      </c>
      <c r="X38" s="1539"/>
      <c r="Y38" s="3341"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39"/>
      <c r="Q39" s="1536" t="str">
        <f t="shared" si="11"/>
        <v>层高</v>
      </c>
      <c r="R39" s="714" t="s">
        <v>17</v>
      </c>
      <c r="S39" s="715">
        <f t="shared" si="12"/>
        <v>100</v>
      </c>
      <c r="T39" s="714" t="s">
        <v>17</v>
      </c>
      <c r="U39" s="715">
        <f t="shared" si="13"/>
        <v>100</v>
      </c>
      <c r="V39" s="714" t="s">
        <v>17</v>
      </c>
      <c r="W39" s="715">
        <f t="shared" si="14"/>
        <v>100</v>
      </c>
      <c r="X39" s="1539"/>
      <c r="Y39" s="3341"/>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39"/>
      <c r="Q40" s="1536" t="str">
        <f t="shared" si="11"/>
        <v>单套建筑面积</v>
      </c>
      <c r="R40" s="714" t="s">
        <v>17</v>
      </c>
      <c r="S40" s="715">
        <f t="shared" si="12"/>
        <v>100</v>
      </c>
      <c r="T40" s="714" t="s">
        <v>17</v>
      </c>
      <c r="U40" s="715">
        <f t="shared" si="13"/>
        <v>100</v>
      </c>
      <c r="V40" s="714" t="s">
        <v>17</v>
      </c>
      <c r="W40" s="715">
        <f t="shared" si="14"/>
        <v>100</v>
      </c>
      <c r="X40" s="1539"/>
      <c r="Y40" s="3341"/>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39"/>
      <c r="Q41" s="716" t="str">
        <f t="shared" si="11"/>
        <v>进深比</v>
      </c>
      <c r="R41" s="717" t="s">
        <v>17</v>
      </c>
      <c r="S41" s="718">
        <f t="shared" si="12"/>
        <v>100</v>
      </c>
      <c r="T41" s="717" t="s">
        <v>17</v>
      </c>
      <c r="U41" s="718">
        <f t="shared" si="13"/>
        <v>100</v>
      </c>
      <c r="V41" s="717" t="s">
        <v>17</v>
      </c>
      <c r="W41" s="718">
        <f t="shared" si="14"/>
        <v>100</v>
      </c>
      <c r="X41" s="719"/>
      <c r="Y41" s="3341"/>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39"/>
      <c r="Q42" s="1536" t="str">
        <f t="shared" si="11"/>
        <v>内部装修</v>
      </c>
      <c r="R42" s="714" t="s">
        <v>17</v>
      </c>
      <c r="S42" s="715">
        <f t="shared" si="12"/>
        <v>100</v>
      </c>
      <c r="T42" s="714" t="s">
        <v>17</v>
      </c>
      <c r="U42" s="715">
        <f t="shared" si="13"/>
        <v>100</v>
      </c>
      <c r="V42" s="714" t="s">
        <v>17</v>
      </c>
      <c r="W42" s="715">
        <f t="shared" si="14"/>
        <v>100</v>
      </c>
      <c r="X42" s="1539"/>
      <c r="Y42" s="3341"/>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39"/>
      <c r="Q43" s="1536" t="str">
        <f t="shared" si="11"/>
        <v>内部装修维护情况</v>
      </c>
      <c r="R43" s="714" t="s">
        <v>17</v>
      </c>
      <c r="S43" s="715">
        <f t="shared" si="12"/>
        <v>100</v>
      </c>
      <c r="T43" s="714" t="s">
        <v>17</v>
      </c>
      <c r="U43" s="715">
        <f t="shared" si="13"/>
        <v>100</v>
      </c>
      <c r="V43" s="714" t="s">
        <v>17</v>
      </c>
      <c r="W43" s="715">
        <f t="shared" si="14"/>
        <v>100</v>
      </c>
      <c r="X43" s="1539"/>
      <c r="Y43" s="334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39"/>
      <c r="Q44" s="1527">
        <f t="shared" si="11"/>
        <v>111</v>
      </c>
      <c r="R44" s="710" t="s">
        <v>17</v>
      </c>
      <c r="S44" s="711">
        <f t="shared" si="12"/>
        <v>100</v>
      </c>
      <c r="T44" s="710" t="s">
        <v>17</v>
      </c>
      <c r="U44" s="711">
        <f t="shared" si="13"/>
        <v>100</v>
      </c>
      <c r="V44" s="710" t="s">
        <v>17</v>
      </c>
      <c r="W44" s="711">
        <f t="shared" si="14"/>
        <v>100</v>
      </c>
      <c r="X44" s="712"/>
      <c r="Y44" s="334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39"/>
      <c r="Q45" s="1536">
        <f t="shared" si="11"/>
        <v>111</v>
      </c>
      <c r="R45" s="714" t="s">
        <v>17</v>
      </c>
      <c r="S45" s="715">
        <f t="shared" si="12"/>
        <v>100</v>
      </c>
      <c r="T45" s="714" t="s">
        <v>17</v>
      </c>
      <c r="U45" s="715">
        <f t="shared" si="13"/>
        <v>100</v>
      </c>
      <c r="V45" s="714" t="s">
        <v>17</v>
      </c>
      <c r="W45" s="715">
        <f t="shared" si="14"/>
        <v>100</v>
      </c>
      <c r="X45" s="1539"/>
      <c r="Y45" s="334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40"/>
      <c r="Q46" s="1536">
        <f t="shared" si="11"/>
        <v>111</v>
      </c>
      <c r="R46" s="714" t="s">
        <v>17</v>
      </c>
      <c r="S46" s="715">
        <f t="shared" si="12"/>
        <v>100</v>
      </c>
      <c r="T46" s="714" t="s">
        <v>17</v>
      </c>
      <c r="U46" s="715">
        <f t="shared" si="13"/>
        <v>100</v>
      </c>
      <c r="V46" s="714" t="s">
        <v>17</v>
      </c>
      <c r="W46" s="715">
        <f t="shared" si="14"/>
        <v>100</v>
      </c>
      <c r="X46" s="1539"/>
      <c r="Y46" s="3342"/>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34" t="str">
        <f>A47</f>
        <v>成交单价（元/平方米）</v>
      </c>
      <c r="Q47" s="3334"/>
      <c r="R47" s="3329">
        <f>E47</f>
        <v>0</v>
      </c>
      <c r="S47" s="3329"/>
      <c r="T47" s="3329">
        <f>G47</f>
        <v>0</v>
      </c>
      <c r="U47" s="3329"/>
      <c r="V47" s="3329">
        <f>I47</f>
        <v>0</v>
      </c>
      <c r="W47" s="3329"/>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31" t="str">
        <f>A49</f>
        <v>估价对象XX用房的比较价值（楼面单价，元/平方米）</v>
      </c>
      <c r="Q49" s="3332"/>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2021-10</v>
      </c>
      <c r="D58" s="1347">
        <f>EDATE(C58,-1)</f>
        <v>44440</v>
      </c>
      <c r="E58" s="1347">
        <f t="shared" ref="E58:N58" si="16">EDATE(D58,-1)</f>
        <v>44409</v>
      </c>
      <c r="F58" s="1347">
        <f t="shared" si="16"/>
        <v>44378</v>
      </c>
      <c r="G58" s="1347">
        <f t="shared" si="16"/>
        <v>44348</v>
      </c>
      <c r="H58" s="1347">
        <f t="shared" si="16"/>
        <v>44317</v>
      </c>
      <c r="I58" s="1347">
        <f t="shared" si="16"/>
        <v>44287</v>
      </c>
      <c r="J58" s="1347">
        <f t="shared" si="16"/>
        <v>44256</v>
      </c>
      <c r="K58" s="1347">
        <f t="shared" si="16"/>
        <v>44228</v>
      </c>
      <c r="L58" s="1347">
        <f t="shared" si="16"/>
        <v>44197</v>
      </c>
      <c r="M58" s="1347">
        <f t="shared" si="16"/>
        <v>44166</v>
      </c>
      <c r="N58" s="1347">
        <f t="shared" si="16"/>
        <v>44136</v>
      </c>
      <c r="O58" s="1347">
        <f>EDATE(N58,-1)</f>
        <v>44105</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21" zoomScale="80" zoomScaleNormal="70" zoomScaleSheetLayoutView="80" workbookViewId="0">
      <selection activeCell="H58" sqref="H5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20782</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32390</v>
      </c>
      <c r="C3" s="360" t="s">
        <v>2465</v>
      </c>
      <c r="D3" s="359">
        <f>IF(D1="",'数据-汇总表'!E3,SUMIF('数据-汇总表'!$C19:$C33,D1,'数据-汇总表'!$E19:$E33))</f>
        <v>6416.15</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55" t="s">
        <v>2472</v>
      </c>
      <c r="Q4" s="3356"/>
      <c r="R4" s="3346" t="s">
        <v>2468</v>
      </c>
      <c r="S4" s="3347"/>
      <c r="T4" s="3346" t="s">
        <v>2469</v>
      </c>
      <c r="U4" s="3347"/>
      <c r="V4" s="3359" t="s">
        <v>2470</v>
      </c>
      <c r="W4" s="3359"/>
      <c r="X4" s="2144"/>
      <c r="Y4" s="3346" t="s">
        <v>2472</v>
      </c>
      <c r="Z4" s="3347"/>
      <c r="AA4" s="3345" t="s">
        <v>2468</v>
      </c>
      <c r="AB4" s="3345" t="s">
        <v>2469</v>
      </c>
      <c r="AC4" s="3352" t="s">
        <v>2470</v>
      </c>
    </row>
    <row r="5" spans="1:29" ht="15">
      <c r="A5" s="364"/>
      <c r="B5" s="365"/>
      <c r="C5" s="3349" t="s">
        <v>3089</v>
      </c>
      <c r="D5" s="3311"/>
      <c r="E5" s="3348" t="s">
        <v>3130</v>
      </c>
      <c r="F5" s="3309"/>
      <c r="G5" s="3349" t="s">
        <v>3133</v>
      </c>
      <c r="H5" s="3311"/>
      <c r="I5" s="3349" t="s">
        <v>3143</v>
      </c>
      <c r="J5" s="3311"/>
      <c r="K5" s="567"/>
      <c r="L5" s="2944"/>
      <c r="M5" s="2945"/>
      <c r="N5" s="2945"/>
      <c r="O5" s="2945"/>
      <c r="P5" s="3357"/>
      <c r="Q5" s="3324"/>
      <c r="R5" s="3306"/>
      <c r="S5" s="3307"/>
      <c r="T5" s="3306"/>
      <c r="U5" s="3307"/>
      <c r="V5" s="3329"/>
      <c r="W5" s="3329"/>
      <c r="X5" s="1539"/>
      <c r="Y5" s="3306"/>
      <c r="Z5" s="3307"/>
      <c r="AA5" s="3300"/>
      <c r="AB5" s="3300"/>
      <c r="AC5" s="3353"/>
    </row>
    <row r="6" spans="1:29" ht="15.75" thickBot="1">
      <c r="A6" s="366"/>
      <c r="B6" s="367"/>
      <c r="C6" s="3312" t="s">
        <v>2367</v>
      </c>
      <c r="D6" s="3313"/>
      <c r="E6" s="3350" t="s">
        <v>3129</v>
      </c>
      <c r="F6" s="3315"/>
      <c r="G6" s="3351" t="s">
        <v>3134</v>
      </c>
      <c r="H6" s="3313"/>
      <c r="I6" s="3351"/>
      <c r="J6" s="3313"/>
      <c r="K6" s="567" t="s">
        <v>2368</v>
      </c>
      <c r="L6" s="2944"/>
      <c r="M6" s="2945"/>
      <c r="N6" s="2945"/>
      <c r="O6" s="2945"/>
      <c r="P6" s="3358"/>
      <c r="Q6" s="3326"/>
      <c r="R6" s="3306"/>
      <c r="S6" s="3307"/>
      <c r="T6" s="3327"/>
      <c r="U6" s="3328"/>
      <c r="V6" s="3329"/>
      <c r="W6" s="3329"/>
      <c r="X6" s="1539"/>
      <c r="Y6" s="3327"/>
      <c r="Z6" s="3328"/>
      <c r="AA6" s="3301"/>
      <c r="AB6" s="3301"/>
      <c r="AC6" s="3354"/>
    </row>
    <row r="7" spans="1:29" s="113" customFormat="1" ht="15.75" thickBot="1">
      <c r="A7" s="368" t="s">
        <v>2369</v>
      </c>
      <c r="B7" s="369"/>
      <c r="C7" s="370">
        <f>'数据-取费表'!B2</f>
        <v>44490</v>
      </c>
      <c r="D7" s="371">
        <v>100</v>
      </c>
      <c r="E7" s="372">
        <v>44419</v>
      </c>
      <c r="F7" s="373">
        <f>SUMIF(59:59,YEAR(E7)&amp;"-"&amp;MONTH(E7),60:60)</f>
        <v>100</v>
      </c>
      <c r="G7" s="372">
        <v>44432</v>
      </c>
      <c r="H7" s="371">
        <f>SUMIF(59:59,YEAR(G7)&amp;"-"&amp;MONTH(G7),60:60)</f>
        <v>100</v>
      </c>
      <c r="I7" s="372">
        <v>44136</v>
      </c>
      <c r="J7" s="371">
        <f>SUMIF(59:59,YEAR(I7)&amp;"-"&amp;MONTH(I7),60:60)</f>
        <v>99</v>
      </c>
      <c r="K7" s="568"/>
      <c r="L7" s="2946"/>
      <c r="M7" s="2947"/>
      <c r="N7" s="2947"/>
      <c r="O7" s="2947"/>
      <c r="P7" s="3360" t="s">
        <v>2370</v>
      </c>
      <c r="Q7" s="3330"/>
      <c r="R7" s="710" t="s">
        <v>17</v>
      </c>
      <c r="S7" s="711">
        <f t="shared" ref="S7:S15" si="0">F7</f>
        <v>100</v>
      </c>
      <c r="T7" s="710" t="s">
        <v>17</v>
      </c>
      <c r="U7" s="711">
        <f t="shared" ref="U7:U15" si="1">H7</f>
        <v>100</v>
      </c>
      <c r="V7" s="710" t="s">
        <v>17</v>
      </c>
      <c r="W7" s="711">
        <f t="shared" ref="W7:W15" si="2">J7</f>
        <v>99</v>
      </c>
      <c r="X7" s="712"/>
      <c r="Y7" s="3302" t="s">
        <v>2370</v>
      </c>
      <c r="Z7" s="3303"/>
      <c r="AA7" s="713">
        <f>D7/F7</f>
        <v>1</v>
      </c>
      <c r="AB7" s="713">
        <f>D7/H7</f>
        <v>1</v>
      </c>
      <c r="AC7" s="2145">
        <f>D7/J7</f>
        <v>1.0101010101010102</v>
      </c>
    </row>
    <row r="8" spans="1:29" s="113" customFormat="1" ht="15.75" thickBot="1">
      <c r="A8" s="368" t="s">
        <v>2371</v>
      </c>
      <c r="B8" s="369"/>
      <c r="C8" s="374" t="s">
        <v>2473</v>
      </c>
      <c r="D8" s="371">
        <v>100</v>
      </c>
      <c r="E8" s="374" t="s">
        <v>3131</v>
      </c>
      <c r="F8" s="373">
        <f>SUMIF(62:62,E8,63:63)-SUMIF(62:62,C8,63:63)+100</f>
        <v>100</v>
      </c>
      <c r="G8" s="374" t="s">
        <v>3131</v>
      </c>
      <c r="H8" s="371">
        <f>SUMIF(62:62,G8,63:63)-SUMIF(62:62,C8,63:63)+100</f>
        <v>100</v>
      </c>
      <c r="I8" s="374" t="s">
        <v>3131</v>
      </c>
      <c r="J8" s="371">
        <f>SUMIF(62:62,I8,63:63)-SUMIF(62:62,C8,63:63)+100</f>
        <v>100</v>
      </c>
      <c r="K8" s="568"/>
      <c r="L8" s="2946"/>
      <c r="M8" s="2947"/>
      <c r="N8" s="2947"/>
      <c r="O8" s="2947"/>
      <c r="P8" s="3360" t="s">
        <v>2373</v>
      </c>
      <c r="Q8" s="3303"/>
      <c r="R8" s="710" t="s">
        <v>17</v>
      </c>
      <c r="S8" s="711">
        <f t="shared" si="0"/>
        <v>100</v>
      </c>
      <c r="T8" s="710" t="s">
        <v>17</v>
      </c>
      <c r="U8" s="711">
        <f t="shared" si="1"/>
        <v>100</v>
      </c>
      <c r="V8" s="710" t="s">
        <v>17</v>
      </c>
      <c r="W8" s="711">
        <f t="shared" si="2"/>
        <v>100</v>
      </c>
      <c r="X8" s="712"/>
      <c r="Y8" s="3302" t="s">
        <v>2373</v>
      </c>
      <c r="Z8" s="3303"/>
      <c r="AA8" s="713">
        <f t="shared" ref="AA8:AA47" si="3">D8/F8</f>
        <v>1</v>
      </c>
      <c r="AB8" s="713">
        <f t="shared" ref="AB8:AB47" si="4">D8/H8</f>
        <v>1</v>
      </c>
      <c r="AC8" s="2145">
        <f t="shared" ref="AC8:AC47" si="5">D8/J8</f>
        <v>1</v>
      </c>
    </row>
    <row r="9" spans="1:29" s="113" customFormat="1">
      <c r="A9" s="375" t="s">
        <v>2374</v>
      </c>
      <c r="B9" s="67" t="s">
        <v>2375</v>
      </c>
      <c r="C9" s="3071" t="s">
        <v>3106</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316"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2145">
        <f t="shared" si="5"/>
        <v>1</v>
      </c>
    </row>
    <row r="10" spans="1:29" s="386" customFormat="1" ht="27">
      <c r="A10" s="380"/>
      <c r="B10" s="381" t="s">
        <v>2378</v>
      </c>
      <c r="C10" s="382" t="s">
        <v>3090</v>
      </c>
      <c r="D10" s="132">
        <v>100</v>
      </c>
      <c r="E10" s="382" t="s">
        <v>3132</v>
      </c>
      <c r="F10" s="132">
        <f>SUMIF(66:66,E10,67:67)-SUMIF(66:66,C10,67:67)+100</f>
        <v>100</v>
      </c>
      <c r="G10" s="383" t="s">
        <v>3132</v>
      </c>
      <c r="H10" s="132">
        <f>SUMIF(66:66,G10,67:67)-SUMIF(66:66,C10,67:67)+100</f>
        <v>100</v>
      </c>
      <c r="I10" s="382" t="s">
        <v>3132</v>
      </c>
      <c r="J10" s="132">
        <f>SUMIF(66:66,I10,67:67)-SUMIF(66:66,C10,67:67)+100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2145">
        <f t="shared" si="5"/>
        <v>1</v>
      </c>
    </row>
    <row r="11" spans="1:29" ht="15.75" thickBot="1">
      <c r="A11" s="387"/>
      <c r="B11" s="381" t="s">
        <v>2379</v>
      </c>
      <c r="C11" s="388">
        <v>4.3499999999999996</v>
      </c>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16"/>
      <c r="Q11" s="1527" t="str">
        <f t="shared" si="6"/>
        <v>容积率</v>
      </c>
      <c r="R11" s="710" t="s">
        <v>17</v>
      </c>
      <c r="S11" s="711">
        <f t="shared" si="0"/>
        <v>100</v>
      </c>
      <c r="T11" s="710" t="s">
        <v>17</v>
      </c>
      <c r="U11" s="711">
        <f t="shared" si="1"/>
        <v>100</v>
      </c>
      <c r="V11" s="710" t="s">
        <v>17</v>
      </c>
      <c r="W11" s="711">
        <f t="shared" si="2"/>
        <v>100</v>
      </c>
      <c r="X11" s="712"/>
      <c r="Y11" s="3244"/>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16"/>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43" t="s">
        <v>2381</v>
      </c>
      <c r="Q15" s="1536" t="str">
        <f t="shared" si="6"/>
        <v>办公集聚程度</v>
      </c>
      <c r="R15" s="714" t="s">
        <v>17</v>
      </c>
      <c r="S15" s="715">
        <f t="shared" si="0"/>
        <v>100</v>
      </c>
      <c r="T15" s="714" t="s">
        <v>17</v>
      </c>
      <c r="U15" s="715">
        <f t="shared" si="1"/>
        <v>100</v>
      </c>
      <c r="V15" s="714" t="s">
        <v>17</v>
      </c>
      <c r="W15" s="715">
        <f t="shared" si="2"/>
        <v>100</v>
      </c>
      <c r="X15" s="1539"/>
      <c r="Y15" s="3336" t="s">
        <v>2381</v>
      </c>
      <c r="Z15" s="1540" t="str">
        <f t="shared" si="7"/>
        <v>办公集聚程度</v>
      </c>
      <c r="AA15" s="1537">
        <f t="shared" si="3"/>
        <v>1</v>
      </c>
      <c r="AB15" s="1537">
        <f t="shared" si="4"/>
        <v>1</v>
      </c>
      <c r="AC15" s="2148">
        <f t="shared" si="5"/>
        <v>1</v>
      </c>
    </row>
    <row r="16" spans="1:29" ht="15">
      <c r="A16" s="387"/>
      <c r="B16" s="586"/>
      <c r="C16" s="2090" t="s">
        <v>3091</v>
      </c>
      <c r="D16" s="407"/>
      <c r="E16" s="406" t="s">
        <v>3091</v>
      </c>
      <c r="F16" s="407"/>
      <c r="G16" s="2090" t="s">
        <v>3091</v>
      </c>
      <c r="H16" s="409"/>
      <c r="I16" s="406" t="s">
        <v>3091</v>
      </c>
      <c r="J16" s="407"/>
      <c r="K16" s="572"/>
      <c r="L16" s="2951"/>
      <c r="M16" s="2945"/>
      <c r="N16" s="2945"/>
      <c r="O16" s="2945"/>
      <c r="P16" s="3344"/>
      <c r="Q16" s="1536"/>
      <c r="R16" s="714"/>
      <c r="S16" s="715"/>
      <c r="T16" s="714"/>
      <c r="U16" s="715"/>
      <c r="V16" s="714"/>
      <c r="W16" s="715"/>
      <c r="X16" s="1539"/>
      <c r="Y16" s="3337"/>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44"/>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2148">
        <f t="shared" si="5"/>
        <v>1</v>
      </c>
    </row>
    <row r="18" spans="1:29" ht="15">
      <c r="A18" s="387"/>
      <c r="B18" s="588"/>
      <c r="C18" s="2150" t="s">
        <v>3091</v>
      </c>
      <c r="D18" s="409"/>
      <c r="E18" s="2088" t="s">
        <v>3091</v>
      </c>
      <c r="F18" s="409"/>
      <c r="G18" s="2089" t="s">
        <v>3091</v>
      </c>
      <c r="H18" s="407"/>
      <c r="I18" s="2089" t="s">
        <v>3091</v>
      </c>
      <c r="J18" s="407"/>
      <c r="K18" s="572"/>
      <c r="L18" s="2951"/>
      <c r="M18" s="2945"/>
      <c r="N18" s="2945"/>
      <c r="O18" s="2945"/>
      <c r="P18" s="3344"/>
      <c r="Q18" s="1536"/>
      <c r="R18" s="714"/>
      <c r="S18" s="715"/>
      <c r="T18" s="714"/>
      <c r="U18" s="715"/>
      <c r="V18" s="714"/>
      <c r="W18" s="715"/>
      <c r="X18" s="1539"/>
      <c r="Y18" s="3337"/>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44"/>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2148">
        <f t="shared" si="5"/>
        <v>1</v>
      </c>
    </row>
    <row r="20" spans="1:29" ht="15">
      <c r="A20" s="387"/>
      <c r="B20" s="588"/>
      <c r="C20" s="2090" t="s">
        <v>3091</v>
      </c>
      <c r="D20" s="407"/>
      <c r="E20" s="2083" t="s">
        <v>3091</v>
      </c>
      <c r="F20" s="407"/>
      <c r="G20" s="2084" t="s">
        <v>3091</v>
      </c>
      <c r="H20" s="407"/>
      <c r="I20" s="2084" t="s">
        <v>3091</v>
      </c>
      <c r="J20" s="407"/>
      <c r="K20" s="572"/>
      <c r="L20" s="2951"/>
      <c r="M20" s="2945"/>
      <c r="N20" s="2945"/>
      <c r="O20" s="2945"/>
      <c r="P20" s="3344"/>
      <c r="Q20" s="1536"/>
      <c r="R20" s="714"/>
      <c r="S20" s="715"/>
      <c r="T20" s="714"/>
      <c r="U20" s="715"/>
      <c r="V20" s="714"/>
      <c r="W20" s="715"/>
      <c r="X20" s="1539"/>
      <c r="Y20" s="3337"/>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44"/>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2148">
        <f t="shared" ref="AC21" si="10">D21/J21</f>
        <v>1</v>
      </c>
    </row>
    <row r="22" spans="1:29" ht="15">
      <c r="A22" s="387"/>
      <c r="B22" s="589"/>
      <c r="C22" s="2150" t="s">
        <v>3092</v>
      </c>
      <c r="D22" s="407"/>
      <c r="E22" s="406" t="s">
        <v>3092</v>
      </c>
      <c r="F22" s="407"/>
      <c r="G22" s="2090" t="s">
        <v>3092</v>
      </c>
      <c r="H22" s="407"/>
      <c r="I22" s="2090" t="s">
        <v>3092</v>
      </c>
      <c r="J22" s="407"/>
      <c r="K22" s="1292"/>
      <c r="L22" s="2951"/>
      <c r="M22" s="2945"/>
      <c r="N22" s="2945"/>
      <c r="O22" s="2945"/>
      <c r="P22" s="3344"/>
      <c r="Q22" s="1536"/>
      <c r="R22" s="714"/>
      <c r="S22" s="715"/>
      <c r="T22" s="714"/>
      <c r="U22" s="715"/>
      <c r="V22" s="714"/>
      <c r="W22" s="715"/>
      <c r="X22" s="1539"/>
      <c r="Y22" s="3337"/>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44"/>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2148">
        <f t="shared" si="5"/>
        <v>1</v>
      </c>
    </row>
    <row r="24" spans="1:29" ht="15">
      <c r="A24" s="387"/>
      <c r="B24" s="589"/>
      <c r="C24" s="2090" t="s">
        <v>3091</v>
      </c>
      <c r="D24" s="407"/>
      <c r="E24" s="2083" t="s">
        <v>3091</v>
      </c>
      <c r="F24" s="407"/>
      <c r="G24" s="2084" t="s">
        <v>3091</v>
      </c>
      <c r="H24" s="407"/>
      <c r="I24" s="2084" t="s">
        <v>3091</v>
      </c>
      <c r="J24" s="407"/>
      <c r="K24" s="572"/>
      <c r="L24" s="2951"/>
      <c r="M24" s="2945"/>
      <c r="N24" s="2945"/>
      <c r="O24" s="2945"/>
      <c r="P24" s="3344"/>
      <c r="Q24" s="1536"/>
      <c r="R24" s="714"/>
      <c r="S24" s="715"/>
      <c r="T24" s="714"/>
      <c r="U24" s="715"/>
      <c r="V24" s="714"/>
      <c r="W24" s="715"/>
      <c r="X24" s="1539"/>
      <c r="Y24" s="3337"/>
      <c r="Z24" s="1540"/>
      <c r="AA24" s="1537">
        <v>1</v>
      </c>
      <c r="AB24" s="1537">
        <v>1</v>
      </c>
      <c r="AC24" s="2148">
        <v>1</v>
      </c>
    </row>
    <row r="25" spans="1:29" ht="27">
      <c r="A25" s="364"/>
      <c r="B25" s="587" t="s">
        <v>2512</v>
      </c>
      <c r="C25" s="3072" t="s">
        <v>3144</v>
      </c>
      <c r="D25" s="394">
        <v>100</v>
      </c>
      <c r="E25" s="3074" t="s">
        <v>3135</v>
      </c>
      <c r="F25" s="394">
        <f>SUMIF(87:87,E26,88:88)-SUMIF(87:87,C26,88:88)+100</f>
        <v>98</v>
      </c>
      <c r="G25" s="3072" t="s">
        <v>3136</v>
      </c>
      <c r="H25" s="394">
        <f>SUMIF(87:87,G26,88:88)-SUMIF(87:87,C26,88:88)+100</f>
        <v>98</v>
      </c>
      <c r="I25" s="3075" t="str">
        <f>G25</f>
        <v>知春路</v>
      </c>
      <c r="J25" s="394">
        <f>SUMIF(87:87,I26,88:88)-SUMIF(87:87,C26,88:88)+100</f>
        <v>98</v>
      </c>
      <c r="K25" s="571">
        <v>2</v>
      </c>
      <c r="L25" s="2951"/>
      <c r="M25" s="2945"/>
      <c r="N25" s="2945"/>
      <c r="O25" s="2945"/>
      <c r="P25" s="3344"/>
      <c r="Q25" s="1536" t="str">
        <f>B25</f>
        <v>毗邻道路的类型与等级</v>
      </c>
      <c r="R25" s="714" t="s">
        <v>17</v>
      </c>
      <c r="S25" s="715">
        <f>F25</f>
        <v>98</v>
      </c>
      <c r="T25" s="714" t="s">
        <v>17</v>
      </c>
      <c r="U25" s="715">
        <f>H25</f>
        <v>98</v>
      </c>
      <c r="V25" s="714" t="s">
        <v>17</v>
      </c>
      <c r="W25" s="715">
        <f>J25</f>
        <v>98</v>
      </c>
      <c r="X25" s="1539"/>
      <c r="Y25" s="3337"/>
      <c r="Z25" s="1540" t="str">
        <f>Q25</f>
        <v>毗邻道路的类型与等级</v>
      </c>
      <c r="AA25" s="1537">
        <f t="shared" si="3"/>
        <v>1.0204081632653061</v>
      </c>
      <c r="AB25" s="1537">
        <f t="shared" si="4"/>
        <v>1.0204081632653061</v>
      </c>
      <c r="AC25" s="2148">
        <f t="shared" si="5"/>
        <v>1.0204081632653061</v>
      </c>
    </row>
    <row r="26" spans="1:29" ht="15.75" thickBot="1">
      <c r="A26" s="364"/>
      <c r="B26" s="588"/>
      <c r="C26" s="590" t="s">
        <v>3142</v>
      </c>
      <c r="D26" s="394"/>
      <c r="E26" s="573" t="s">
        <v>3122</v>
      </c>
      <c r="F26" s="394"/>
      <c r="G26" s="590" t="s">
        <v>3122</v>
      </c>
      <c r="H26" s="394"/>
      <c r="I26" s="573" t="s">
        <v>3122</v>
      </c>
      <c r="J26" s="394"/>
      <c r="K26" s="572"/>
      <c r="L26" s="2951"/>
      <c r="M26" s="2945"/>
      <c r="N26" s="2945"/>
      <c r="O26" s="2945"/>
      <c r="P26" s="3344"/>
      <c r="Q26" s="1536"/>
      <c r="R26" s="714"/>
      <c r="S26" s="715"/>
      <c r="T26" s="714"/>
      <c r="U26" s="715"/>
      <c r="V26" s="714"/>
      <c r="W26" s="715"/>
      <c r="X26" s="1539"/>
      <c r="Y26" s="3337"/>
      <c r="Z26" s="1540"/>
      <c r="AA26" s="1537">
        <v>1</v>
      </c>
      <c r="AB26" s="1537">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44"/>
      <c r="Q27" s="1536" t="str">
        <f t="shared" ref="Q27:Q47" si="11">B27</f>
        <v>楼层</v>
      </c>
      <c r="R27" s="714" t="s">
        <v>17</v>
      </c>
      <c r="S27" s="715">
        <f>F27</f>
        <v>100</v>
      </c>
      <c r="T27" s="714" t="s">
        <v>17</v>
      </c>
      <c r="U27" s="715">
        <f>H27</f>
        <v>100</v>
      </c>
      <c r="V27" s="714" t="s">
        <v>17</v>
      </c>
      <c r="W27" s="715">
        <f>J27</f>
        <v>100</v>
      </c>
      <c r="X27" s="1539"/>
      <c r="Y27" s="3337"/>
      <c r="Z27" s="1540" t="str">
        <f>Q27</f>
        <v>楼层</v>
      </c>
      <c r="AA27" s="1537">
        <f t="shared" si="3"/>
        <v>1</v>
      </c>
      <c r="AB27" s="1537">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44"/>
      <c r="Q28" s="1527" t="str">
        <f t="shared" si="11"/>
        <v>朝向</v>
      </c>
      <c r="R28" s="710" t="s">
        <v>17</v>
      </c>
      <c r="S28" s="711">
        <f>F28</f>
        <v>100</v>
      </c>
      <c r="T28" s="710" t="s">
        <v>17</v>
      </c>
      <c r="U28" s="711">
        <f>H28</f>
        <v>100</v>
      </c>
      <c r="V28" s="710" t="s">
        <v>17</v>
      </c>
      <c r="W28" s="711">
        <f>J28</f>
        <v>100</v>
      </c>
      <c r="X28" s="712"/>
      <c r="Y28" s="3337"/>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44"/>
      <c r="Q29" s="1536">
        <f t="shared" si="11"/>
        <v>111</v>
      </c>
      <c r="R29" s="714" t="s">
        <v>17</v>
      </c>
      <c r="S29" s="715">
        <f t="shared" ref="S29:S47" si="12">F29</f>
        <v>100</v>
      </c>
      <c r="T29" s="714" t="s">
        <v>17</v>
      </c>
      <c r="U29" s="715">
        <f t="shared" ref="U29:U47" si="13">H29</f>
        <v>100</v>
      </c>
      <c r="V29" s="714" t="s">
        <v>17</v>
      </c>
      <c r="W29" s="715">
        <f t="shared" ref="W29:W47" si="14">J29</f>
        <v>100</v>
      </c>
      <c r="X29" s="1539"/>
      <c r="Y29" s="3337"/>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44"/>
      <c r="Q30" s="1536">
        <f t="shared" si="11"/>
        <v>111</v>
      </c>
      <c r="R30" s="714" t="s">
        <v>17</v>
      </c>
      <c r="S30" s="715">
        <f t="shared" si="12"/>
        <v>100</v>
      </c>
      <c r="T30" s="714" t="s">
        <v>17</v>
      </c>
      <c r="U30" s="715">
        <f t="shared" si="13"/>
        <v>100</v>
      </c>
      <c r="V30" s="714" t="s">
        <v>17</v>
      </c>
      <c r="W30" s="715">
        <f t="shared" si="14"/>
        <v>100</v>
      </c>
      <c r="X30" s="1539"/>
      <c r="Y30" s="3337"/>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44"/>
      <c r="Q31" s="1536">
        <f t="shared" si="11"/>
        <v>111</v>
      </c>
      <c r="R31" s="714" t="s">
        <v>17</v>
      </c>
      <c r="S31" s="715">
        <f t="shared" si="12"/>
        <v>100</v>
      </c>
      <c r="T31" s="714" t="s">
        <v>17</v>
      </c>
      <c r="U31" s="715">
        <f t="shared" si="13"/>
        <v>100</v>
      </c>
      <c r="V31" s="714" t="s">
        <v>17</v>
      </c>
      <c r="W31" s="715">
        <f t="shared" si="14"/>
        <v>100</v>
      </c>
      <c r="X31" s="1539"/>
      <c r="Y31" s="3337"/>
      <c r="Z31" s="1540">
        <f t="shared" si="15"/>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44"/>
      <c r="Q32" s="1536">
        <f t="shared" si="11"/>
        <v>111</v>
      </c>
      <c r="R32" s="714" t="s">
        <v>17</v>
      </c>
      <c r="S32" s="715">
        <f t="shared" si="12"/>
        <v>100</v>
      </c>
      <c r="T32" s="714" t="s">
        <v>17</v>
      </c>
      <c r="U32" s="715">
        <f t="shared" si="13"/>
        <v>100</v>
      </c>
      <c r="V32" s="714" t="s">
        <v>17</v>
      </c>
      <c r="W32" s="715">
        <f t="shared" si="14"/>
        <v>100</v>
      </c>
      <c r="X32" s="1539"/>
      <c r="Y32" s="3337"/>
      <c r="Z32" s="1540">
        <f t="shared" si="15"/>
        <v>111</v>
      </c>
      <c r="AA32" s="1537">
        <f t="shared" si="3"/>
        <v>1</v>
      </c>
      <c r="AB32" s="1537">
        <f t="shared" si="4"/>
        <v>1</v>
      </c>
      <c r="AC32" s="2148">
        <f t="shared" si="5"/>
        <v>1</v>
      </c>
    </row>
    <row r="33" spans="1:29" ht="15">
      <c r="A33" s="399" t="s">
        <v>2384</v>
      </c>
      <c r="B33" s="67" t="s">
        <v>2514</v>
      </c>
      <c r="C33" s="2153" t="s">
        <v>3097</v>
      </c>
      <c r="D33" s="426">
        <v>100</v>
      </c>
      <c r="E33" s="2153" t="s">
        <v>3097</v>
      </c>
      <c r="F33" s="420">
        <f>SUMIF(101:101,E33,102:102)-SUMIF(101:101,C33,102:102)+100</f>
        <v>100</v>
      </c>
      <c r="G33" s="2153" t="s">
        <v>3097</v>
      </c>
      <c r="H33" s="394">
        <f>SUMIF(101:101,G33,102:102)-SUMIF(101:101,C33,102:102)+100</f>
        <v>100</v>
      </c>
      <c r="I33" s="2153" t="s">
        <v>3097</v>
      </c>
      <c r="J33" s="426">
        <f>SUMIF(101:101,I33,102:102)-SUMIF(101:101,C33,102:102)+100</f>
        <v>100</v>
      </c>
      <c r="K33" s="569"/>
      <c r="L33" s="2951"/>
      <c r="M33" s="2945"/>
      <c r="N33" s="2945"/>
      <c r="O33" s="2945"/>
      <c r="P33" s="3338" t="s">
        <v>2386</v>
      </c>
      <c r="Q33" s="1536" t="str">
        <f t="shared" si="11"/>
        <v>建筑类型</v>
      </c>
      <c r="R33" s="714" t="s">
        <v>17</v>
      </c>
      <c r="S33" s="715">
        <f t="shared" si="12"/>
        <v>100</v>
      </c>
      <c r="T33" s="714" t="s">
        <v>17</v>
      </c>
      <c r="U33" s="715">
        <f t="shared" si="13"/>
        <v>100</v>
      </c>
      <c r="V33" s="714" t="s">
        <v>17</v>
      </c>
      <c r="W33" s="715">
        <f t="shared" si="14"/>
        <v>100</v>
      </c>
      <c r="X33" s="1539"/>
      <c r="Y33" s="3341" t="s">
        <v>2386</v>
      </c>
      <c r="Z33" s="1540" t="str">
        <f t="shared" si="15"/>
        <v>建筑类型</v>
      </c>
      <c r="AA33" s="1537">
        <f t="shared" si="3"/>
        <v>1</v>
      </c>
      <c r="AB33" s="1537">
        <f t="shared" si="4"/>
        <v>1</v>
      </c>
      <c r="AC33" s="2148">
        <f t="shared" si="5"/>
        <v>1</v>
      </c>
    </row>
    <row r="34" spans="1:29" s="430" customFormat="1" ht="15">
      <c r="A34" s="427"/>
      <c r="B34" s="381" t="s">
        <v>2387</v>
      </c>
      <c r="C34" s="428">
        <f>'数据-基础表'!B3</f>
        <v>6416.15</v>
      </c>
      <c r="D34" s="132">
        <v>100</v>
      </c>
      <c r="E34" s="389">
        <f>租金案例!A96</f>
        <v>258.36</v>
      </c>
      <c r="F34" s="384">
        <f>LOOKUP(E34,104:104,105:105)-LOOKUP(C34,104:104,105:105)+100</f>
        <v>105</v>
      </c>
      <c r="G34" s="388">
        <f>租金案例!A124</f>
        <v>186.58</v>
      </c>
      <c r="H34" s="132">
        <f>LOOKUP(G34,104:104,105:105)-LOOKUP(C34,104:104,105:105)+100</f>
        <v>105</v>
      </c>
      <c r="I34" s="388">
        <v>30562</v>
      </c>
      <c r="J34" s="132">
        <f>LOOKUP(I34,104:104,105:105)-LOOKUP(C34,104:104,105:105)+100</f>
        <v>95</v>
      </c>
      <c r="K34" s="570"/>
      <c r="L34" s="2950"/>
      <c r="M34" s="2952"/>
      <c r="N34" s="2952"/>
      <c r="O34" s="2952"/>
      <c r="P34" s="3339"/>
      <c r="Q34" s="716" t="str">
        <f t="shared" si="11"/>
        <v>项目建筑规模</v>
      </c>
      <c r="R34" s="717" t="s">
        <v>17</v>
      </c>
      <c r="S34" s="718">
        <f t="shared" si="12"/>
        <v>105</v>
      </c>
      <c r="T34" s="717" t="s">
        <v>17</v>
      </c>
      <c r="U34" s="718">
        <f t="shared" si="13"/>
        <v>105</v>
      </c>
      <c r="V34" s="717" t="s">
        <v>17</v>
      </c>
      <c r="W34" s="718">
        <f t="shared" si="14"/>
        <v>95</v>
      </c>
      <c r="X34" s="719"/>
      <c r="Y34" s="3341"/>
      <c r="Z34" s="720" t="str">
        <f t="shared" si="15"/>
        <v>项目建筑规模</v>
      </c>
      <c r="AA34" s="1537">
        <f t="shared" si="3"/>
        <v>0.95238095238095233</v>
      </c>
      <c r="AB34" s="1537">
        <f t="shared" si="4"/>
        <v>0.95238095238095233</v>
      </c>
      <c r="AC34" s="2148">
        <f t="shared" si="5"/>
        <v>1.0526315789473684</v>
      </c>
    </row>
    <row r="35" spans="1:29" ht="15">
      <c r="A35" s="431"/>
      <c r="B35" s="381" t="s">
        <v>2388</v>
      </c>
      <c r="C35" s="419" t="s">
        <v>3086</v>
      </c>
      <c r="D35" s="394">
        <v>100</v>
      </c>
      <c r="E35" s="419" t="s">
        <v>3086</v>
      </c>
      <c r="F35" s="420">
        <f>SUMIF(106:106,E35,107:107)-SUMIF(106:106,C35,107:107)+100</f>
        <v>100</v>
      </c>
      <c r="G35" s="419" t="s">
        <v>3086</v>
      </c>
      <c r="H35" s="394">
        <f>SUMIF(106:106,G35,107:107)-SUMIF(106:106,C35,107:107)+100</f>
        <v>100</v>
      </c>
      <c r="I35" s="419" t="s">
        <v>3086</v>
      </c>
      <c r="J35" s="394">
        <f>SUMIF(106:106,I35,107:107)-SUMIF(106:106,C35,107:107)+100</f>
        <v>100</v>
      </c>
      <c r="K35" s="569"/>
      <c r="L35" s="2951"/>
      <c r="M35" s="2945"/>
      <c r="N35" s="2945"/>
      <c r="O35" s="2945"/>
      <c r="P35" s="3339"/>
      <c r="Q35" s="1536" t="str">
        <f t="shared" si="11"/>
        <v>建筑结构</v>
      </c>
      <c r="R35" s="714" t="s">
        <v>17</v>
      </c>
      <c r="S35" s="715">
        <f t="shared" si="12"/>
        <v>100</v>
      </c>
      <c r="T35" s="714" t="s">
        <v>17</v>
      </c>
      <c r="U35" s="715">
        <f t="shared" si="13"/>
        <v>100</v>
      </c>
      <c r="V35" s="714" t="s">
        <v>17</v>
      </c>
      <c r="W35" s="715">
        <f t="shared" si="14"/>
        <v>100</v>
      </c>
      <c r="X35" s="1539"/>
      <c r="Y35" s="3341"/>
      <c r="Z35" s="1540" t="str">
        <f t="shared" si="15"/>
        <v>建筑结构</v>
      </c>
      <c r="AA35" s="1537">
        <f t="shared" si="3"/>
        <v>1</v>
      </c>
      <c r="AB35" s="1537">
        <f t="shared" si="4"/>
        <v>1</v>
      </c>
      <c r="AC35" s="2148">
        <f t="shared" si="5"/>
        <v>1</v>
      </c>
    </row>
    <row r="36" spans="1:29" ht="15">
      <c r="A36" s="431"/>
      <c r="B36" s="381" t="s">
        <v>2482</v>
      </c>
      <c r="C36" s="419" t="s">
        <v>3100</v>
      </c>
      <c r="D36" s="394">
        <v>100</v>
      </c>
      <c r="E36" s="419" t="s">
        <v>3100</v>
      </c>
      <c r="F36" s="420">
        <f>SUMIF(108:108,E36,109:109)-SUMIF(108:108,C36,109:109)+100</f>
        <v>100</v>
      </c>
      <c r="G36" s="419" t="s">
        <v>3100</v>
      </c>
      <c r="H36" s="394">
        <f>SUMIF(108:108,G36,109:109)-SUMIF(108:108,C36,109:109)+100</f>
        <v>100</v>
      </c>
      <c r="I36" s="419" t="s">
        <v>3100</v>
      </c>
      <c r="J36" s="394">
        <f>SUMIF(108:108,I36,109:109)-SUMIF(108:108,C36,109:109)+100</f>
        <v>100</v>
      </c>
      <c r="K36" s="569"/>
      <c r="L36" s="2951"/>
      <c r="M36" s="2945"/>
      <c r="N36" s="2945"/>
      <c r="O36" s="2945"/>
      <c r="P36" s="3339"/>
      <c r="Q36" s="1536" t="str">
        <f t="shared" si="11"/>
        <v>公共部分装修</v>
      </c>
      <c r="R36" s="714" t="s">
        <v>17</v>
      </c>
      <c r="S36" s="715">
        <f t="shared" si="12"/>
        <v>100</v>
      </c>
      <c r="T36" s="714" t="s">
        <v>17</v>
      </c>
      <c r="U36" s="715">
        <f t="shared" si="13"/>
        <v>100</v>
      </c>
      <c r="V36" s="714" t="s">
        <v>17</v>
      </c>
      <c r="W36" s="715">
        <f t="shared" si="14"/>
        <v>100</v>
      </c>
      <c r="X36" s="1539"/>
      <c r="Y36" s="3341"/>
      <c r="Z36" s="1540" t="str">
        <f t="shared" si="15"/>
        <v>公共部分装修</v>
      </c>
      <c r="AA36" s="1537">
        <f t="shared" si="3"/>
        <v>1</v>
      </c>
      <c r="AB36" s="1537">
        <f t="shared" si="4"/>
        <v>1</v>
      </c>
      <c r="AC36" s="2148">
        <f t="shared" si="5"/>
        <v>1</v>
      </c>
    </row>
    <row r="37" spans="1:29" ht="15">
      <c r="A37" s="431"/>
      <c r="B37" s="381" t="s">
        <v>2483</v>
      </c>
      <c r="C37" s="433">
        <f>'数据-取费表'!Y6</f>
        <v>0.7</v>
      </c>
      <c r="D37" s="394">
        <v>100</v>
      </c>
      <c r="E37" s="433">
        <v>0.75</v>
      </c>
      <c r="F37" s="420">
        <f>LOOKUP(E37,111:111,112:112)-LOOKUP(C37,111:111,112:112)+100</f>
        <v>100</v>
      </c>
      <c r="G37" s="433">
        <f>E37</f>
        <v>0.75</v>
      </c>
      <c r="H37" s="420">
        <f>LOOKUP(G37,111:111,112:112)-LOOKUP(C37,111:111,112:112)+100</f>
        <v>100</v>
      </c>
      <c r="I37" s="433">
        <f>E37</f>
        <v>0.75</v>
      </c>
      <c r="J37" s="394">
        <f>LOOKUP(I37,111:111,112:112)-LOOKUP(C37,111:111,112:112)+100</f>
        <v>100</v>
      </c>
      <c r="K37" s="569"/>
      <c r="L37" s="2951"/>
      <c r="M37" s="2945"/>
      <c r="N37" s="2945"/>
      <c r="O37" s="2945"/>
      <c r="P37" s="3339"/>
      <c r="Q37" s="1536" t="str">
        <f t="shared" si="11"/>
        <v>成新度</v>
      </c>
      <c r="R37" s="714" t="s">
        <v>17</v>
      </c>
      <c r="S37" s="715">
        <f t="shared" si="12"/>
        <v>100</v>
      </c>
      <c r="T37" s="714" t="s">
        <v>17</v>
      </c>
      <c r="U37" s="715">
        <f t="shared" si="13"/>
        <v>100</v>
      </c>
      <c r="V37" s="714" t="s">
        <v>17</v>
      </c>
      <c r="W37" s="715">
        <f t="shared" si="14"/>
        <v>100</v>
      </c>
      <c r="X37" s="1539"/>
      <c r="Y37" s="3341"/>
      <c r="Z37" s="1540" t="str">
        <f t="shared" si="15"/>
        <v>成新度</v>
      </c>
      <c r="AA37" s="1537">
        <f t="shared" si="3"/>
        <v>1</v>
      </c>
      <c r="AB37" s="1537">
        <f t="shared" si="4"/>
        <v>1</v>
      </c>
      <c r="AC37" s="2148">
        <f t="shared" si="5"/>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39"/>
      <c r="Q38" s="1527" t="str">
        <f t="shared" si="11"/>
        <v>写字楼等级</v>
      </c>
      <c r="R38" s="710" t="s">
        <v>17</v>
      </c>
      <c r="S38" s="711">
        <f t="shared" si="12"/>
        <v>100</v>
      </c>
      <c r="T38" s="710" t="s">
        <v>17</v>
      </c>
      <c r="U38" s="711">
        <f t="shared" si="13"/>
        <v>100</v>
      </c>
      <c r="V38" s="710" t="s">
        <v>17</v>
      </c>
      <c r="W38" s="711">
        <f t="shared" si="14"/>
        <v>100</v>
      </c>
      <c r="X38" s="712"/>
      <c r="Y38" s="3341"/>
      <c r="Z38" s="55" t="str">
        <f t="shared" si="15"/>
        <v>写字楼等级</v>
      </c>
      <c r="AA38" s="713">
        <f t="shared" si="3"/>
        <v>1</v>
      </c>
      <c r="AB38" s="713">
        <f t="shared" si="4"/>
        <v>1</v>
      </c>
      <c r="AC38" s="2145">
        <f t="shared" si="5"/>
        <v>1</v>
      </c>
    </row>
    <row r="39" spans="1:29" ht="15">
      <c r="A39" s="431"/>
      <c r="B39" s="381" t="s">
        <v>2516</v>
      </c>
      <c r="C39" s="419" t="s">
        <v>3102</v>
      </c>
      <c r="D39" s="394">
        <v>100</v>
      </c>
      <c r="E39" s="419" t="s">
        <v>3102</v>
      </c>
      <c r="F39" s="420">
        <f>SUMIF(115:115,E39,116:116)-SUMIF(115:115,C39,116:116)+100</f>
        <v>100</v>
      </c>
      <c r="G39" s="419" t="s">
        <v>3102</v>
      </c>
      <c r="H39" s="394">
        <f>SUMIF(115:115,G39,116:116)-SUMIF(115:115,C39,116:116)+100</f>
        <v>100</v>
      </c>
      <c r="I39" s="419" t="s">
        <v>3102</v>
      </c>
      <c r="J39" s="394">
        <f>SUMIF(115:115,I39,116:116)-SUMIF(115:115,C39,116:116)+100</f>
        <v>100</v>
      </c>
      <c r="K39" s="569"/>
      <c r="L39" s="2951"/>
      <c r="M39" s="2945"/>
      <c r="N39" s="2945"/>
      <c r="O39" s="2945"/>
      <c r="P39" s="3339" t="s">
        <v>2386</v>
      </c>
      <c r="Q39" s="1536" t="str">
        <f t="shared" si="11"/>
        <v>物业管理</v>
      </c>
      <c r="R39" s="714" t="s">
        <v>17</v>
      </c>
      <c r="S39" s="715">
        <f t="shared" si="12"/>
        <v>100</v>
      </c>
      <c r="T39" s="714" t="s">
        <v>17</v>
      </c>
      <c r="U39" s="715">
        <f t="shared" si="13"/>
        <v>100</v>
      </c>
      <c r="V39" s="714" t="s">
        <v>17</v>
      </c>
      <c r="W39" s="715">
        <f t="shared" si="14"/>
        <v>100</v>
      </c>
      <c r="X39" s="1539"/>
      <c r="Y39" s="3341"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39"/>
      <c r="Q40" s="1536" t="str">
        <f t="shared" si="11"/>
        <v>市政基础设施</v>
      </c>
      <c r="R40" s="714" t="s">
        <v>17</v>
      </c>
      <c r="S40" s="715">
        <f t="shared" si="12"/>
        <v>100</v>
      </c>
      <c r="T40" s="714" t="s">
        <v>17</v>
      </c>
      <c r="U40" s="715">
        <f t="shared" si="13"/>
        <v>100</v>
      </c>
      <c r="V40" s="714" t="s">
        <v>17</v>
      </c>
      <c r="W40" s="715">
        <f t="shared" si="14"/>
        <v>100</v>
      </c>
      <c r="X40" s="1539"/>
      <c r="Y40" s="3341"/>
      <c r="Z40" s="1540" t="str">
        <f t="shared" si="15"/>
        <v>市政基础设施</v>
      </c>
      <c r="AA40" s="1537">
        <f t="shared" si="3"/>
        <v>1</v>
      </c>
      <c r="AB40" s="1537">
        <f t="shared" si="4"/>
        <v>1</v>
      </c>
      <c r="AC40" s="2148">
        <f t="shared" si="5"/>
        <v>1</v>
      </c>
    </row>
    <row r="41" spans="1:29" ht="15">
      <c r="A41" s="431"/>
      <c r="B41" s="381" t="s">
        <v>2486</v>
      </c>
      <c r="C41" s="573" t="s">
        <v>3104</v>
      </c>
      <c r="D41" s="394">
        <v>100</v>
      </c>
      <c r="E41" s="573" t="s">
        <v>3104</v>
      </c>
      <c r="F41" s="420">
        <f>SUMIF(119:119,E41,120:120)-SUMIF(119:119,C41,120:120)+100</f>
        <v>100</v>
      </c>
      <c r="G41" s="573" t="s">
        <v>3104</v>
      </c>
      <c r="H41" s="394">
        <f>SUMIF(119:119,G41,120:120)-SUMIF(119:119,C41,120:120)+100</f>
        <v>100</v>
      </c>
      <c r="I41" s="573" t="s">
        <v>3104</v>
      </c>
      <c r="J41" s="394">
        <f>SUMIF(119:119,I41,120:120)-SUMIF(119:119,C41,120:120)+100</f>
        <v>100</v>
      </c>
      <c r="K41" s="569"/>
      <c r="L41" s="2951"/>
      <c r="M41" s="2945"/>
      <c r="N41" s="2945"/>
      <c r="O41" s="2945"/>
      <c r="P41" s="3339"/>
      <c r="Q41" s="1536" t="str">
        <f t="shared" si="11"/>
        <v>层高</v>
      </c>
      <c r="R41" s="714" t="s">
        <v>17</v>
      </c>
      <c r="S41" s="715">
        <f t="shared" si="12"/>
        <v>100</v>
      </c>
      <c r="T41" s="714" t="s">
        <v>17</v>
      </c>
      <c r="U41" s="715">
        <f t="shared" si="13"/>
        <v>100</v>
      </c>
      <c r="V41" s="714" t="s">
        <v>17</v>
      </c>
      <c r="W41" s="715">
        <f t="shared" si="14"/>
        <v>100</v>
      </c>
      <c r="X41" s="1539"/>
      <c r="Y41" s="3341"/>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39"/>
      <c r="Q42" s="716" t="str">
        <f t="shared" si="11"/>
        <v>单套建筑面积</v>
      </c>
      <c r="R42" s="717" t="s">
        <v>17</v>
      </c>
      <c r="S42" s="718">
        <f t="shared" si="12"/>
        <v>100</v>
      </c>
      <c r="T42" s="717" t="s">
        <v>17</v>
      </c>
      <c r="U42" s="718">
        <f t="shared" si="13"/>
        <v>100</v>
      </c>
      <c r="V42" s="717" t="s">
        <v>17</v>
      </c>
      <c r="W42" s="718">
        <f t="shared" si="14"/>
        <v>100</v>
      </c>
      <c r="X42" s="719"/>
      <c r="Y42" s="3341"/>
      <c r="Z42" s="720" t="str">
        <f t="shared" si="15"/>
        <v>单套建筑面积</v>
      </c>
      <c r="AA42" s="1537">
        <f t="shared" si="3"/>
        <v>1</v>
      </c>
      <c r="AB42" s="1537">
        <f t="shared" si="4"/>
        <v>1</v>
      </c>
      <c r="AC42" s="2148">
        <f t="shared" si="5"/>
        <v>1</v>
      </c>
    </row>
    <row r="43" spans="1:29" ht="15">
      <c r="A43" s="431"/>
      <c r="B43" s="381" t="s">
        <v>2489</v>
      </c>
      <c r="C43" s="419" t="s">
        <v>3100</v>
      </c>
      <c r="D43" s="394">
        <v>100</v>
      </c>
      <c r="E43" s="419" t="s">
        <v>3100</v>
      </c>
      <c r="F43" s="420">
        <f>SUMIF(123:123,E43,124:124)-SUMIF(123:123,C43,124:124)+100</f>
        <v>100</v>
      </c>
      <c r="G43" s="419" t="s">
        <v>3100</v>
      </c>
      <c r="H43" s="394">
        <f>SUMIF(123:123,G43,124:124)-SUMIF(123:123,C43,124:124)+100</f>
        <v>100</v>
      </c>
      <c r="I43" s="419" t="s">
        <v>3100</v>
      </c>
      <c r="J43" s="394">
        <f>SUMIF(123:123,I43,124:124)-SUMIF(123:123,C43,124:124)+100</f>
        <v>100</v>
      </c>
      <c r="K43" s="569"/>
      <c r="L43" s="2951"/>
      <c r="M43" s="2945"/>
      <c r="N43" s="2945"/>
      <c r="O43" s="2945"/>
      <c r="P43" s="3339"/>
      <c r="Q43" s="1536" t="str">
        <f t="shared" si="11"/>
        <v>内部装修</v>
      </c>
      <c r="R43" s="714" t="s">
        <v>17</v>
      </c>
      <c r="S43" s="715">
        <f t="shared" si="12"/>
        <v>100</v>
      </c>
      <c r="T43" s="714" t="s">
        <v>17</v>
      </c>
      <c r="U43" s="715">
        <f t="shared" si="13"/>
        <v>100</v>
      </c>
      <c r="V43" s="714" t="s">
        <v>17</v>
      </c>
      <c r="W43" s="715">
        <f t="shared" si="14"/>
        <v>100</v>
      </c>
      <c r="X43" s="1539"/>
      <c r="Y43" s="3341"/>
      <c r="Z43" s="1540" t="str">
        <f t="shared" si="15"/>
        <v>内部装修</v>
      </c>
      <c r="AA43" s="1537">
        <f t="shared" si="3"/>
        <v>1</v>
      </c>
      <c r="AB43" s="1537">
        <f t="shared" si="4"/>
        <v>1</v>
      </c>
      <c r="AC43" s="2148">
        <f t="shared" si="5"/>
        <v>1</v>
      </c>
    </row>
    <row r="44" spans="1:29" ht="15.75" thickBot="1">
      <c r="A44" s="431"/>
      <c r="B44" s="381" t="s">
        <v>2397</v>
      </c>
      <c r="C44" s="419" t="s">
        <v>3091</v>
      </c>
      <c r="D44" s="394">
        <v>100</v>
      </c>
      <c r="E44" s="2092" t="s">
        <v>3091</v>
      </c>
      <c r="F44" s="420">
        <f>SUMIF(125:125,E44,126:126)-SUMIF(125:125,C44,126:126)+100</f>
        <v>100</v>
      </c>
      <c r="G44" s="2092" t="s">
        <v>3091</v>
      </c>
      <c r="H44" s="394">
        <f>SUMIF(125:125,G44,126:126)-SUMIF(125:125,C44,126:126)+100</f>
        <v>100</v>
      </c>
      <c r="I44" s="2092" t="s">
        <v>3091</v>
      </c>
      <c r="J44" s="394">
        <f>SUMIF(125:125,I44,126:126)-SUMIF(125:125,C44,126:126)+100</f>
        <v>100</v>
      </c>
      <c r="K44" s="569"/>
      <c r="L44" s="2951"/>
      <c r="M44" s="2945"/>
      <c r="N44" s="2945"/>
      <c r="O44" s="2945"/>
      <c r="P44" s="3339"/>
      <c r="Q44" s="1536" t="str">
        <f t="shared" si="11"/>
        <v>内部装修维护情况</v>
      </c>
      <c r="R44" s="714" t="s">
        <v>17</v>
      </c>
      <c r="S44" s="715">
        <f t="shared" si="12"/>
        <v>100</v>
      </c>
      <c r="T44" s="714" t="s">
        <v>17</v>
      </c>
      <c r="U44" s="715">
        <f t="shared" si="13"/>
        <v>100</v>
      </c>
      <c r="V44" s="714" t="s">
        <v>17</v>
      </c>
      <c r="W44" s="715">
        <f t="shared" si="14"/>
        <v>100</v>
      </c>
      <c r="X44" s="1539"/>
      <c r="Y44" s="3341"/>
      <c r="Z44" s="1540" t="str">
        <f t="shared" si="15"/>
        <v>内部装修维护情况</v>
      </c>
      <c r="AA44" s="1537">
        <f t="shared" si="3"/>
        <v>1</v>
      </c>
      <c r="AB44" s="1537">
        <f t="shared" si="4"/>
        <v>1</v>
      </c>
      <c r="AC44" s="2148">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39"/>
      <c r="Q45" s="1527">
        <f t="shared" si="11"/>
        <v>111</v>
      </c>
      <c r="R45" s="710" t="s">
        <v>17</v>
      </c>
      <c r="S45" s="711">
        <f t="shared" si="12"/>
        <v>100</v>
      </c>
      <c r="T45" s="710" t="s">
        <v>17</v>
      </c>
      <c r="U45" s="711">
        <f t="shared" si="13"/>
        <v>100</v>
      </c>
      <c r="V45" s="710" t="s">
        <v>17</v>
      </c>
      <c r="W45" s="711">
        <f t="shared" si="14"/>
        <v>100</v>
      </c>
      <c r="X45" s="712"/>
      <c r="Y45" s="3341"/>
      <c r="Z45" s="55">
        <f t="shared" si="15"/>
        <v>111</v>
      </c>
      <c r="AA45" s="713">
        <f t="shared" si="3"/>
        <v>1</v>
      </c>
      <c r="AB45" s="713">
        <f t="shared" si="4"/>
        <v>1</v>
      </c>
      <c r="AC45" s="2145">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39"/>
      <c r="Q46" s="1536">
        <f t="shared" si="11"/>
        <v>111</v>
      </c>
      <c r="R46" s="714" t="s">
        <v>17</v>
      </c>
      <c r="S46" s="715">
        <f t="shared" si="12"/>
        <v>100</v>
      </c>
      <c r="T46" s="714" t="s">
        <v>17</v>
      </c>
      <c r="U46" s="715">
        <f t="shared" si="13"/>
        <v>100</v>
      </c>
      <c r="V46" s="714" t="s">
        <v>17</v>
      </c>
      <c r="W46" s="715">
        <f t="shared" si="14"/>
        <v>100</v>
      </c>
      <c r="X46" s="1539"/>
      <c r="Y46" s="3341"/>
      <c r="Z46" s="1540">
        <f t="shared" si="15"/>
        <v>111</v>
      </c>
      <c r="AA46" s="1537">
        <f t="shared" si="3"/>
        <v>1</v>
      </c>
      <c r="AB46" s="1537">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40"/>
      <c r="Q47" s="1536">
        <f t="shared" si="11"/>
        <v>111</v>
      </c>
      <c r="R47" s="714" t="s">
        <v>17</v>
      </c>
      <c r="S47" s="715">
        <f t="shared" si="12"/>
        <v>100</v>
      </c>
      <c r="T47" s="714" t="s">
        <v>17</v>
      </c>
      <c r="U47" s="715">
        <f t="shared" si="13"/>
        <v>100</v>
      </c>
      <c r="V47" s="714" t="s">
        <v>17</v>
      </c>
      <c r="W47" s="715">
        <f t="shared" si="14"/>
        <v>100</v>
      </c>
      <c r="X47" s="1539"/>
      <c r="Y47" s="3342"/>
      <c r="Z47" s="1540">
        <f t="shared" si="15"/>
        <v>111</v>
      </c>
      <c r="AA47" s="1537">
        <f t="shared" si="3"/>
        <v>1</v>
      </c>
      <c r="AB47" s="1537">
        <f t="shared" si="4"/>
        <v>1</v>
      </c>
      <c r="AC47" s="2148">
        <f t="shared" si="5"/>
        <v>1</v>
      </c>
    </row>
    <row r="48" spans="1:29" ht="15">
      <c r="A48" s="438" t="s">
        <v>2398</v>
      </c>
      <c r="B48" s="439"/>
      <c r="C48" s="1316" t="s">
        <v>1</v>
      </c>
      <c r="D48" s="1317"/>
      <c r="E48" s="1318">
        <f>租金案例!A95</f>
        <v>35106</v>
      </c>
      <c r="F48" s="1319"/>
      <c r="G48" s="1320">
        <f>租金案例!A123</f>
        <v>32005</v>
      </c>
      <c r="H48" s="1321"/>
      <c r="I48" s="1318">
        <v>29448</v>
      </c>
      <c r="J48" s="444"/>
      <c r="K48" s="723"/>
      <c r="L48" s="2953"/>
      <c r="M48" s="2945"/>
      <c r="N48" s="2945"/>
      <c r="O48" s="2945"/>
      <c r="P48" s="3316" t="str">
        <f>A48</f>
        <v>成交单价（元/平方米）</v>
      </c>
      <c r="Q48" s="3334"/>
      <c r="R48" s="3335">
        <f>E48</f>
        <v>35106</v>
      </c>
      <c r="S48" s="3335"/>
      <c r="T48" s="3335">
        <f>G48</f>
        <v>32005</v>
      </c>
      <c r="U48" s="3335"/>
      <c r="V48" s="3335">
        <f>I48</f>
        <v>29448</v>
      </c>
      <c r="W48" s="3335"/>
      <c r="X48" s="405"/>
      <c r="Y48" s="721"/>
      <c r="Z48" s="405"/>
      <c r="AA48" s="405"/>
      <c r="AB48" s="405"/>
      <c r="AC48" s="586"/>
    </row>
    <row r="49" spans="1:29" ht="15.75" thickBot="1">
      <c r="A49" s="445" t="s">
        <v>2490</v>
      </c>
      <c r="B49" s="446"/>
      <c r="C49" s="1322">
        <f>ROUND(R50,0)</f>
        <v>32390</v>
      </c>
      <c r="D49" s="2538" t="s">
        <v>2880</v>
      </c>
      <c r="E49" s="1323">
        <f>ROUND(R49,0)</f>
        <v>34117</v>
      </c>
      <c r="F49" s="2539"/>
      <c r="G49" s="1322">
        <f>T49</f>
        <v>31103</v>
      </c>
      <c r="H49" s="2539"/>
      <c r="I49" s="1323">
        <f>V49</f>
        <v>31950</v>
      </c>
      <c r="J49" s="2539"/>
      <c r="K49" s="2541">
        <f>F49+H49+J49</f>
        <v>0</v>
      </c>
      <c r="L49" s="2953"/>
      <c r="M49" s="2945"/>
      <c r="N49" s="2945"/>
      <c r="O49" s="2945"/>
      <c r="P49" s="3316" t="str">
        <f>A49</f>
        <v>比较价值（元/平方米）</v>
      </c>
      <c r="Q49" s="3334"/>
      <c r="R49" s="3335">
        <f>IF(F1="售价",ROUND(PRODUCT(R48,AA7:AA47),0),ROUND(PRODUCT(R48,AA7:AA47),1))</f>
        <v>34116.6</v>
      </c>
      <c r="S49" s="3335"/>
      <c r="T49" s="3335">
        <f>IF(F1="售价",ROUND(PRODUCT(T48,AB7:AB47),0),ROUND(PRODUCT(T48,AB7:AB47),1))</f>
        <v>31103</v>
      </c>
      <c r="U49" s="3335"/>
      <c r="V49" s="3335">
        <f>IF(F1="售价",ROUND(PRODUCT(V48,AC7:AC47),0),ROUND(PRODUCT(V48,AC7:AC47),1))</f>
        <v>31950</v>
      </c>
      <c r="W49" s="3335"/>
      <c r="X49" s="405"/>
      <c r="Y49" s="405"/>
      <c r="Z49" s="405"/>
      <c r="AA49" s="405"/>
      <c r="AB49" s="405"/>
      <c r="AC49" s="586"/>
    </row>
    <row r="50" spans="1:29" ht="15.75" thickBot="1">
      <c r="A50" s="449" t="s">
        <v>2491</v>
      </c>
      <c r="B50" s="450"/>
      <c r="C50" s="1325">
        <f>ROUND(R50,0)</f>
        <v>32390</v>
      </c>
      <c r="D50" s="1325"/>
      <c r="E50" s="1325"/>
      <c r="F50" s="1325"/>
      <c r="G50" s="1325"/>
      <c r="H50" s="1325"/>
      <c r="I50" s="1325"/>
      <c r="J50" s="451"/>
      <c r="K50" s="724"/>
      <c r="L50" s="2953"/>
      <c r="M50" s="2945"/>
      <c r="N50" s="2945"/>
      <c r="O50" s="2945"/>
      <c r="P50" s="3361" t="str">
        <f>A50</f>
        <v>估价对象XX用房的比较价值（楼面单价，元/平方米）</v>
      </c>
      <c r="Q50" s="3362"/>
      <c r="R50" s="3363">
        <f>IF(F1="售价",ROUND(IF(D49="简单平均",AVERAGE(R49:V49),R49*F49+T49*H49+V49*J49),0),ROUND(IF(D49="简单平均",AVERAGE(R49:V49),R49*F49+T49*H49+V49*J49),1))</f>
        <v>32389.9</v>
      </c>
      <c r="S50" s="3363"/>
      <c r="T50" s="3363"/>
      <c r="U50" s="3363"/>
      <c r="V50" s="3363"/>
      <c r="W50" s="3363"/>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2.8988480816015461E-2</v>
      </c>
      <c r="F53" s="457" t="str">
        <f>IF(OR(E53&gt;=0.3,E53&lt;=-0.3),"超过30%","")</f>
        <v/>
      </c>
      <c r="G53" s="456">
        <f>IF(G48&lt;G49,G49/G48-1,G48/G49-1)</f>
        <v>2.9000417966112524E-2</v>
      </c>
      <c r="H53" s="457" t="str">
        <f>IF(OR(G53&gt;=0.3,G53&lt;=-0.3),"超过30%","")</f>
        <v/>
      </c>
      <c r="I53" s="456">
        <f>IF(I48&lt;I49,I49/I48-1,I48/I49-1)</f>
        <v>8.4963325183374128E-2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9.6903835642863978E-2</v>
      </c>
      <c r="F54" s="457" t="str">
        <f>IF(OR(E54&gt;=0.2,E54&lt;=-0.2),"超过20%","")</f>
        <v/>
      </c>
      <c r="G54" s="456">
        <f>IF(G49&lt;I49,I49/G49-1,G49/I49-1)</f>
        <v>2.7232099797447118E-2</v>
      </c>
      <c r="H54" s="457" t="str">
        <f>IF(OR(G54&gt;=0.2,G54&lt;=-0.2),"超过20%","")</f>
        <v/>
      </c>
      <c r="I54" s="456">
        <f>IF(I49&lt;E49,E49/I49-1,I49/E49-1)</f>
        <v>6.7824726134585234E-2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9.6891110763943189E-2</v>
      </c>
      <c r="F55" s="457" t="str">
        <f>IF(OR(E55&gt;=0.3,E55&lt;=-0.3),"超过30%","")</f>
        <v/>
      </c>
      <c r="G55" s="456">
        <f>IF(G48&lt;I48,I48/G48-1,G48/I48-1)</f>
        <v>8.6831024178212424E-2</v>
      </c>
      <c r="H55" s="457" t="str">
        <f>IF(OR(G55&gt;=0.3,G55&lt;=-0.3),"超过30%","")</f>
        <v/>
      </c>
      <c r="I55" s="456">
        <f>IF(I48&lt;E48,E48/I48-1,I48/E48-1)</f>
        <v>0.19213528932355328</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2021-10</v>
      </c>
      <c r="D59" s="1347">
        <f>EDATE(C59,-1)</f>
        <v>44440</v>
      </c>
      <c r="E59" s="1347">
        <f>EDATE(D59,-1)</f>
        <v>44409</v>
      </c>
      <c r="F59" s="1347">
        <f t="shared" ref="F59:O59" si="16">EDATE(E59,-1)</f>
        <v>44378</v>
      </c>
      <c r="G59" s="1347">
        <f t="shared" si="16"/>
        <v>44348</v>
      </c>
      <c r="H59" s="1347">
        <f t="shared" si="16"/>
        <v>44317</v>
      </c>
      <c r="I59" s="1347">
        <f t="shared" si="16"/>
        <v>44287</v>
      </c>
      <c r="J59" s="1347">
        <f t="shared" si="16"/>
        <v>44256</v>
      </c>
      <c r="K59" s="1347">
        <f t="shared" si="16"/>
        <v>44228</v>
      </c>
      <c r="L59" s="1347">
        <f t="shared" si="16"/>
        <v>44197</v>
      </c>
      <c r="M59" s="1347">
        <f t="shared" si="16"/>
        <v>44166</v>
      </c>
      <c r="N59" s="1347">
        <f t="shared" si="16"/>
        <v>44136</v>
      </c>
      <c r="O59" s="1347">
        <f t="shared" si="16"/>
        <v>44105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70">
        <v>99</v>
      </c>
      <c r="N60" s="469">
        <v>99</v>
      </c>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0（含）-2.5</v>
      </c>
      <c r="D68" s="504" t="str">
        <f t="shared" ref="D68:L68" si="17">D69&amp;"（含）"&amp;"-"&amp;E69</f>
        <v>2.5（含）-10</v>
      </c>
      <c r="E68" s="504" t="str">
        <f t="shared" si="17"/>
        <v>10（含）-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v>2.5</v>
      </c>
      <c r="E69" s="506">
        <v>10</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3068" t="s">
        <v>3093</v>
      </c>
      <c r="D87" s="3068" t="s">
        <v>3094</v>
      </c>
      <c r="E87" s="3068" t="s">
        <v>3095</v>
      </c>
      <c r="F87" s="3068" t="s">
        <v>3096</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069" t="s">
        <v>3098</v>
      </c>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0(含)-5000</v>
      </c>
      <c r="D103" s="535" t="str">
        <f t="shared" ref="D103:L103" si="23">D104&amp;"(含)"&amp;"-"&amp;E104</f>
        <v>5000(含)-10000</v>
      </c>
      <c r="E103" s="535" t="str">
        <f t="shared" si="23"/>
        <v>10000(含)-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v>
      </c>
      <c r="E104" s="552">
        <v>10000</v>
      </c>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v>95</v>
      </c>
      <c r="E105" s="493">
        <v>90</v>
      </c>
      <c r="F105" s="493">
        <v>85</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068" t="s">
        <v>3099</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068" t="s">
        <v>3101</v>
      </c>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068" t="s">
        <v>3103</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070" t="s">
        <v>3105</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068" t="s">
        <v>3101</v>
      </c>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algorithmName="SHA-512" hashValue="Bu3isKHknq3VT0hIw2twV2ZTzgNBUC+MuACuVn631Htaj8mu/1pQMOM/vPAs+kvfGHTHTTuSaDKI4HMAXwYTCQ==" saltValue="iOjsTjolGL0EOreov+mzD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6416.15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1044"/>
      <c r="M4" s="1045"/>
      <c r="N4" s="1045"/>
      <c r="O4" s="10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1044"/>
      <c r="M5" s="1045"/>
      <c r="N5" s="1045"/>
      <c r="O5" s="1045"/>
      <c r="P5" s="3323"/>
      <c r="Q5" s="3324"/>
      <c r="R5" s="3306"/>
      <c r="S5" s="3307"/>
      <c r="T5" s="3306"/>
      <c r="U5" s="3307"/>
      <c r="V5" s="3329"/>
      <c r="W5" s="3329"/>
      <c r="X5" s="1539"/>
      <c r="Y5" s="3306"/>
      <c r="Z5" s="3307"/>
      <c r="AA5" s="3300"/>
      <c r="AB5" s="3300"/>
      <c r="AC5" s="3300"/>
    </row>
    <row r="6" spans="1:29" ht="15.75" thickBot="1">
      <c r="A6" s="366"/>
      <c r="B6" s="367"/>
      <c r="C6" s="3312" t="s">
        <v>2367</v>
      </c>
      <c r="D6" s="3313"/>
      <c r="E6" s="3314" t="s">
        <v>2367</v>
      </c>
      <c r="F6" s="3315"/>
      <c r="G6" s="3312" t="s">
        <v>2367</v>
      </c>
      <c r="H6" s="3313"/>
      <c r="I6" s="3312" t="s">
        <v>2367</v>
      </c>
      <c r="J6" s="3313"/>
      <c r="K6" s="567" t="s">
        <v>2368</v>
      </c>
      <c r="L6" s="1044"/>
      <c r="M6" s="1045"/>
      <c r="N6" s="1045"/>
      <c r="O6" s="10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2" t="s">
        <v>2373</v>
      </c>
      <c r="Q8" s="3303"/>
      <c r="R8" s="710" t="s">
        <v>17</v>
      </c>
      <c r="S8" s="711">
        <f t="shared" si="0"/>
        <v>0</v>
      </c>
      <c r="T8" s="710" t="s">
        <v>17</v>
      </c>
      <c r="U8" s="711">
        <f t="shared" si="1"/>
        <v>0</v>
      </c>
      <c r="V8" s="710" t="s">
        <v>17</v>
      </c>
      <c r="W8" s="711">
        <f t="shared" si="2"/>
        <v>0</v>
      </c>
      <c r="X8" s="712"/>
      <c r="Y8" s="3302" t="s">
        <v>2373</v>
      </c>
      <c r="Z8" s="330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4"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4"/>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4"/>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34"/>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6" t="s">
        <v>2381</v>
      </c>
      <c r="Q15" s="1536" t="str">
        <f t="shared" si="6"/>
        <v>产业集聚程度</v>
      </c>
      <c r="R15" s="714" t="s">
        <v>17</v>
      </c>
      <c r="S15" s="715">
        <f t="shared" si="0"/>
        <v>100</v>
      </c>
      <c r="T15" s="714" t="s">
        <v>17</v>
      </c>
      <c r="U15" s="715">
        <f t="shared" si="1"/>
        <v>100</v>
      </c>
      <c r="V15" s="714" t="s">
        <v>17</v>
      </c>
      <c r="W15" s="715">
        <f t="shared" si="2"/>
        <v>100</v>
      </c>
      <c r="X15" s="1539"/>
      <c r="Y15" s="3336"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7"/>
      <c r="Q16" s="1536"/>
      <c r="R16" s="714"/>
      <c r="S16" s="715"/>
      <c r="T16" s="714"/>
      <c r="U16" s="715"/>
      <c r="V16" s="714"/>
      <c r="W16" s="715"/>
      <c r="X16" s="1539"/>
      <c r="Y16" s="3337"/>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7"/>
      <c r="Q18" s="1536"/>
      <c r="R18" s="714"/>
      <c r="S18" s="715"/>
      <c r="T18" s="714"/>
      <c r="U18" s="715"/>
      <c r="V18" s="714"/>
      <c r="W18" s="715"/>
      <c r="X18" s="1539"/>
      <c r="Y18" s="3337"/>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7"/>
      <c r="Q19" s="1536" t="str">
        <f>B19</f>
        <v>公共配套设施</v>
      </c>
      <c r="R19" s="714" t="s">
        <v>17</v>
      </c>
      <c r="S19" s="715">
        <f>F19</f>
        <v>100</v>
      </c>
      <c r="T19" s="714" t="s">
        <v>17</v>
      </c>
      <c r="U19" s="715">
        <f>H19</f>
        <v>100</v>
      </c>
      <c r="V19" s="714" t="s">
        <v>17</v>
      </c>
      <c r="W19" s="715">
        <f>J19</f>
        <v>100</v>
      </c>
      <c r="X19" s="1539"/>
      <c r="Y19" s="333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7"/>
      <c r="Q20" s="1536"/>
      <c r="R20" s="714"/>
      <c r="S20" s="715"/>
      <c r="T20" s="714"/>
      <c r="U20" s="715"/>
      <c r="V20" s="714"/>
      <c r="W20" s="715"/>
      <c r="X20" s="1539"/>
      <c r="Y20" s="3337"/>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7"/>
      <c r="Q21" s="1536" t="str">
        <f>B21</f>
        <v>基础设施水平</v>
      </c>
      <c r="R21" s="714" t="s">
        <v>17</v>
      </c>
      <c r="S21" s="715">
        <f>F21</f>
        <v>100</v>
      </c>
      <c r="T21" s="714" t="s">
        <v>17</v>
      </c>
      <c r="U21" s="715">
        <f>H21</f>
        <v>100</v>
      </c>
      <c r="V21" s="714" t="s">
        <v>17</v>
      </c>
      <c r="W21" s="715">
        <f>J21</f>
        <v>100</v>
      </c>
      <c r="X21" s="1539"/>
      <c r="Y21" s="333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7"/>
      <c r="Q22" s="1536"/>
      <c r="R22" s="714"/>
      <c r="S22" s="715"/>
      <c r="T22" s="714"/>
      <c r="U22" s="715"/>
      <c r="V22" s="714"/>
      <c r="W22" s="715"/>
      <c r="X22" s="1539"/>
      <c r="Y22" s="3337"/>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7"/>
      <c r="Q23" s="1536" t="str">
        <f>B23</f>
        <v>环境质量</v>
      </c>
      <c r="R23" s="714" t="s">
        <v>17</v>
      </c>
      <c r="S23" s="715">
        <f>F23</f>
        <v>100</v>
      </c>
      <c r="T23" s="714" t="s">
        <v>17</v>
      </c>
      <c r="U23" s="715">
        <f>H23</f>
        <v>100</v>
      </c>
      <c r="V23" s="714" t="s">
        <v>17</v>
      </c>
      <c r="W23" s="715">
        <f>J23</f>
        <v>100</v>
      </c>
      <c r="X23" s="1539"/>
      <c r="Y23" s="333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7"/>
      <c r="Q24" s="1536"/>
      <c r="R24" s="714"/>
      <c r="S24" s="715"/>
      <c r="T24" s="714"/>
      <c r="U24" s="715"/>
      <c r="V24" s="714"/>
      <c r="W24" s="715"/>
      <c r="X24" s="1539"/>
      <c r="Y24" s="333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7"/>
      <c r="Q25" s="1536">
        <f>B25</f>
        <v>111</v>
      </c>
      <c r="R25" s="714" t="s">
        <v>17</v>
      </c>
      <c r="S25" s="715">
        <f>F25</f>
        <v>100</v>
      </c>
      <c r="T25" s="714" t="s">
        <v>17</v>
      </c>
      <c r="U25" s="715">
        <f>H25</f>
        <v>100</v>
      </c>
      <c r="V25" s="714" t="s">
        <v>17</v>
      </c>
      <c r="W25" s="715">
        <f>J25</f>
        <v>100</v>
      </c>
      <c r="X25" s="1539"/>
      <c r="Y25" s="333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7"/>
      <c r="Q26" s="1536">
        <f t="shared" ref="Q26:Q40" si="11">B26</f>
        <v>111</v>
      </c>
      <c r="R26" s="714" t="s">
        <v>17</v>
      </c>
      <c r="S26" s="715">
        <f>F26</f>
        <v>100</v>
      </c>
      <c r="T26" s="714" t="s">
        <v>17</v>
      </c>
      <c r="U26" s="715">
        <f>H26</f>
        <v>100</v>
      </c>
      <c r="V26" s="714" t="s">
        <v>17</v>
      </c>
      <c r="W26" s="715">
        <f>J26</f>
        <v>100</v>
      </c>
      <c r="X26" s="1539"/>
      <c r="Y26" s="333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7"/>
      <c r="Q27" s="1527">
        <f t="shared" si="11"/>
        <v>111</v>
      </c>
      <c r="R27" s="710" t="s">
        <v>17</v>
      </c>
      <c r="S27" s="711">
        <f>F27</f>
        <v>100</v>
      </c>
      <c r="T27" s="710" t="s">
        <v>17</v>
      </c>
      <c r="U27" s="711">
        <f>H27</f>
        <v>100</v>
      </c>
      <c r="V27" s="710" t="s">
        <v>17</v>
      </c>
      <c r="W27" s="711">
        <f>J27</f>
        <v>100</v>
      </c>
      <c r="X27" s="712"/>
      <c r="Y27" s="333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7"/>
      <c r="Q28" s="1536">
        <f t="shared" si="11"/>
        <v>111</v>
      </c>
      <c r="R28" s="714" t="s">
        <v>17</v>
      </c>
      <c r="S28" s="715">
        <f t="shared" ref="S28:S40" si="12">F28</f>
        <v>100</v>
      </c>
      <c r="T28" s="714" t="s">
        <v>17</v>
      </c>
      <c r="U28" s="715">
        <f t="shared" ref="U28:U40" si="13">H28</f>
        <v>100</v>
      </c>
      <c r="V28" s="714" t="s">
        <v>17</v>
      </c>
      <c r="W28" s="715">
        <f t="shared" ref="W28:W40" si="14">J28</f>
        <v>100</v>
      </c>
      <c r="X28" s="1539"/>
      <c r="Y28" s="3337"/>
      <c r="Z28" s="1540">
        <f t="shared" ref="Z28:Z40" si="15">Q28</f>
        <v>111</v>
      </c>
      <c r="AA28" s="1537">
        <f t="shared" si="3"/>
        <v>1</v>
      </c>
      <c r="AB28" s="1537">
        <f t="shared" si="4"/>
        <v>1</v>
      </c>
      <c r="AC28" s="1537">
        <f t="shared" si="5"/>
        <v>1</v>
      </c>
    </row>
    <row r="29" spans="1:29" ht="29.2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4" t="s">
        <v>2386</v>
      </c>
      <c r="Q29" s="1536" t="str">
        <f t="shared" si="11"/>
        <v>建筑类型</v>
      </c>
      <c r="R29" s="714" t="s">
        <v>17</v>
      </c>
      <c r="S29" s="715">
        <f t="shared" si="12"/>
        <v>100</v>
      </c>
      <c r="T29" s="714" t="s">
        <v>17</v>
      </c>
      <c r="U29" s="715">
        <f t="shared" si="13"/>
        <v>100</v>
      </c>
      <c r="V29" s="714" t="s">
        <v>17</v>
      </c>
      <c r="W29" s="715">
        <f t="shared" si="14"/>
        <v>100</v>
      </c>
      <c r="X29" s="1539"/>
      <c r="Y29" s="3341"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1"/>
      <c r="Q30" s="716" t="str">
        <f t="shared" si="11"/>
        <v>项目建筑规模</v>
      </c>
      <c r="R30" s="717" t="s">
        <v>17</v>
      </c>
      <c r="S30" s="718" t="e">
        <f t="shared" si="12"/>
        <v>#N/A</v>
      </c>
      <c r="T30" s="717" t="s">
        <v>17</v>
      </c>
      <c r="U30" s="718" t="e">
        <f t="shared" si="13"/>
        <v>#N/A</v>
      </c>
      <c r="V30" s="717" t="s">
        <v>17</v>
      </c>
      <c r="W30" s="718" t="e">
        <f t="shared" si="14"/>
        <v>#N/A</v>
      </c>
      <c r="X30" s="719"/>
      <c r="Y30" s="3341"/>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1"/>
      <c r="Q31" s="1536" t="str">
        <f t="shared" si="11"/>
        <v>建筑结构</v>
      </c>
      <c r="R31" s="714" t="s">
        <v>17</v>
      </c>
      <c r="S31" s="715">
        <f t="shared" si="12"/>
        <v>100</v>
      </c>
      <c r="T31" s="714" t="s">
        <v>17</v>
      </c>
      <c r="U31" s="715">
        <f t="shared" si="13"/>
        <v>100</v>
      </c>
      <c r="V31" s="714" t="s">
        <v>17</v>
      </c>
      <c r="W31" s="715">
        <f t="shared" si="14"/>
        <v>100</v>
      </c>
      <c r="X31" s="1539"/>
      <c r="Y31" s="3341"/>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1"/>
      <c r="Q32" s="1536" t="str">
        <f t="shared" si="11"/>
        <v>公共部分装修</v>
      </c>
      <c r="R32" s="714" t="s">
        <v>17</v>
      </c>
      <c r="S32" s="715">
        <f t="shared" si="12"/>
        <v>100</v>
      </c>
      <c r="T32" s="714" t="s">
        <v>17</v>
      </c>
      <c r="U32" s="715">
        <f t="shared" si="13"/>
        <v>100</v>
      </c>
      <c r="V32" s="714" t="s">
        <v>17</v>
      </c>
      <c r="W32" s="715">
        <f t="shared" si="14"/>
        <v>100</v>
      </c>
      <c r="X32" s="1539"/>
      <c r="Y32" s="3341"/>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1"/>
      <c r="Q33" s="1536" t="str">
        <f t="shared" si="11"/>
        <v>成新度</v>
      </c>
      <c r="R33" s="714" t="s">
        <v>17</v>
      </c>
      <c r="S33" s="715" t="e">
        <f t="shared" si="12"/>
        <v>#N/A</v>
      </c>
      <c r="T33" s="714" t="s">
        <v>17</v>
      </c>
      <c r="U33" s="715" t="e">
        <f t="shared" si="13"/>
        <v>#N/A</v>
      </c>
      <c r="V33" s="714" t="s">
        <v>17</v>
      </c>
      <c r="W33" s="715" t="e">
        <f t="shared" si="14"/>
        <v>#N/A</v>
      </c>
      <c r="X33" s="1539"/>
      <c r="Y33" s="3341"/>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1"/>
      <c r="Q34" s="1527" t="str">
        <f t="shared" si="11"/>
        <v>物业管理</v>
      </c>
      <c r="R34" s="710" t="s">
        <v>17</v>
      </c>
      <c r="S34" s="711">
        <f t="shared" si="12"/>
        <v>100</v>
      </c>
      <c r="T34" s="710" t="s">
        <v>17</v>
      </c>
      <c r="U34" s="711">
        <f t="shared" si="13"/>
        <v>100</v>
      </c>
      <c r="V34" s="710" t="s">
        <v>17</v>
      </c>
      <c r="W34" s="711">
        <f t="shared" si="14"/>
        <v>100</v>
      </c>
      <c r="X34" s="712"/>
      <c r="Y34" s="334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1" t="s">
        <v>2386</v>
      </c>
      <c r="Q35" s="1536" t="str">
        <f t="shared" si="11"/>
        <v>市政基础设施</v>
      </c>
      <c r="R35" s="714" t="s">
        <v>17</v>
      </c>
      <c r="S35" s="715">
        <f t="shared" si="12"/>
        <v>100</v>
      </c>
      <c r="T35" s="714" t="s">
        <v>17</v>
      </c>
      <c r="U35" s="715">
        <f t="shared" si="13"/>
        <v>100</v>
      </c>
      <c r="V35" s="714" t="s">
        <v>17</v>
      </c>
      <c r="W35" s="715">
        <f t="shared" si="14"/>
        <v>100</v>
      </c>
      <c r="X35" s="1539"/>
      <c r="Y35" s="3341"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1"/>
      <c r="Q36" s="1536" t="str">
        <f t="shared" si="11"/>
        <v>内部装修</v>
      </c>
      <c r="R36" s="714" t="s">
        <v>17</v>
      </c>
      <c r="S36" s="715">
        <f t="shared" si="12"/>
        <v>100</v>
      </c>
      <c r="T36" s="714" t="s">
        <v>17</v>
      </c>
      <c r="U36" s="715">
        <f t="shared" si="13"/>
        <v>100</v>
      </c>
      <c r="V36" s="714" t="s">
        <v>17</v>
      </c>
      <c r="W36" s="715">
        <f t="shared" si="14"/>
        <v>100</v>
      </c>
      <c r="X36" s="1539"/>
      <c r="Y36" s="3341"/>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1"/>
      <c r="Q37" s="1536" t="str">
        <f t="shared" si="11"/>
        <v>内部装修状况</v>
      </c>
      <c r="R37" s="714" t="s">
        <v>17</v>
      </c>
      <c r="S37" s="715">
        <f t="shared" si="12"/>
        <v>100</v>
      </c>
      <c r="T37" s="714" t="s">
        <v>17</v>
      </c>
      <c r="U37" s="715">
        <f t="shared" si="13"/>
        <v>100</v>
      </c>
      <c r="V37" s="714" t="s">
        <v>17</v>
      </c>
      <c r="W37" s="715">
        <f t="shared" si="14"/>
        <v>100</v>
      </c>
      <c r="X37" s="1539"/>
      <c r="Y37" s="334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1"/>
      <c r="Q38" s="716">
        <f t="shared" si="11"/>
        <v>111</v>
      </c>
      <c r="R38" s="717" t="s">
        <v>17</v>
      </c>
      <c r="S38" s="718">
        <f t="shared" si="12"/>
        <v>100</v>
      </c>
      <c r="T38" s="717" t="s">
        <v>17</v>
      </c>
      <c r="U38" s="718">
        <f t="shared" si="13"/>
        <v>100</v>
      </c>
      <c r="V38" s="717" t="s">
        <v>17</v>
      </c>
      <c r="W38" s="718">
        <f t="shared" si="14"/>
        <v>100</v>
      </c>
      <c r="X38" s="719"/>
      <c r="Y38" s="334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1"/>
      <c r="Q39" s="1536">
        <f t="shared" si="11"/>
        <v>111</v>
      </c>
      <c r="R39" s="714" t="s">
        <v>17</v>
      </c>
      <c r="S39" s="715">
        <f t="shared" si="12"/>
        <v>100</v>
      </c>
      <c r="T39" s="714" t="s">
        <v>17</v>
      </c>
      <c r="U39" s="715">
        <f t="shared" si="13"/>
        <v>100</v>
      </c>
      <c r="V39" s="714" t="s">
        <v>17</v>
      </c>
      <c r="W39" s="715">
        <f t="shared" si="14"/>
        <v>100</v>
      </c>
      <c r="X39" s="1539"/>
      <c r="Y39" s="334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2"/>
      <c r="Q40" s="1536">
        <f t="shared" si="11"/>
        <v>111</v>
      </c>
      <c r="R40" s="714" t="s">
        <v>17</v>
      </c>
      <c r="S40" s="715">
        <f t="shared" si="12"/>
        <v>100</v>
      </c>
      <c r="T40" s="714" t="s">
        <v>17</v>
      </c>
      <c r="U40" s="715">
        <f t="shared" si="13"/>
        <v>100</v>
      </c>
      <c r="V40" s="714" t="s">
        <v>17</v>
      </c>
      <c r="W40" s="715">
        <f t="shared" si="14"/>
        <v>100</v>
      </c>
      <c r="X40" s="1539"/>
      <c r="Y40" s="3342"/>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34" t="str">
        <f>A41</f>
        <v>成交单价（元/平方米）</v>
      </c>
      <c r="Q41" s="3334"/>
      <c r="R41" s="3335">
        <f>E41</f>
        <v>0</v>
      </c>
      <c r="S41" s="3335"/>
      <c r="T41" s="3335">
        <f>G41</f>
        <v>0</v>
      </c>
      <c r="U41" s="3335"/>
      <c r="V41" s="3335">
        <f>I41</f>
        <v>0</v>
      </c>
      <c r="W41" s="3335"/>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31" t="str">
        <f>A43</f>
        <v>估价对象XX用房的比较价值（楼面单价，元/平方米）</v>
      </c>
      <c r="Q43" s="3332"/>
      <c r="R43" s="3333" t="e">
        <f>IF(F1="售价",ROUND(IF(D42="简单平均",AVERAGE(R42:V42),R42*F42+T42*H42+V42*J42),0),ROUND(IF(D42="简单平均",AVERAGE(R42:V42),R42*F42+T42*H42+V42*J42),1))</f>
        <v>#DIV/0!</v>
      </c>
      <c r="S43" s="3333"/>
      <c r="T43" s="3333"/>
      <c r="U43" s="3333"/>
      <c r="V43" s="3333"/>
      <c r="W43" s="333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2021-10</v>
      </c>
      <c r="D52" s="1347">
        <f>EDATE(C52,-1)</f>
        <v>44440</v>
      </c>
      <c r="E52" s="1347">
        <f t="shared" ref="E52:O52" si="16">EDATE(D52,-1)</f>
        <v>44409</v>
      </c>
      <c r="F52" s="1347">
        <f t="shared" si="16"/>
        <v>44378</v>
      </c>
      <c r="G52" s="1347">
        <f t="shared" si="16"/>
        <v>44348</v>
      </c>
      <c r="H52" s="1347">
        <f t="shared" si="16"/>
        <v>44317</v>
      </c>
      <c r="I52" s="1347">
        <f t="shared" si="16"/>
        <v>44287</v>
      </c>
      <c r="J52" s="1347">
        <f t="shared" si="16"/>
        <v>44256</v>
      </c>
      <c r="K52" s="1347">
        <f t="shared" si="16"/>
        <v>44228</v>
      </c>
      <c r="L52" s="1347">
        <f t="shared" si="16"/>
        <v>44197</v>
      </c>
      <c r="M52" s="1347">
        <f t="shared" si="16"/>
        <v>44166</v>
      </c>
      <c r="N52" s="1347">
        <f t="shared" si="16"/>
        <v>44136</v>
      </c>
      <c r="O52" s="1347">
        <f t="shared" si="16"/>
        <v>44105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12" t="s">
        <v>2367</v>
      </c>
      <c r="D6" s="3313"/>
      <c r="E6" s="3314" t="s">
        <v>2367</v>
      </c>
      <c r="F6" s="3315"/>
      <c r="G6" s="3312" t="s">
        <v>2367</v>
      </c>
      <c r="H6" s="3313"/>
      <c r="I6" s="3312" t="s">
        <v>2367</v>
      </c>
      <c r="J6" s="3313"/>
      <c r="K6" s="567" t="s">
        <v>2368</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02" t="s">
        <v>2370</v>
      </c>
      <c r="Q7" s="3330"/>
      <c r="R7" s="710" t="s">
        <v>17</v>
      </c>
      <c r="S7" s="711">
        <f t="shared" ref="S7:S14" si="0">F7</f>
        <v>0</v>
      </c>
      <c r="T7" s="710" t="s">
        <v>17</v>
      </c>
      <c r="U7" s="711">
        <f t="shared" ref="U7:U14" si="1">H7</f>
        <v>0</v>
      </c>
      <c r="V7" s="710" t="s">
        <v>17</v>
      </c>
      <c r="W7" s="711">
        <f t="shared" ref="W7:W14" si="2">J7</f>
        <v>0</v>
      </c>
      <c r="X7" s="712"/>
      <c r="Y7" s="3302" t="s">
        <v>2370</v>
      </c>
      <c r="Z7" s="330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34" t="s">
        <v>2376</v>
      </c>
      <c r="Q9" s="1527" t="str">
        <f t="shared" ref="Q9:Q14" si="6">B9</f>
        <v>用途</v>
      </c>
      <c r="R9" s="710" t="s">
        <v>17</v>
      </c>
      <c r="S9" s="711">
        <f t="shared" si="0"/>
        <v>100</v>
      </c>
      <c r="T9" s="710" t="s">
        <v>17</v>
      </c>
      <c r="U9" s="711">
        <f t="shared" si="1"/>
        <v>100</v>
      </c>
      <c r="V9" s="710" t="s">
        <v>17</v>
      </c>
      <c r="W9" s="711">
        <f t="shared" si="2"/>
        <v>100</v>
      </c>
      <c r="X9" s="712"/>
      <c r="Y9" s="324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34"/>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34"/>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36" t="s">
        <v>2381</v>
      </c>
      <c r="Q14" s="1536" t="str">
        <f t="shared" si="6"/>
        <v>交通便捷度</v>
      </c>
      <c r="R14" s="714" t="s">
        <v>17</v>
      </c>
      <c r="S14" s="715">
        <f t="shared" si="0"/>
        <v>100</v>
      </c>
      <c r="T14" s="714" t="s">
        <v>17</v>
      </c>
      <c r="U14" s="715">
        <f t="shared" si="1"/>
        <v>100</v>
      </c>
      <c r="V14" s="714" t="s">
        <v>17</v>
      </c>
      <c r="W14" s="715">
        <f t="shared" si="2"/>
        <v>100</v>
      </c>
      <c r="X14" s="1539"/>
      <c r="Y14" s="3336"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37"/>
      <c r="Q15" s="1536"/>
      <c r="R15" s="714"/>
      <c r="S15" s="715"/>
      <c r="T15" s="714"/>
      <c r="U15" s="715"/>
      <c r="V15" s="714"/>
      <c r="W15" s="715"/>
      <c r="X15" s="1539"/>
      <c r="Y15" s="3337"/>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37"/>
      <c r="Q16" s="1536" t="str">
        <f>B16</f>
        <v>公共配套设施</v>
      </c>
      <c r="R16" s="714" t="s">
        <v>17</v>
      </c>
      <c r="S16" s="715">
        <f>F16</f>
        <v>100</v>
      </c>
      <c r="T16" s="714" t="s">
        <v>17</v>
      </c>
      <c r="U16" s="715">
        <f>H16</f>
        <v>100</v>
      </c>
      <c r="V16" s="714" t="s">
        <v>17</v>
      </c>
      <c r="W16" s="715">
        <f>J16</f>
        <v>100</v>
      </c>
      <c r="X16" s="1539"/>
      <c r="Y16" s="333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37"/>
      <c r="Q17" s="1536"/>
      <c r="R17" s="714"/>
      <c r="S17" s="715"/>
      <c r="T17" s="714"/>
      <c r="U17" s="715"/>
      <c r="V17" s="714"/>
      <c r="W17" s="715"/>
      <c r="X17" s="1539"/>
      <c r="Y17" s="3337"/>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37"/>
      <c r="Q19" s="1536"/>
      <c r="R19" s="714"/>
      <c r="S19" s="715"/>
      <c r="T19" s="714"/>
      <c r="U19" s="715"/>
      <c r="V19" s="714"/>
      <c r="W19" s="715"/>
      <c r="X19" s="1539"/>
      <c r="Y19" s="3337"/>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37"/>
      <c r="Q20" s="1536" t="str">
        <f>B20</f>
        <v>自然及人文环境</v>
      </c>
      <c r="R20" s="714" t="s">
        <v>17</v>
      </c>
      <c r="S20" s="715">
        <f>F20</f>
        <v>100</v>
      </c>
      <c r="T20" s="714" t="s">
        <v>17</v>
      </c>
      <c r="U20" s="715">
        <f>H20</f>
        <v>100</v>
      </c>
      <c r="V20" s="714" t="s">
        <v>17</v>
      </c>
      <c r="W20" s="715">
        <f>J20</f>
        <v>100</v>
      </c>
      <c r="X20" s="1539"/>
      <c r="Y20" s="333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37"/>
      <c r="Q21" s="1536"/>
      <c r="R21" s="714"/>
      <c r="S21" s="715"/>
      <c r="T21" s="714"/>
      <c r="U21" s="715"/>
      <c r="V21" s="714"/>
      <c r="W21" s="715"/>
      <c r="X21" s="1539"/>
      <c r="Y21" s="3337"/>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37"/>
      <c r="Q24" s="1536">
        <f t="shared" ref="Q24:Q36"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9.2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6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1"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41"/>
      <c r="Q27" s="716" t="str">
        <f t="shared" si="11"/>
        <v>项目停车位配比</v>
      </c>
      <c r="R27" s="717" t="s">
        <v>17</v>
      </c>
      <c r="S27" s="718">
        <f t="shared" si="12"/>
        <v>100</v>
      </c>
      <c r="T27" s="717" t="s">
        <v>17</v>
      </c>
      <c r="U27" s="718">
        <f t="shared" si="13"/>
        <v>100</v>
      </c>
      <c r="V27" s="717" t="s">
        <v>17</v>
      </c>
      <c r="W27" s="718">
        <f t="shared" si="14"/>
        <v>100</v>
      </c>
      <c r="X27" s="719"/>
      <c r="Y27" s="3341"/>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41"/>
      <c r="Q28" s="1536" t="str">
        <f t="shared" si="11"/>
        <v>公共部分装修</v>
      </c>
      <c r="R28" s="714" t="s">
        <v>17</v>
      </c>
      <c r="S28" s="715">
        <f t="shared" si="12"/>
        <v>100</v>
      </c>
      <c r="T28" s="714" t="s">
        <v>17</v>
      </c>
      <c r="U28" s="715">
        <f t="shared" si="13"/>
        <v>100</v>
      </c>
      <c r="V28" s="714" t="s">
        <v>17</v>
      </c>
      <c r="W28" s="715">
        <f t="shared" si="14"/>
        <v>100</v>
      </c>
      <c r="X28" s="1539"/>
      <c r="Y28" s="3341"/>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41"/>
      <c r="Q29" s="1536" t="str">
        <f t="shared" si="11"/>
        <v>成新率</v>
      </c>
      <c r="R29" s="714" t="s">
        <v>17</v>
      </c>
      <c r="S29" s="715" t="e">
        <f t="shared" si="12"/>
        <v>#N/A</v>
      </c>
      <c r="T29" s="714" t="s">
        <v>17</v>
      </c>
      <c r="U29" s="715" t="e">
        <f t="shared" si="13"/>
        <v>#N/A</v>
      </c>
      <c r="V29" s="714" t="s">
        <v>17</v>
      </c>
      <c r="W29" s="715" t="e">
        <f t="shared" si="14"/>
        <v>#N/A</v>
      </c>
      <c r="X29" s="1539"/>
      <c r="Y29" s="3341"/>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41"/>
      <c r="Q30" s="1536" t="str">
        <f t="shared" si="11"/>
        <v>物业等级</v>
      </c>
      <c r="R30" s="714" t="s">
        <v>17</v>
      </c>
      <c r="S30" s="715">
        <f t="shared" si="12"/>
        <v>100</v>
      </c>
      <c r="T30" s="714" t="s">
        <v>17</v>
      </c>
      <c r="U30" s="715">
        <f t="shared" si="13"/>
        <v>100</v>
      </c>
      <c r="V30" s="714" t="s">
        <v>17</v>
      </c>
      <c r="W30" s="715">
        <f t="shared" si="14"/>
        <v>100</v>
      </c>
      <c r="X30" s="1539"/>
      <c r="Y30" s="3341"/>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41"/>
      <c r="Q31" s="1527" t="str">
        <f t="shared" si="11"/>
        <v>停车位面积</v>
      </c>
      <c r="R31" s="710" t="s">
        <v>17</v>
      </c>
      <c r="S31" s="711" t="e">
        <f t="shared" si="12"/>
        <v>#N/A</v>
      </c>
      <c r="T31" s="710" t="s">
        <v>17</v>
      </c>
      <c r="U31" s="711" t="e">
        <f t="shared" si="13"/>
        <v>#N/A</v>
      </c>
      <c r="V31" s="710" t="s">
        <v>17</v>
      </c>
      <c r="W31" s="711" t="e">
        <f t="shared" si="14"/>
        <v>#N/A</v>
      </c>
      <c r="X31" s="712"/>
      <c r="Y31" s="334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41" t="s">
        <v>2386</v>
      </c>
      <c r="Q32" s="1536" t="str">
        <f t="shared" si="11"/>
        <v>车位类型</v>
      </c>
      <c r="R32" s="714" t="s">
        <v>17</v>
      </c>
      <c r="S32" s="715">
        <f t="shared" si="12"/>
        <v>100</v>
      </c>
      <c r="T32" s="714" t="s">
        <v>17</v>
      </c>
      <c r="U32" s="715">
        <f t="shared" si="13"/>
        <v>100</v>
      </c>
      <c r="V32" s="714" t="s">
        <v>17</v>
      </c>
      <c r="W32" s="715">
        <f t="shared" si="14"/>
        <v>100</v>
      </c>
      <c r="X32" s="1539"/>
      <c r="Y32" s="3341"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41"/>
      <c r="Q33" s="1536" t="str">
        <f t="shared" si="11"/>
        <v>是否直接入户</v>
      </c>
      <c r="R33" s="714" t="s">
        <v>17</v>
      </c>
      <c r="S33" s="715">
        <f t="shared" si="12"/>
        <v>100</v>
      </c>
      <c r="T33" s="714" t="s">
        <v>17</v>
      </c>
      <c r="U33" s="715">
        <f t="shared" si="13"/>
        <v>100</v>
      </c>
      <c r="V33" s="714" t="s">
        <v>17</v>
      </c>
      <c r="W33" s="715">
        <f t="shared" si="14"/>
        <v>100</v>
      </c>
      <c r="X33" s="1539"/>
      <c r="Y33" s="334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41"/>
      <c r="Q35" s="716">
        <f t="shared" si="11"/>
        <v>111</v>
      </c>
      <c r="R35" s="717" t="s">
        <v>17</v>
      </c>
      <c r="S35" s="718">
        <f t="shared" si="12"/>
        <v>100</v>
      </c>
      <c r="T35" s="717" t="s">
        <v>17</v>
      </c>
      <c r="U35" s="718">
        <f t="shared" si="13"/>
        <v>100</v>
      </c>
      <c r="V35" s="717" t="s">
        <v>17</v>
      </c>
      <c r="W35" s="718">
        <f t="shared" si="14"/>
        <v>100</v>
      </c>
      <c r="X35" s="719"/>
      <c r="Y35" s="334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41"/>
      <c r="Q36" s="1536">
        <f t="shared" si="11"/>
        <v>111</v>
      </c>
      <c r="R36" s="714" t="s">
        <v>17</v>
      </c>
      <c r="S36" s="715">
        <f t="shared" si="12"/>
        <v>100</v>
      </c>
      <c r="T36" s="714" t="s">
        <v>17</v>
      </c>
      <c r="U36" s="715">
        <f t="shared" si="13"/>
        <v>100</v>
      </c>
      <c r="V36" s="714" t="s">
        <v>17</v>
      </c>
      <c r="W36" s="715">
        <f t="shared" si="14"/>
        <v>100</v>
      </c>
      <c r="X36" s="1539"/>
      <c r="Y36" s="3341"/>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34" t="str">
        <f>A37</f>
        <v>成交单价</v>
      </c>
      <c r="Q37" s="3334"/>
      <c r="R37" s="3335">
        <f>E37</f>
        <v>0</v>
      </c>
      <c r="S37" s="3335"/>
      <c r="T37" s="3335">
        <f>G37</f>
        <v>0</v>
      </c>
      <c r="U37" s="3335"/>
      <c r="V37" s="3335">
        <f>I37</f>
        <v>0</v>
      </c>
      <c r="W37" s="3335"/>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31" t="str">
        <f>A39</f>
        <v>估价对象XX用房的比较价值（楼面单价，元/平方米）</v>
      </c>
      <c r="Q39" s="3332"/>
      <c r="R39" s="3365" t="e">
        <f>IF(F1="售价",ROUND(IF(D38="简单平均",AVERAGE(R38:W38),R38*F38+T38*H38+V38*J38),0),ROUND(IF(D38="简单平均",AVERAGE(R38:V38),R38*F38+T38*H38+V38*J38),1))</f>
        <v>#DIV/0!</v>
      </c>
      <c r="S39" s="3365"/>
      <c r="T39" s="3365"/>
      <c r="U39" s="3365"/>
      <c r="V39" s="3365"/>
      <c r="W39" s="3365"/>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2021-10</v>
      </c>
      <c r="D48" s="1347">
        <f>EDATE(C48,-1)</f>
        <v>44440</v>
      </c>
      <c r="E48" s="1347">
        <f t="shared" ref="E48:O48" si="16">EDATE(D48,-1)</f>
        <v>44409</v>
      </c>
      <c r="F48" s="1347">
        <f t="shared" si="16"/>
        <v>44378</v>
      </c>
      <c r="G48" s="1347">
        <f t="shared" si="16"/>
        <v>44348</v>
      </c>
      <c r="H48" s="1347">
        <f t="shared" si="16"/>
        <v>44317</v>
      </c>
      <c r="I48" s="1347">
        <f t="shared" si="16"/>
        <v>44287</v>
      </c>
      <c r="J48" s="1347">
        <f t="shared" si="16"/>
        <v>44256</v>
      </c>
      <c r="K48" s="1347">
        <f t="shared" si="16"/>
        <v>44228</v>
      </c>
      <c r="L48" s="1347">
        <f t="shared" si="16"/>
        <v>44197</v>
      </c>
      <c r="M48" s="1347">
        <f t="shared" si="16"/>
        <v>44166</v>
      </c>
      <c r="N48" s="1347">
        <f t="shared" si="16"/>
        <v>44136</v>
      </c>
      <c r="O48" s="1347">
        <f t="shared" si="16"/>
        <v>44105</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估价对象为北京市房地产，为所有。根据《国有土地使用证》[]，估价对象（分摊）出让国有建设用地使用权面积为1510.18平方米，建筑面积为6416.15平方米。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估价对象为北京市房地产,属开发建设的办公项目，该项目尚在开发建设中。根据《国有土地使用证》[]，估价对象（分摊）出让国有建设用地使用权面积为1510.18平方米，规划建筑面积为6416.15平方米。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2021年10月21日（评估专业人员实地查勘之日）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本次评估采用的主估价方法为收益法和比较法。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12" t="s">
        <v>2367</v>
      </c>
      <c r="D6" s="3313"/>
      <c r="E6" s="3314" t="s">
        <v>2367</v>
      </c>
      <c r="F6" s="3315"/>
      <c r="G6" s="3312" t="s">
        <v>2367</v>
      </c>
      <c r="H6" s="3313"/>
      <c r="I6" s="3312" t="s">
        <v>2367</v>
      </c>
      <c r="J6" s="3313"/>
      <c r="K6" s="567" t="s">
        <v>2368</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02" t="s">
        <v>2370</v>
      </c>
      <c r="Q7" s="3330"/>
      <c r="R7" s="710" t="s">
        <v>17</v>
      </c>
      <c r="S7" s="711">
        <f t="shared" ref="S7:S14" si="0">F7</f>
        <v>0</v>
      </c>
      <c r="T7" s="710" t="s">
        <v>17</v>
      </c>
      <c r="U7" s="711">
        <f t="shared" ref="U7:U14" si="1">H7</f>
        <v>0</v>
      </c>
      <c r="V7" s="710" t="s">
        <v>17</v>
      </c>
      <c r="W7" s="711">
        <f t="shared" ref="W7:W14" si="2">J7</f>
        <v>0</v>
      </c>
      <c r="X7" s="712"/>
      <c r="Y7" s="3302" t="s">
        <v>2370</v>
      </c>
      <c r="Z7" s="330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34" t="s">
        <v>2376</v>
      </c>
      <c r="Q9" s="1527" t="str">
        <f t="shared" ref="Q9:Q14" si="6">B9</f>
        <v>用途</v>
      </c>
      <c r="R9" s="710" t="s">
        <v>17</v>
      </c>
      <c r="S9" s="711">
        <f t="shared" si="0"/>
        <v>100</v>
      </c>
      <c r="T9" s="710" t="s">
        <v>17</v>
      </c>
      <c r="U9" s="711">
        <f t="shared" si="1"/>
        <v>100</v>
      </c>
      <c r="V9" s="710" t="s">
        <v>17</v>
      </c>
      <c r="W9" s="711">
        <f t="shared" si="2"/>
        <v>100</v>
      </c>
      <c r="X9" s="712"/>
      <c r="Y9" s="324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34"/>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34"/>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36" t="s">
        <v>2381</v>
      </c>
      <c r="Q14" s="1536" t="str">
        <f t="shared" si="6"/>
        <v>交通便捷度</v>
      </c>
      <c r="R14" s="714" t="s">
        <v>17</v>
      </c>
      <c r="S14" s="715">
        <f t="shared" si="0"/>
        <v>100</v>
      </c>
      <c r="T14" s="714" t="s">
        <v>17</v>
      </c>
      <c r="U14" s="715">
        <f t="shared" si="1"/>
        <v>100</v>
      </c>
      <c r="V14" s="714" t="s">
        <v>17</v>
      </c>
      <c r="W14" s="715">
        <f t="shared" si="2"/>
        <v>100</v>
      </c>
      <c r="X14" s="1539"/>
      <c r="Y14" s="3336"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37"/>
      <c r="Q15" s="1536"/>
      <c r="R15" s="714"/>
      <c r="S15" s="715"/>
      <c r="T15" s="714"/>
      <c r="U15" s="715"/>
      <c r="V15" s="714"/>
      <c r="W15" s="715"/>
      <c r="X15" s="1539"/>
      <c r="Y15" s="3337"/>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37"/>
      <c r="Q16" s="1536" t="str">
        <f>B16</f>
        <v>公共配套设施</v>
      </c>
      <c r="R16" s="714" t="s">
        <v>17</v>
      </c>
      <c r="S16" s="715">
        <f>F16</f>
        <v>100</v>
      </c>
      <c r="T16" s="714" t="s">
        <v>17</v>
      </c>
      <c r="U16" s="715">
        <f>H16</f>
        <v>100</v>
      </c>
      <c r="V16" s="714" t="s">
        <v>17</v>
      </c>
      <c r="W16" s="715">
        <f>J16</f>
        <v>100</v>
      </c>
      <c r="X16" s="1539"/>
      <c r="Y16" s="333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37"/>
      <c r="Q17" s="1536"/>
      <c r="R17" s="714"/>
      <c r="S17" s="715"/>
      <c r="T17" s="714"/>
      <c r="U17" s="715"/>
      <c r="V17" s="714"/>
      <c r="W17" s="715"/>
      <c r="X17" s="1539"/>
      <c r="Y17" s="3337"/>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37"/>
      <c r="Q18" s="1536" t="str">
        <f>B18</f>
        <v>基础设施水平</v>
      </c>
      <c r="R18" s="714" t="s">
        <v>17</v>
      </c>
      <c r="S18" s="715">
        <f>F18</f>
        <v>100</v>
      </c>
      <c r="T18" s="714" t="s">
        <v>17</v>
      </c>
      <c r="U18" s="715">
        <f>H18</f>
        <v>100</v>
      </c>
      <c r="V18" s="714" t="s">
        <v>17</v>
      </c>
      <c r="W18" s="715">
        <f>J18</f>
        <v>100</v>
      </c>
      <c r="X18" s="1539"/>
      <c r="Y18" s="333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37"/>
      <c r="Q19" s="1536"/>
      <c r="R19" s="714"/>
      <c r="S19" s="715"/>
      <c r="T19" s="714"/>
      <c r="U19" s="715"/>
      <c r="V19" s="714"/>
      <c r="W19" s="715"/>
      <c r="X19" s="1539"/>
      <c r="Y19" s="3337"/>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37"/>
      <c r="Q20" s="1536" t="str">
        <f>B20</f>
        <v>自然及人文环境</v>
      </c>
      <c r="R20" s="714" t="s">
        <v>17</v>
      </c>
      <c r="S20" s="715">
        <f>F20</f>
        <v>100</v>
      </c>
      <c r="T20" s="714" t="s">
        <v>17</v>
      </c>
      <c r="U20" s="715">
        <f>H20</f>
        <v>100</v>
      </c>
      <c r="V20" s="714" t="s">
        <v>17</v>
      </c>
      <c r="W20" s="715">
        <f>J20</f>
        <v>100</v>
      </c>
      <c r="X20" s="1539"/>
      <c r="Y20" s="333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37"/>
      <c r="Q21" s="1536"/>
      <c r="R21" s="714"/>
      <c r="S21" s="715"/>
      <c r="T21" s="714"/>
      <c r="U21" s="715"/>
      <c r="V21" s="714"/>
      <c r="W21" s="715"/>
      <c r="X21" s="1539"/>
      <c r="Y21" s="3337"/>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37"/>
      <c r="Q22" s="1536" t="str">
        <f>B22</f>
        <v>楼层</v>
      </c>
      <c r="R22" s="714" t="s">
        <v>17</v>
      </c>
      <c r="S22" s="715">
        <f>F22</f>
        <v>100</v>
      </c>
      <c r="T22" s="714" t="s">
        <v>17</v>
      </c>
      <c r="U22" s="715">
        <f>H22</f>
        <v>100</v>
      </c>
      <c r="V22" s="714" t="s">
        <v>17</v>
      </c>
      <c r="W22" s="715">
        <f>J22</f>
        <v>100</v>
      </c>
      <c r="X22" s="1539"/>
      <c r="Y22" s="333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37"/>
      <c r="Q23" s="1536">
        <f>B23</f>
        <v>111</v>
      </c>
      <c r="R23" s="714" t="s">
        <v>17</v>
      </c>
      <c r="S23" s="715">
        <f>F23</f>
        <v>100</v>
      </c>
      <c r="T23" s="714" t="s">
        <v>17</v>
      </c>
      <c r="U23" s="715">
        <f>H23</f>
        <v>100</v>
      </c>
      <c r="V23" s="714" t="s">
        <v>17</v>
      </c>
      <c r="W23" s="715">
        <f>J23</f>
        <v>100</v>
      </c>
      <c r="X23" s="1539"/>
      <c r="Y23" s="333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37"/>
      <c r="Q24" s="1536">
        <f t="shared" ref="Q24:Q34" si="11">B24</f>
        <v>111</v>
      </c>
      <c r="R24" s="714" t="s">
        <v>17</v>
      </c>
      <c r="S24" s="715">
        <f>F24</f>
        <v>100</v>
      </c>
      <c r="T24" s="714" t="s">
        <v>17</v>
      </c>
      <c r="U24" s="715">
        <f>H24</f>
        <v>100</v>
      </c>
      <c r="V24" s="714" t="s">
        <v>17</v>
      </c>
      <c r="W24" s="715">
        <f>J24</f>
        <v>100</v>
      </c>
      <c r="X24" s="1539"/>
      <c r="Y24" s="333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37"/>
      <c r="Q25" s="1527">
        <f t="shared" si="11"/>
        <v>111</v>
      </c>
      <c r="R25" s="710" t="s">
        <v>17</v>
      </c>
      <c r="S25" s="711">
        <f>F25</f>
        <v>100</v>
      </c>
      <c r="T25" s="710" t="s">
        <v>17</v>
      </c>
      <c r="U25" s="711">
        <f>H25</f>
        <v>100</v>
      </c>
      <c r="V25" s="710" t="s">
        <v>17</v>
      </c>
      <c r="W25" s="711">
        <f>J25</f>
        <v>100</v>
      </c>
      <c r="X25" s="712"/>
      <c r="Y25" s="3337"/>
      <c r="Z25" s="55">
        <f>Q25</f>
        <v>111</v>
      </c>
      <c r="AA25" s="1537">
        <f>D25/F25</f>
        <v>1</v>
      </c>
      <c r="AB25" s="1537">
        <f>D25/H25</f>
        <v>1</v>
      </c>
      <c r="AC25" s="1537">
        <f>D25/J25</f>
        <v>1</v>
      </c>
    </row>
    <row r="26" spans="1:29" ht="29.2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6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1"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41"/>
      <c r="Q27" s="716" t="str">
        <f t="shared" si="11"/>
        <v>成新率</v>
      </c>
      <c r="R27" s="717" t="s">
        <v>17</v>
      </c>
      <c r="S27" s="718" t="e">
        <f t="shared" si="12"/>
        <v>#N/A</v>
      </c>
      <c r="T27" s="717" t="s">
        <v>17</v>
      </c>
      <c r="U27" s="718" t="e">
        <f t="shared" si="13"/>
        <v>#N/A</v>
      </c>
      <c r="V27" s="717" t="s">
        <v>17</v>
      </c>
      <c r="W27" s="718" t="e">
        <f t="shared" si="14"/>
        <v>#N/A</v>
      </c>
      <c r="X27" s="719"/>
      <c r="Y27" s="3341"/>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41"/>
      <c r="Q28" s="1536" t="str">
        <f t="shared" si="11"/>
        <v>物业等级</v>
      </c>
      <c r="R28" s="714" t="s">
        <v>17</v>
      </c>
      <c r="S28" s="715">
        <f t="shared" si="12"/>
        <v>100</v>
      </c>
      <c r="T28" s="714" t="s">
        <v>17</v>
      </c>
      <c r="U28" s="715">
        <f t="shared" si="13"/>
        <v>100</v>
      </c>
      <c r="V28" s="714" t="s">
        <v>17</v>
      </c>
      <c r="W28" s="715">
        <f t="shared" si="14"/>
        <v>100</v>
      </c>
      <c r="X28" s="1539"/>
      <c r="Y28" s="3341"/>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41"/>
      <c r="Q29" s="1536" t="str">
        <f t="shared" si="11"/>
        <v>有无电梯</v>
      </c>
      <c r="R29" s="714" t="s">
        <v>17</v>
      </c>
      <c r="S29" s="715">
        <f t="shared" si="12"/>
        <v>100</v>
      </c>
      <c r="T29" s="714" t="s">
        <v>17</v>
      </c>
      <c r="U29" s="715">
        <f t="shared" si="13"/>
        <v>100</v>
      </c>
      <c r="V29" s="714" t="s">
        <v>17</v>
      </c>
      <c r="W29" s="715">
        <f t="shared" si="14"/>
        <v>100</v>
      </c>
      <c r="X29" s="1539"/>
      <c r="Y29" s="3341"/>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41"/>
      <c r="Q30" s="1536" t="str">
        <f t="shared" si="11"/>
        <v>建筑面积</v>
      </c>
      <c r="R30" s="714" t="s">
        <v>17</v>
      </c>
      <c r="S30" s="715" t="e">
        <f t="shared" si="12"/>
        <v>#N/A</v>
      </c>
      <c r="T30" s="714" t="s">
        <v>17</v>
      </c>
      <c r="U30" s="715" t="e">
        <f t="shared" si="13"/>
        <v>#N/A</v>
      </c>
      <c r="V30" s="714" t="s">
        <v>17</v>
      </c>
      <c r="W30" s="715" t="e">
        <f t="shared" si="14"/>
        <v>#N/A</v>
      </c>
      <c r="X30" s="1539"/>
      <c r="Y30" s="3341"/>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41"/>
      <c r="Q31" s="1527" t="str">
        <f t="shared" si="11"/>
        <v>是否封闭</v>
      </c>
      <c r="R31" s="710" t="s">
        <v>17</v>
      </c>
      <c r="S31" s="711">
        <f t="shared" si="12"/>
        <v>100</v>
      </c>
      <c r="T31" s="710" t="s">
        <v>17</v>
      </c>
      <c r="U31" s="711">
        <f t="shared" si="13"/>
        <v>100</v>
      </c>
      <c r="V31" s="710" t="s">
        <v>17</v>
      </c>
      <c r="W31" s="711">
        <f t="shared" si="14"/>
        <v>100</v>
      </c>
      <c r="X31" s="712"/>
      <c r="Y31" s="334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41" t="s">
        <v>2386</v>
      </c>
      <c r="Q32" s="1536">
        <f t="shared" si="11"/>
        <v>111</v>
      </c>
      <c r="R32" s="714" t="s">
        <v>17</v>
      </c>
      <c r="S32" s="715">
        <f t="shared" si="12"/>
        <v>100</v>
      </c>
      <c r="T32" s="714" t="s">
        <v>17</v>
      </c>
      <c r="U32" s="715">
        <f t="shared" si="13"/>
        <v>100</v>
      </c>
      <c r="V32" s="714" t="s">
        <v>17</v>
      </c>
      <c r="W32" s="715">
        <f t="shared" si="14"/>
        <v>100</v>
      </c>
      <c r="X32" s="1539"/>
      <c r="Y32" s="3341"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41"/>
      <c r="Q33" s="1536">
        <f t="shared" si="11"/>
        <v>111</v>
      </c>
      <c r="R33" s="714" t="s">
        <v>17</v>
      </c>
      <c r="S33" s="715">
        <f t="shared" si="12"/>
        <v>100</v>
      </c>
      <c r="T33" s="714" t="s">
        <v>17</v>
      </c>
      <c r="U33" s="715">
        <f t="shared" si="13"/>
        <v>100</v>
      </c>
      <c r="V33" s="714" t="s">
        <v>17</v>
      </c>
      <c r="W33" s="715">
        <f t="shared" si="14"/>
        <v>100</v>
      </c>
      <c r="X33" s="1539"/>
      <c r="Y33" s="334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41"/>
      <c r="Q34" s="1536">
        <f t="shared" si="11"/>
        <v>111</v>
      </c>
      <c r="R34" s="714" t="s">
        <v>17</v>
      </c>
      <c r="S34" s="715">
        <f t="shared" si="12"/>
        <v>100</v>
      </c>
      <c r="T34" s="714" t="s">
        <v>17</v>
      </c>
      <c r="U34" s="715">
        <f t="shared" si="13"/>
        <v>100</v>
      </c>
      <c r="V34" s="714" t="s">
        <v>17</v>
      </c>
      <c r="W34" s="715">
        <f t="shared" si="14"/>
        <v>100</v>
      </c>
      <c r="X34" s="1539"/>
      <c r="Y34" s="3341"/>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34" t="str">
        <f>A35</f>
        <v>成交单价（元/平方米）</v>
      </c>
      <c r="Q35" s="3334"/>
      <c r="R35" s="3335">
        <f>E35</f>
        <v>0</v>
      </c>
      <c r="S35" s="3335"/>
      <c r="T35" s="3335">
        <f>G35</f>
        <v>0</v>
      </c>
      <c r="U35" s="3335"/>
      <c r="V35" s="3335">
        <f>I35</f>
        <v>0</v>
      </c>
      <c r="W35" s="3335"/>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31" t="str">
        <f>A37</f>
        <v>估价对象XX用房的比较价值（楼面单价，元/平方米）</v>
      </c>
      <c r="Q37" s="3332"/>
      <c r="R37" s="3365" t="e">
        <f>IF(F1="售价",ROUND(IF(D36="简单平均",AVERAGE(R36:W36),R36*F36+T36*H36+V36*J36),0),ROUND(IF(D36="简单平均",AVERAGE(R36:V36),R36*F36+T36*H36+V36*J36),1))</f>
        <v>#DIV/0!</v>
      </c>
      <c r="S37" s="3365"/>
      <c r="T37" s="3365"/>
      <c r="U37" s="3365"/>
      <c r="V37" s="3365"/>
      <c r="W37" s="3365"/>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2021-10</v>
      </c>
      <c r="D46" s="1347">
        <f>EDATE(C46,-1)</f>
        <v>44440</v>
      </c>
      <c r="E46" s="1347">
        <f t="shared" ref="E46:O46" si="16">EDATE(D46,-1)</f>
        <v>44409</v>
      </c>
      <c r="F46" s="1347">
        <f t="shared" si="16"/>
        <v>44378</v>
      </c>
      <c r="G46" s="1347">
        <f t="shared" si="16"/>
        <v>44348</v>
      </c>
      <c r="H46" s="1347">
        <f t="shared" si="16"/>
        <v>44317</v>
      </c>
      <c r="I46" s="1347">
        <f t="shared" si="16"/>
        <v>44287</v>
      </c>
      <c r="J46" s="1347">
        <f t="shared" si="16"/>
        <v>44256</v>
      </c>
      <c r="K46" s="1347">
        <f t="shared" si="16"/>
        <v>44228</v>
      </c>
      <c r="L46" s="1347">
        <f t="shared" si="16"/>
        <v>44197</v>
      </c>
      <c r="M46" s="1347">
        <f t="shared" si="16"/>
        <v>44166</v>
      </c>
      <c r="N46" s="1347">
        <f t="shared" si="16"/>
        <v>44136</v>
      </c>
      <c r="O46" s="1347">
        <f t="shared" si="16"/>
        <v>44105</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30"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00"/>
      <c r="AC5" s="3300"/>
    </row>
    <row r="6" spans="1:30" ht="15.75" thickBot="1">
      <c r="A6" s="366"/>
      <c r="B6" s="367"/>
      <c r="C6" s="3312" t="s">
        <v>2367</v>
      </c>
      <c r="D6" s="3313"/>
      <c r="E6" s="3314" t="s">
        <v>2367</v>
      </c>
      <c r="F6" s="3315"/>
      <c r="G6" s="3312" t="s">
        <v>2367</v>
      </c>
      <c r="H6" s="3313"/>
      <c r="I6" s="3312" t="s">
        <v>2367</v>
      </c>
      <c r="J6" s="3313"/>
      <c r="K6" s="567" t="s">
        <v>2368</v>
      </c>
      <c r="L6" s="2944"/>
      <c r="M6" s="2945"/>
      <c r="N6" s="2945"/>
      <c r="O6" s="2945"/>
      <c r="P6" s="3325"/>
      <c r="Q6" s="3326"/>
      <c r="R6" s="3306"/>
      <c r="S6" s="3307"/>
      <c r="T6" s="3327"/>
      <c r="U6" s="3328"/>
      <c r="V6" s="3329"/>
      <c r="W6" s="3329"/>
      <c r="X6" s="1539"/>
      <c r="Y6" s="3327"/>
      <c r="Z6" s="3328"/>
      <c r="AA6" s="3301"/>
      <c r="AB6" s="3301"/>
      <c r="AC6" s="3301"/>
    </row>
    <row r="7" spans="1:30" s="113" customFormat="1" ht="15.75" thickBot="1">
      <c r="A7" s="368" t="s">
        <v>2369</v>
      </c>
      <c r="B7" s="369"/>
      <c r="C7" s="370">
        <f>'数据-取费表'!B2</f>
        <v>44490</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34"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127</v>
      </c>
      <c r="G10" s="422"/>
      <c r="H10" s="132">
        <f>ROUND(100/'数据-取费表'!G16,0)</f>
        <v>127</v>
      </c>
      <c r="I10" s="422"/>
      <c r="J10" s="132">
        <f>ROUND(100/'数据-取费表'!G16,0)</f>
        <v>127</v>
      </c>
      <c r="K10" s="628"/>
      <c r="L10" s="2948"/>
      <c r="M10" s="2949"/>
      <c r="N10" s="2949"/>
      <c r="O10" s="3002"/>
      <c r="P10" s="3334"/>
      <c r="Q10" s="1527" t="str">
        <f t="shared" si="6"/>
        <v>土地使用年限（年）</v>
      </c>
      <c r="R10" s="710" t="s">
        <v>17</v>
      </c>
      <c r="S10" s="711">
        <f t="shared" si="0"/>
        <v>127</v>
      </c>
      <c r="T10" s="710" t="s">
        <v>17</v>
      </c>
      <c r="U10" s="711">
        <f t="shared" si="1"/>
        <v>127</v>
      </c>
      <c r="V10" s="710" t="s">
        <v>17</v>
      </c>
      <c r="W10" s="711">
        <f t="shared" si="2"/>
        <v>127</v>
      </c>
      <c r="X10" s="712"/>
      <c r="Y10" s="3244"/>
      <c r="Z10" s="55" t="str">
        <f t="shared" si="7"/>
        <v>土地使用年限（年）</v>
      </c>
      <c r="AA10" s="713">
        <f t="shared" si="3"/>
        <v>0.78740157480314965</v>
      </c>
      <c r="AB10" s="713">
        <f t="shared" si="4"/>
        <v>0.78740157480314965</v>
      </c>
      <c r="AC10" s="713">
        <f t="shared" si="5"/>
        <v>0.78740157480314965</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34"/>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34"/>
      <c r="Q12" s="1527" t="str">
        <f t="shared" si="6"/>
        <v>配建</v>
      </c>
      <c r="R12" s="710" t="s">
        <v>17</v>
      </c>
      <c r="S12" s="711">
        <f t="shared" si="0"/>
        <v>100</v>
      </c>
      <c r="T12" s="710" t="s">
        <v>17</v>
      </c>
      <c r="U12" s="711">
        <f t="shared" si="1"/>
        <v>100</v>
      </c>
      <c r="V12" s="710" t="s">
        <v>17</v>
      </c>
      <c r="W12" s="711">
        <f t="shared" si="2"/>
        <v>100</v>
      </c>
      <c r="X12" s="712"/>
      <c r="Y12" s="324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34"/>
      <c r="Q14" s="1527">
        <f t="shared" si="6"/>
        <v>111</v>
      </c>
      <c r="R14" s="710" t="s">
        <v>17</v>
      </c>
      <c r="S14" s="711">
        <f t="shared" si="0"/>
        <v>100</v>
      </c>
      <c r="T14" s="710" t="s">
        <v>17</v>
      </c>
      <c r="U14" s="711">
        <f t="shared" si="1"/>
        <v>100</v>
      </c>
      <c r="V14" s="710" t="s">
        <v>17</v>
      </c>
      <c r="W14" s="711">
        <f t="shared" si="2"/>
        <v>100</v>
      </c>
      <c r="X14" s="712"/>
      <c r="Y14" s="324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36" t="s">
        <v>2381</v>
      </c>
      <c r="Q15" s="1536" t="str">
        <f t="shared" si="6"/>
        <v>居住社区成熟度</v>
      </c>
      <c r="R15" s="714" t="s">
        <v>17</v>
      </c>
      <c r="S15" s="715">
        <f t="shared" si="0"/>
        <v>100</v>
      </c>
      <c r="T15" s="714" t="s">
        <v>17</v>
      </c>
      <c r="U15" s="715">
        <f t="shared" si="1"/>
        <v>100</v>
      </c>
      <c r="V15" s="714" t="s">
        <v>17</v>
      </c>
      <c r="W15" s="715">
        <f t="shared" si="2"/>
        <v>100</v>
      </c>
      <c r="X15" s="1539"/>
      <c r="Y15" s="3336"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37"/>
      <c r="Q16" s="1536"/>
      <c r="R16" s="714"/>
      <c r="S16" s="715"/>
      <c r="T16" s="714"/>
      <c r="U16" s="715"/>
      <c r="V16" s="714"/>
      <c r="W16" s="715"/>
      <c r="X16" s="1539"/>
      <c r="Y16" s="3337"/>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37"/>
      <c r="Q17" s="1536" t="str">
        <f>B17</f>
        <v>商业繁华度</v>
      </c>
      <c r="R17" s="714" t="s">
        <v>17</v>
      </c>
      <c r="S17" s="715">
        <f>F17</f>
        <v>100</v>
      </c>
      <c r="T17" s="714" t="s">
        <v>17</v>
      </c>
      <c r="U17" s="715">
        <f>H17</f>
        <v>100</v>
      </c>
      <c r="V17" s="714" t="s">
        <v>17</v>
      </c>
      <c r="W17" s="715">
        <f>J17</f>
        <v>100</v>
      </c>
      <c r="X17" s="1539"/>
      <c r="Y17" s="3337"/>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37"/>
      <c r="Q18" s="1536"/>
      <c r="R18" s="714"/>
      <c r="S18" s="715"/>
      <c r="T18" s="714"/>
      <c r="U18" s="715"/>
      <c r="V18" s="714"/>
      <c r="W18" s="715"/>
      <c r="X18" s="1539"/>
      <c r="Y18" s="3337"/>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37"/>
      <c r="Q19" s="1536" t="str">
        <f>B19</f>
        <v>办公集聚程度</v>
      </c>
      <c r="R19" s="714" t="s">
        <v>17</v>
      </c>
      <c r="S19" s="715">
        <f>F19</f>
        <v>100</v>
      </c>
      <c r="T19" s="714" t="s">
        <v>17</v>
      </c>
      <c r="U19" s="715">
        <f>H19</f>
        <v>100</v>
      </c>
      <c r="V19" s="714" t="s">
        <v>17</v>
      </c>
      <c r="W19" s="715">
        <f>J19</f>
        <v>100</v>
      </c>
      <c r="X19" s="1539"/>
      <c r="Y19" s="3337"/>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37"/>
      <c r="Q20" s="1536"/>
      <c r="R20" s="714"/>
      <c r="S20" s="715"/>
      <c r="T20" s="714"/>
      <c r="U20" s="715"/>
      <c r="V20" s="714"/>
      <c r="W20" s="715"/>
      <c r="X20" s="1539"/>
      <c r="Y20" s="3337"/>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37"/>
      <c r="Q21" s="1536" t="str">
        <f>B21</f>
        <v>交通便捷度</v>
      </c>
      <c r="R21" s="714" t="s">
        <v>17</v>
      </c>
      <c r="S21" s="715">
        <f>F21</f>
        <v>100</v>
      </c>
      <c r="T21" s="714" t="s">
        <v>17</v>
      </c>
      <c r="U21" s="715">
        <f>H21</f>
        <v>100</v>
      </c>
      <c r="V21" s="714" t="s">
        <v>17</v>
      </c>
      <c r="W21" s="715">
        <f>J21</f>
        <v>100</v>
      </c>
      <c r="X21" s="1539"/>
      <c r="Y21" s="3337"/>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37"/>
      <c r="Q22" s="1536"/>
      <c r="R22" s="714"/>
      <c r="S22" s="715"/>
      <c r="T22" s="714"/>
      <c r="U22" s="715"/>
      <c r="V22" s="714"/>
      <c r="W22" s="715"/>
      <c r="X22" s="1539"/>
      <c r="Y22" s="3337"/>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37"/>
      <c r="Q23" s="1536" t="str">
        <f t="shared" ref="Q23:Q37" si="8">B23</f>
        <v>区域土地利用方向</v>
      </c>
      <c r="R23" s="714" t="s">
        <v>17</v>
      </c>
      <c r="S23" s="715">
        <f>F23</f>
        <v>100</v>
      </c>
      <c r="T23" s="714" t="s">
        <v>17</v>
      </c>
      <c r="U23" s="715">
        <f>H23</f>
        <v>100</v>
      </c>
      <c r="V23" s="714" t="s">
        <v>17</v>
      </c>
      <c r="W23" s="715">
        <f>J23</f>
        <v>100</v>
      </c>
      <c r="X23" s="1539"/>
      <c r="Y23" s="3337"/>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37"/>
      <c r="Q24" s="1536"/>
      <c r="R24" s="714"/>
      <c r="S24" s="715"/>
      <c r="T24" s="714"/>
      <c r="U24" s="715"/>
      <c r="V24" s="714"/>
      <c r="W24" s="715"/>
      <c r="X24" s="1539"/>
      <c r="Y24" s="3337"/>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37"/>
      <c r="Q25" s="1536" t="str">
        <f t="shared" si="8"/>
        <v>自然及人文环境状况</v>
      </c>
      <c r="R25" s="714" t="s">
        <v>17</v>
      </c>
      <c r="S25" s="715">
        <f>F25</f>
        <v>100</v>
      </c>
      <c r="T25" s="714" t="s">
        <v>17</v>
      </c>
      <c r="U25" s="715">
        <f>H25</f>
        <v>100</v>
      </c>
      <c r="V25" s="714" t="s">
        <v>17</v>
      </c>
      <c r="W25" s="715">
        <f>J25</f>
        <v>100</v>
      </c>
      <c r="X25" s="1539"/>
      <c r="Y25" s="3337"/>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37"/>
      <c r="Q26" s="1536"/>
      <c r="R26" s="714"/>
      <c r="S26" s="715"/>
      <c r="T26" s="714"/>
      <c r="U26" s="715"/>
      <c r="V26" s="714"/>
      <c r="W26" s="715"/>
      <c r="X26" s="1539"/>
      <c r="Y26" s="3337"/>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37"/>
      <c r="Q27" s="1527" t="str">
        <f t="shared" si="8"/>
        <v>公共配套设施</v>
      </c>
      <c r="R27" s="710" t="s">
        <v>17</v>
      </c>
      <c r="S27" s="711">
        <f>F27</f>
        <v>100</v>
      </c>
      <c r="T27" s="710" t="s">
        <v>17</v>
      </c>
      <c r="U27" s="711">
        <f>H27</f>
        <v>100</v>
      </c>
      <c r="V27" s="710" t="s">
        <v>17</v>
      </c>
      <c r="W27" s="711">
        <f>J27</f>
        <v>100</v>
      </c>
      <c r="X27" s="712"/>
      <c r="Y27" s="3337"/>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37"/>
      <c r="Q28" s="1527"/>
      <c r="R28" s="710"/>
      <c r="S28" s="711"/>
      <c r="T28" s="710"/>
      <c r="U28" s="711"/>
      <c r="V28" s="710"/>
      <c r="W28" s="711"/>
      <c r="X28" s="712"/>
      <c r="Y28" s="3337"/>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37"/>
      <c r="Q29" s="1527" t="str">
        <f t="shared" ref="Q29" si="9">B29</f>
        <v>基础设施水平</v>
      </c>
      <c r="R29" s="710" t="s">
        <v>17</v>
      </c>
      <c r="S29" s="711">
        <f>F29</f>
        <v>100</v>
      </c>
      <c r="T29" s="710" t="s">
        <v>17</v>
      </c>
      <c r="U29" s="711">
        <f>H29</f>
        <v>100</v>
      </c>
      <c r="V29" s="710" t="s">
        <v>17</v>
      </c>
      <c r="W29" s="711">
        <f>J29</f>
        <v>100</v>
      </c>
      <c r="X29" s="712"/>
      <c r="Y29" s="3337"/>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37"/>
      <c r="Q30" s="1527"/>
      <c r="R30" s="710"/>
      <c r="S30" s="711"/>
      <c r="T30" s="710"/>
      <c r="U30" s="711"/>
      <c r="V30" s="710"/>
      <c r="W30" s="711"/>
      <c r="X30" s="712"/>
      <c r="Y30" s="3337"/>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3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7"/>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37"/>
      <c r="Q32" s="1536" t="str">
        <f t="shared" si="8"/>
        <v>毗邻道路的类型与等级</v>
      </c>
      <c r="R32" s="714" t="s">
        <v>17</v>
      </c>
      <c r="S32" s="715">
        <f t="shared" si="10"/>
        <v>100</v>
      </c>
      <c r="T32" s="714" t="s">
        <v>17</v>
      </c>
      <c r="U32" s="715">
        <f t="shared" si="11"/>
        <v>100</v>
      </c>
      <c r="V32" s="714" t="s">
        <v>17</v>
      </c>
      <c r="W32" s="715">
        <f t="shared" si="12"/>
        <v>100</v>
      </c>
      <c r="X32" s="1539"/>
      <c r="Y32" s="3337"/>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37"/>
      <c r="Q33" s="1536"/>
      <c r="R33" s="714"/>
      <c r="S33" s="715"/>
      <c r="T33" s="714"/>
      <c r="U33" s="715"/>
      <c r="V33" s="714"/>
      <c r="W33" s="715"/>
      <c r="X33" s="1539"/>
      <c r="Y33" s="3337"/>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37"/>
      <c r="Q34" s="1536" t="str">
        <f t="shared" si="8"/>
        <v>土地级别</v>
      </c>
      <c r="R34" s="714" t="s">
        <v>17</v>
      </c>
      <c r="S34" s="715">
        <f t="shared" si="10"/>
        <v>100</v>
      </c>
      <c r="T34" s="714" t="s">
        <v>17</v>
      </c>
      <c r="U34" s="715">
        <f t="shared" si="11"/>
        <v>100</v>
      </c>
      <c r="V34" s="714" t="s">
        <v>17</v>
      </c>
      <c r="W34" s="715">
        <f t="shared" si="12"/>
        <v>100</v>
      </c>
      <c r="X34" s="1539"/>
      <c r="Y34" s="3337"/>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37"/>
      <c r="Q35" s="1536">
        <f t="shared" si="8"/>
        <v>111</v>
      </c>
      <c r="R35" s="714" t="s">
        <v>17</v>
      </c>
      <c r="S35" s="715">
        <f t="shared" si="10"/>
        <v>100</v>
      </c>
      <c r="T35" s="714" t="s">
        <v>17</v>
      </c>
      <c r="U35" s="715">
        <f t="shared" si="11"/>
        <v>100</v>
      </c>
      <c r="V35" s="714" t="s">
        <v>17</v>
      </c>
      <c r="W35" s="715">
        <f t="shared" si="12"/>
        <v>100</v>
      </c>
      <c r="X35" s="1539"/>
      <c r="Y35" s="3337"/>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64" t="s">
        <v>2386</v>
      </c>
      <c r="Q36" s="1536">
        <f t="shared" si="8"/>
        <v>111</v>
      </c>
      <c r="R36" s="714" t="s">
        <v>17</v>
      </c>
      <c r="S36" s="715">
        <f t="shared" si="10"/>
        <v>100</v>
      </c>
      <c r="T36" s="714" t="s">
        <v>17</v>
      </c>
      <c r="U36" s="715">
        <f t="shared" si="11"/>
        <v>100</v>
      </c>
      <c r="V36" s="714" t="s">
        <v>17</v>
      </c>
      <c r="W36" s="715">
        <f t="shared" si="12"/>
        <v>100</v>
      </c>
      <c r="X36" s="1539"/>
      <c r="Y36" s="3341"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41"/>
      <c r="Q37" s="1536">
        <f t="shared" si="8"/>
        <v>111</v>
      </c>
      <c r="R37" s="717" t="s">
        <v>17</v>
      </c>
      <c r="S37" s="718">
        <f t="shared" si="10"/>
        <v>100</v>
      </c>
      <c r="T37" s="717" t="s">
        <v>17</v>
      </c>
      <c r="U37" s="718">
        <f t="shared" si="11"/>
        <v>100</v>
      </c>
      <c r="V37" s="717" t="s">
        <v>17</v>
      </c>
      <c r="W37" s="718">
        <f t="shared" si="12"/>
        <v>100</v>
      </c>
      <c r="X37" s="719"/>
      <c r="Y37" s="3341"/>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41"/>
      <c r="Q38" s="1536" t="str">
        <f>B38</f>
        <v>宗地面积</v>
      </c>
      <c r="R38" s="714" t="s">
        <v>17</v>
      </c>
      <c r="S38" s="715" t="e">
        <f t="shared" si="10"/>
        <v>#N/A</v>
      </c>
      <c r="T38" s="714" t="s">
        <v>17</v>
      </c>
      <c r="U38" s="715" t="e">
        <f t="shared" si="11"/>
        <v>#N/A</v>
      </c>
      <c r="V38" s="714" t="s">
        <v>17</v>
      </c>
      <c r="W38" s="715" t="e">
        <f t="shared" si="12"/>
        <v>#N/A</v>
      </c>
      <c r="X38" s="1539"/>
      <c r="Y38" s="3341"/>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41"/>
      <c r="Q39" s="1536" t="str">
        <f t="shared" ref="Q39:Q45" si="14">B39</f>
        <v>宗地形状</v>
      </c>
      <c r="R39" s="714" t="s">
        <v>17</v>
      </c>
      <c r="S39" s="715">
        <f t="shared" si="10"/>
        <v>100</v>
      </c>
      <c r="T39" s="714" t="s">
        <v>17</v>
      </c>
      <c r="U39" s="715">
        <f t="shared" si="11"/>
        <v>100</v>
      </c>
      <c r="V39" s="714" t="s">
        <v>17</v>
      </c>
      <c r="W39" s="715">
        <f t="shared" si="12"/>
        <v>100</v>
      </c>
      <c r="X39" s="1539"/>
      <c r="Y39" s="3341"/>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41"/>
      <c r="Q40" s="1536" t="str">
        <f t="shared" si="14"/>
        <v>临街宽度及深度</v>
      </c>
      <c r="R40" s="714" t="s">
        <v>17</v>
      </c>
      <c r="S40" s="715">
        <f t="shared" si="10"/>
        <v>100</v>
      </c>
      <c r="T40" s="714" t="s">
        <v>17</v>
      </c>
      <c r="U40" s="715">
        <f t="shared" si="11"/>
        <v>100</v>
      </c>
      <c r="V40" s="714" t="s">
        <v>17</v>
      </c>
      <c r="W40" s="715">
        <f t="shared" si="12"/>
        <v>100</v>
      </c>
      <c r="X40" s="1539"/>
      <c r="Y40" s="3341"/>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41"/>
      <c r="Q41" s="1536" t="str">
        <f t="shared" si="14"/>
        <v>宗地开发程度</v>
      </c>
      <c r="R41" s="710" t="s">
        <v>17</v>
      </c>
      <c r="S41" s="711">
        <f t="shared" si="10"/>
        <v>100</v>
      </c>
      <c r="T41" s="710" t="s">
        <v>17</v>
      </c>
      <c r="U41" s="711">
        <f t="shared" si="11"/>
        <v>100</v>
      </c>
      <c r="V41" s="710" t="s">
        <v>17</v>
      </c>
      <c r="W41" s="711">
        <f t="shared" si="12"/>
        <v>100</v>
      </c>
      <c r="X41" s="712"/>
      <c r="Y41" s="3341"/>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41" t="s">
        <v>2386</v>
      </c>
      <c r="Q42" s="1536" t="str">
        <f t="shared" si="14"/>
        <v>工程地质条件</v>
      </c>
      <c r="R42" s="714" t="s">
        <v>17</v>
      </c>
      <c r="S42" s="715">
        <f t="shared" si="10"/>
        <v>100</v>
      </c>
      <c r="T42" s="714" t="s">
        <v>17</v>
      </c>
      <c r="U42" s="715">
        <f t="shared" si="11"/>
        <v>100</v>
      </c>
      <c r="V42" s="714" t="s">
        <v>17</v>
      </c>
      <c r="W42" s="715">
        <f t="shared" si="12"/>
        <v>100</v>
      </c>
      <c r="X42" s="1539"/>
      <c r="Y42" s="3341"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41"/>
      <c r="Q43" s="1536">
        <f t="shared" si="14"/>
        <v>111</v>
      </c>
      <c r="R43" s="714" t="s">
        <v>17</v>
      </c>
      <c r="S43" s="715">
        <f t="shared" si="10"/>
        <v>100</v>
      </c>
      <c r="T43" s="714" t="s">
        <v>17</v>
      </c>
      <c r="U43" s="715">
        <f t="shared" si="11"/>
        <v>100</v>
      </c>
      <c r="V43" s="714" t="s">
        <v>17</v>
      </c>
      <c r="W43" s="715">
        <f t="shared" si="12"/>
        <v>100</v>
      </c>
      <c r="X43" s="1539"/>
      <c r="Y43" s="3341"/>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41"/>
      <c r="Q44" s="1536">
        <f t="shared" si="14"/>
        <v>111</v>
      </c>
      <c r="R44" s="714" t="s">
        <v>17</v>
      </c>
      <c r="S44" s="715">
        <f t="shared" si="10"/>
        <v>100</v>
      </c>
      <c r="T44" s="714" t="s">
        <v>17</v>
      </c>
      <c r="U44" s="715">
        <f t="shared" si="11"/>
        <v>100</v>
      </c>
      <c r="V44" s="714" t="s">
        <v>17</v>
      </c>
      <c r="W44" s="715">
        <f t="shared" si="12"/>
        <v>100</v>
      </c>
      <c r="X44" s="1539"/>
      <c r="Y44" s="3341"/>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41"/>
      <c r="Q45" s="1536">
        <f t="shared" si="14"/>
        <v>111</v>
      </c>
      <c r="R45" s="717" t="s">
        <v>17</v>
      </c>
      <c r="S45" s="718">
        <f t="shared" si="10"/>
        <v>100</v>
      </c>
      <c r="T45" s="717" t="s">
        <v>17</v>
      </c>
      <c r="U45" s="718">
        <f t="shared" si="11"/>
        <v>100</v>
      </c>
      <c r="V45" s="717" t="s">
        <v>17</v>
      </c>
      <c r="W45" s="718">
        <f t="shared" si="12"/>
        <v>100</v>
      </c>
      <c r="X45" s="719"/>
      <c r="Y45" s="3341"/>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34" t="str">
        <f>A46</f>
        <v>成交单价</v>
      </c>
      <c r="Q46" s="3334"/>
      <c r="R46" s="3329">
        <f>E46</f>
        <v>0</v>
      </c>
      <c r="S46" s="3329"/>
      <c r="T46" s="3329">
        <f>G46</f>
        <v>0</v>
      </c>
      <c r="U46" s="3329"/>
      <c r="V46" s="3329">
        <f>I46</f>
        <v>0</v>
      </c>
      <c r="W46" s="3329"/>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34" t="str">
        <f>A47</f>
        <v>比较价值（元/平方米）</v>
      </c>
      <c r="Q47" s="3334"/>
      <c r="R47" s="3366" t="e">
        <f>ROUND(PRODUCT(R46,AA7:AA45),0)</f>
        <v>#DIV/0!</v>
      </c>
      <c r="S47" s="3366"/>
      <c r="T47" s="3366" t="e">
        <f>ROUND(PRODUCT(T46,AB7:AB45),0)</f>
        <v>#DIV/0!</v>
      </c>
      <c r="U47" s="3366"/>
      <c r="V47" s="3366" t="e">
        <f>ROUND(PRODUCT(V46,AC7:AC45),0)</f>
        <v>#DIV/0!</v>
      </c>
      <c r="W47" s="336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31" t="str">
        <f>A48</f>
        <v>估价对象XX用房的比较价值（楼面单价，元/平方米）</v>
      </c>
      <c r="Q48" s="3332"/>
      <c r="R48" s="3367" t="e">
        <f>ROUND(IF(D47="简单平均",AVERAGE(R47:W47),R47*F47+T47*H47+V47*J47),0)</f>
        <v>#DIV/0!</v>
      </c>
      <c r="S48" s="3367"/>
      <c r="T48" s="3367"/>
      <c r="U48" s="3367"/>
      <c r="V48" s="3367"/>
      <c r="W48" s="3367"/>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17" t="s">
        <v>2585</v>
      </c>
      <c r="H55" s="3368"/>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6416.15</v>
      </c>
      <c r="F56" s="1017" t="e">
        <f t="shared" ref="F56:F65" si="15">ROUND(B56*E56/10000,0)</f>
        <v>#DIV/0!</v>
      </c>
      <c r="G56" s="3316"/>
      <c r="H56" s="333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69"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69"/>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69"/>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69"/>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0.25</v>
      </c>
      <c r="D61" s="1076">
        <v>0.25</v>
      </c>
      <c r="E61" s="223">
        <f>'数据-汇总表'!E11</f>
        <v>0</v>
      </c>
      <c r="F61" s="1017" t="e">
        <f t="shared" si="15"/>
        <v>#DIV/0!</v>
      </c>
      <c r="G61" s="2173" t="s">
        <v>2595</v>
      </c>
      <c r="H61" s="1018" t="str">
        <f>项目基本情况!C37</f>
        <v>三级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三级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0.2</v>
      </c>
      <c r="D65" s="1076">
        <v>0.25</v>
      </c>
      <c r="E65" s="223">
        <f>'数据-汇总表'!E15</f>
        <v>0</v>
      </c>
      <c r="F65" s="1017" t="e">
        <f t="shared" si="15"/>
        <v>#DIV/0!</v>
      </c>
      <c r="G65" s="2174" t="s">
        <v>2595</v>
      </c>
      <c r="H65" s="1028" t="str">
        <f>项目基本情况!C37</f>
        <v>三级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6416.15</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2021-10-1</v>
      </c>
      <c r="D68" s="701">
        <f>EDATE(C68,-3)</f>
        <v>44378</v>
      </c>
      <c r="E68" s="701">
        <f>EDATE(D68,-3)</f>
        <v>44287</v>
      </c>
      <c r="F68" s="701">
        <f t="shared" ref="F68:O68" si="18">EDATE(E68,-3)</f>
        <v>44197</v>
      </c>
      <c r="G68" s="701">
        <f t="shared" si="18"/>
        <v>44105</v>
      </c>
      <c r="H68" s="701">
        <f t="shared" si="18"/>
        <v>44013</v>
      </c>
      <c r="I68" s="701">
        <f t="shared" si="18"/>
        <v>43922</v>
      </c>
      <c r="J68" s="701">
        <f t="shared" si="18"/>
        <v>43831</v>
      </c>
      <c r="K68" s="701">
        <f t="shared" si="18"/>
        <v>43739</v>
      </c>
      <c r="L68" s="701">
        <f t="shared" si="18"/>
        <v>43647</v>
      </c>
      <c r="M68" s="701">
        <f t="shared" si="18"/>
        <v>43556</v>
      </c>
      <c r="N68" s="701">
        <f t="shared" si="18"/>
        <v>43466</v>
      </c>
      <c r="O68" s="701">
        <f t="shared" si="18"/>
        <v>43374</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17" t="s">
        <v>2467</v>
      </c>
      <c r="D4" s="3318"/>
      <c r="E4" s="3319" t="s">
        <v>2468</v>
      </c>
      <c r="F4" s="3320"/>
      <c r="G4" s="3317" t="s">
        <v>2469</v>
      </c>
      <c r="H4" s="3318"/>
      <c r="I4" s="3317" t="s">
        <v>2470</v>
      </c>
      <c r="J4" s="3318"/>
      <c r="K4" s="567" t="s">
        <v>2471</v>
      </c>
      <c r="L4" s="2944"/>
      <c r="M4" s="2945"/>
      <c r="N4" s="2945"/>
      <c r="O4" s="2945"/>
      <c r="P4" s="3321" t="s">
        <v>2472</v>
      </c>
      <c r="Q4" s="3322"/>
      <c r="R4" s="3304" t="s">
        <v>2468</v>
      </c>
      <c r="S4" s="3305"/>
      <c r="T4" s="3304" t="s">
        <v>2469</v>
      </c>
      <c r="U4" s="3305"/>
      <c r="V4" s="3329" t="s">
        <v>2470</v>
      </c>
      <c r="W4" s="3329"/>
      <c r="X4" s="1539"/>
      <c r="Y4" s="3304" t="s">
        <v>2472</v>
      </c>
      <c r="Z4" s="3305"/>
      <c r="AA4" s="3299" t="s">
        <v>2468</v>
      </c>
      <c r="AB4" s="3300" t="s">
        <v>2469</v>
      </c>
      <c r="AC4" s="3299" t="s">
        <v>2470</v>
      </c>
    </row>
    <row r="5" spans="1:29" ht="15">
      <c r="A5" s="364"/>
      <c r="B5" s="365"/>
      <c r="C5" s="3310" t="s">
        <v>2363</v>
      </c>
      <c r="D5" s="3311"/>
      <c r="E5" s="3308" t="s">
        <v>2364</v>
      </c>
      <c r="F5" s="3309"/>
      <c r="G5" s="3310" t="s">
        <v>2365</v>
      </c>
      <c r="H5" s="3311"/>
      <c r="I5" s="3310" t="s">
        <v>2366</v>
      </c>
      <c r="J5" s="3311"/>
      <c r="K5" s="567"/>
      <c r="L5" s="2944"/>
      <c r="M5" s="2945"/>
      <c r="N5" s="2945"/>
      <c r="O5" s="2945"/>
      <c r="P5" s="3323"/>
      <c r="Q5" s="3324"/>
      <c r="R5" s="3306"/>
      <c r="S5" s="3307"/>
      <c r="T5" s="3306"/>
      <c r="U5" s="3307"/>
      <c r="V5" s="3329"/>
      <c r="W5" s="3329"/>
      <c r="X5" s="1539"/>
      <c r="Y5" s="3306"/>
      <c r="Z5" s="3307"/>
      <c r="AA5" s="3300"/>
      <c r="AB5" s="3300"/>
      <c r="AC5" s="3300"/>
    </row>
    <row r="6" spans="1:29" ht="15.75" thickBot="1">
      <c r="A6" s="366"/>
      <c r="B6" s="367"/>
      <c r="C6" s="3370" t="s">
        <v>2618</v>
      </c>
      <c r="D6" s="3371"/>
      <c r="E6" s="3372" t="s">
        <v>2618</v>
      </c>
      <c r="F6" s="3373"/>
      <c r="G6" s="3370" t="s">
        <v>2618</v>
      </c>
      <c r="H6" s="3371"/>
      <c r="I6" s="3370" t="s">
        <v>2618</v>
      </c>
      <c r="J6" s="3371"/>
      <c r="K6" s="567" t="s">
        <v>2368</v>
      </c>
      <c r="L6" s="2944"/>
      <c r="M6" s="2945"/>
      <c r="N6" s="2945"/>
      <c r="O6" s="2945"/>
      <c r="P6" s="3325"/>
      <c r="Q6" s="3326"/>
      <c r="R6" s="3306"/>
      <c r="S6" s="3307"/>
      <c r="T6" s="3327"/>
      <c r="U6" s="3328"/>
      <c r="V6" s="3329"/>
      <c r="W6" s="3329"/>
      <c r="X6" s="1539"/>
      <c r="Y6" s="3327"/>
      <c r="Z6" s="3328"/>
      <c r="AA6" s="3301"/>
      <c r="AB6" s="3301"/>
      <c r="AC6" s="3301"/>
    </row>
    <row r="7" spans="1:29" s="113" customFormat="1" ht="15.75" thickBot="1">
      <c r="A7" s="368" t="s">
        <v>2369</v>
      </c>
      <c r="B7" s="369"/>
      <c r="C7" s="370">
        <f>'数据-取费表'!B2</f>
        <v>44490</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02" t="s">
        <v>2370</v>
      </c>
      <c r="Q7" s="3330"/>
      <c r="R7" s="710" t="s">
        <v>17</v>
      </c>
      <c r="S7" s="711">
        <f t="shared" ref="S7:S15" si="0">F7</f>
        <v>0</v>
      </c>
      <c r="T7" s="710" t="s">
        <v>17</v>
      </c>
      <c r="U7" s="711">
        <f t="shared" ref="U7:U15" si="1">H7</f>
        <v>0</v>
      </c>
      <c r="V7" s="710" t="s">
        <v>17</v>
      </c>
      <c r="W7" s="711">
        <f t="shared" ref="W7:W15" si="2">J7</f>
        <v>0</v>
      </c>
      <c r="X7" s="712"/>
      <c r="Y7" s="3302" t="s">
        <v>2370</v>
      </c>
      <c r="Z7" s="330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02" t="s">
        <v>2373</v>
      </c>
      <c r="Q8" s="3303"/>
      <c r="R8" s="710" t="s">
        <v>17</v>
      </c>
      <c r="S8" s="711">
        <f t="shared" si="0"/>
        <v>0</v>
      </c>
      <c r="T8" s="710" t="s">
        <v>17</v>
      </c>
      <c r="U8" s="711">
        <f t="shared" si="1"/>
        <v>0</v>
      </c>
      <c r="V8" s="710" t="s">
        <v>17</v>
      </c>
      <c r="W8" s="711">
        <f t="shared" si="2"/>
        <v>0</v>
      </c>
      <c r="X8" s="712"/>
      <c r="Y8" s="3302" t="s">
        <v>2373</v>
      </c>
      <c r="Z8" s="3303"/>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34" t="s">
        <v>2376</v>
      </c>
      <c r="Q9" s="1527" t="str">
        <f t="shared" ref="Q9:Q15" si="6">B9</f>
        <v>用途</v>
      </c>
      <c r="R9" s="710" t="s">
        <v>17</v>
      </c>
      <c r="S9" s="711">
        <f t="shared" si="0"/>
        <v>100</v>
      </c>
      <c r="T9" s="710" t="s">
        <v>17</v>
      </c>
      <c r="U9" s="711">
        <f t="shared" si="1"/>
        <v>100</v>
      </c>
      <c r="V9" s="710" t="s">
        <v>17</v>
      </c>
      <c r="W9" s="711">
        <f t="shared" si="2"/>
        <v>100</v>
      </c>
      <c r="X9" s="712"/>
      <c r="Y9" s="324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127</v>
      </c>
      <c r="G10" s="391"/>
      <c r="H10" s="132">
        <f>ROUND(100/'数据-取费表'!G16,0)</f>
        <v>127</v>
      </c>
      <c r="I10" s="391"/>
      <c r="J10" s="132">
        <f>ROUND(100/'数据-取费表'!G16,0)</f>
        <v>127</v>
      </c>
      <c r="K10" s="628"/>
      <c r="L10" s="2948"/>
      <c r="M10" s="2949"/>
      <c r="N10" s="2949"/>
      <c r="O10" s="3002"/>
      <c r="P10" s="3334"/>
      <c r="Q10" s="1527" t="str">
        <f t="shared" si="6"/>
        <v>土地使用年限（年）</v>
      </c>
      <c r="R10" s="710" t="s">
        <v>17</v>
      </c>
      <c r="S10" s="711">
        <f t="shared" si="0"/>
        <v>127</v>
      </c>
      <c r="T10" s="710" t="s">
        <v>17</v>
      </c>
      <c r="U10" s="711">
        <f t="shared" si="1"/>
        <v>127</v>
      </c>
      <c r="V10" s="710" t="s">
        <v>17</v>
      </c>
      <c r="W10" s="711">
        <f t="shared" si="2"/>
        <v>127</v>
      </c>
      <c r="X10" s="712"/>
      <c r="Y10" s="3244"/>
      <c r="Z10" s="55" t="str">
        <f t="shared" si="7"/>
        <v>土地使用年限（年）</v>
      </c>
      <c r="AA10" s="713">
        <f t="shared" si="3"/>
        <v>0.78740157480314965</v>
      </c>
      <c r="AB10" s="713">
        <f t="shared" si="4"/>
        <v>0.78740157480314965</v>
      </c>
      <c r="AC10" s="713">
        <f t="shared" si="5"/>
        <v>0.78740157480314965</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34"/>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34"/>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34"/>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34"/>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36" t="s">
        <v>2381</v>
      </c>
      <c r="Q15" s="1536" t="str">
        <f t="shared" si="6"/>
        <v>产业集聚程度</v>
      </c>
      <c r="R15" s="714" t="s">
        <v>17</v>
      </c>
      <c r="S15" s="715">
        <f t="shared" si="0"/>
        <v>100</v>
      </c>
      <c r="T15" s="714" t="s">
        <v>17</v>
      </c>
      <c r="U15" s="715">
        <f t="shared" si="1"/>
        <v>100</v>
      </c>
      <c r="V15" s="714" t="s">
        <v>17</v>
      </c>
      <c r="W15" s="715">
        <f t="shared" si="2"/>
        <v>100</v>
      </c>
      <c r="X15" s="1539"/>
      <c r="Y15" s="3336"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37"/>
      <c r="Q16" s="1536"/>
      <c r="R16" s="714"/>
      <c r="S16" s="715"/>
      <c r="T16" s="714"/>
      <c r="U16" s="715"/>
      <c r="V16" s="714"/>
      <c r="W16" s="715"/>
      <c r="X16" s="1539"/>
      <c r="Y16" s="3337"/>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37"/>
      <c r="Q17" s="1536" t="str">
        <f>B17</f>
        <v>交通便捷度</v>
      </c>
      <c r="R17" s="714" t="s">
        <v>17</v>
      </c>
      <c r="S17" s="715">
        <f>F17</f>
        <v>100</v>
      </c>
      <c r="T17" s="714" t="s">
        <v>17</v>
      </c>
      <c r="U17" s="715">
        <f>H17</f>
        <v>100</v>
      </c>
      <c r="V17" s="714" t="s">
        <v>17</v>
      </c>
      <c r="W17" s="715">
        <f>J17</f>
        <v>100</v>
      </c>
      <c r="X17" s="1539"/>
      <c r="Y17" s="333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37"/>
      <c r="Q18" s="1536"/>
      <c r="R18" s="714"/>
      <c r="S18" s="715"/>
      <c r="T18" s="714"/>
      <c r="U18" s="715"/>
      <c r="V18" s="714"/>
      <c r="W18" s="715"/>
      <c r="X18" s="1539"/>
      <c r="Y18" s="3337"/>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37"/>
      <c r="Q19" s="1536" t="str">
        <f t="shared" ref="Q19:Q33" si="8">B19</f>
        <v>区域土地利用方向</v>
      </c>
      <c r="R19" s="714" t="s">
        <v>17</v>
      </c>
      <c r="S19" s="715">
        <f>F19</f>
        <v>100</v>
      </c>
      <c r="T19" s="714" t="s">
        <v>17</v>
      </c>
      <c r="U19" s="715">
        <f>H19</f>
        <v>100</v>
      </c>
      <c r="V19" s="714" t="s">
        <v>17</v>
      </c>
      <c r="W19" s="715">
        <f>J19</f>
        <v>100</v>
      </c>
      <c r="X19" s="1539"/>
      <c r="Y19" s="333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37"/>
      <c r="Q20" s="1536"/>
      <c r="R20" s="714"/>
      <c r="S20" s="715"/>
      <c r="T20" s="714"/>
      <c r="U20" s="715"/>
      <c r="V20" s="714"/>
      <c r="W20" s="715"/>
      <c r="X20" s="1539"/>
      <c r="Y20" s="3337"/>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37"/>
      <c r="Q21" s="1536" t="str">
        <f t="shared" si="8"/>
        <v>环境状况</v>
      </c>
      <c r="R21" s="714" t="s">
        <v>17</v>
      </c>
      <c r="S21" s="715">
        <f>F21</f>
        <v>100</v>
      </c>
      <c r="T21" s="714" t="s">
        <v>17</v>
      </c>
      <c r="U21" s="715">
        <f>H21</f>
        <v>100</v>
      </c>
      <c r="V21" s="714" t="s">
        <v>17</v>
      </c>
      <c r="W21" s="715">
        <f>J21</f>
        <v>100</v>
      </c>
      <c r="X21" s="1539"/>
      <c r="Y21" s="333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37"/>
      <c r="Q22" s="1536"/>
      <c r="R22" s="714"/>
      <c r="S22" s="715"/>
      <c r="T22" s="714"/>
      <c r="U22" s="715"/>
      <c r="V22" s="714"/>
      <c r="W22" s="715"/>
      <c r="X22" s="1539"/>
      <c r="Y22" s="3337"/>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37"/>
      <c r="Q23" s="1527" t="str">
        <f t="shared" si="8"/>
        <v>公共配套设施</v>
      </c>
      <c r="R23" s="710" t="s">
        <v>17</v>
      </c>
      <c r="S23" s="711">
        <f>F23</f>
        <v>100</v>
      </c>
      <c r="T23" s="710" t="s">
        <v>17</v>
      </c>
      <c r="U23" s="711">
        <f>H23</f>
        <v>100</v>
      </c>
      <c r="V23" s="710" t="s">
        <v>17</v>
      </c>
      <c r="W23" s="711">
        <f>J23</f>
        <v>100</v>
      </c>
      <c r="X23" s="712"/>
      <c r="Y23" s="333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37"/>
      <c r="Q24" s="1527"/>
      <c r="R24" s="710"/>
      <c r="S24" s="711"/>
      <c r="T24" s="710"/>
      <c r="U24" s="711"/>
      <c r="V24" s="710"/>
      <c r="W24" s="711"/>
      <c r="X24" s="712"/>
      <c r="Y24" s="3337"/>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37"/>
      <c r="Q25" s="1527" t="str">
        <f t="shared" ref="Q25" si="9">B25</f>
        <v>基础设施水平</v>
      </c>
      <c r="R25" s="710" t="s">
        <v>17</v>
      </c>
      <c r="S25" s="711">
        <f>F25</f>
        <v>100</v>
      </c>
      <c r="T25" s="710" t="s">
        <v>17</v>
      </c>
      <c r="U25" s="711">
        <f>H25</f>
        <v>100</v>
      </c>
      <c r="V25" s="710" t="s">
        <v>17</v>
      </c>
      <c r="W25" s="711">
        <f>J25</f>
        <v>100</v>
      </c>
      <c r="X25" s="712"/>
      <c r="Y25" s="333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37"/>
      <c r="Q26" s="1527"/>
      <c r="R26" s="710"/>
      <c r="S26" s="711"/>
      <c r="T26" s="710"/>
      <c r="U26" s="711"/>
      <c r="V26" s="710"/>
      <c r="W26" s="711"/>
      <c r="X26" s="712"/>
      <c r="Y26" s="333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3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7"/>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37"/>
      <c r="Q28" s="1536" t="str">
        <f t="shared" si="8"/>
        <v>毗邻道路的类型与等级</v>
      </c>
      <c r="R28" s="714" t="s">
        <v>17</v>
      </c>
      <c r="S28" s="715">
        <f t="shared" si="10"/>
        <v>100</v>
      </c>
      <c r="T28" s="714" t="s">
        <v>17</v>
      </c>
      <c r="U28" s="715">
        <f t="shared" si="11"/>
        <v>100</v>
      </c>
      <c r="V28" s="714" t="s">
        <v>17</v>
      </c>
      <c r="W28" s="715">
        <f t="shared" si="12"/>
        <v>100</v>
      </c>
      <c r="X28" s="1539"/>
      <c r="Y28" s="333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37"/>
      <c r="Q29" s="1536"/>
      <c r="R29" s="714"/>
      <c r="S29" s="715"/>
      <c r="T29" s="714"/>
      <c r="U29" s="715"/>
      <c r="V29" s="714"/>
      <c r="W29" s="715"/>
      <c r="X29" s="1539"/>
      <c r="Y29" s="3337"/>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37"/>
      <c r="Q30" s="1536" t="str">
        <f t="shared" si="8"/>
        <v>土地级别</v>
      </c>
      <c r="R30" s="714" t="s">
        <v>17</v>
      </c>
      <c r="S30" s="715">
        <f t="shared" si="10"/>
        <v>100</v>
      </c>
      <c r="T30" s="714" t="s">
        <v>17</v>
      </c>
      <c r="U30" s="715">
        <f t="shared" si="11"/>
        <v>100</v>
      </c>
      <c r="V30" s="714" t="s">
        <v>17</v>
      </c>
      <c r="W30" s="715">
        <f t="shared" si="12"/>
        <v>100</v>
      </c>
      <c r="X30" s="1539"/>
      <c r="Y30" s="333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37"/>
      <c r="Q31" s="1536">
        <f t="shared" si="8"/>
        <v>111</v>
      </c>
      <c r="R31" s="714" t="s">
        <v>17</v>
      </c>
      <c r="S31" s="715">
        <f t="shared" si="10"/>
        <v>100</v>
      </c>
      <c r="T31" s="714" t="s">
        <v>17</v>
      </c>
      <c r="U31" s="715">
        <f t="shared" si="11"/>
        <v>100</v>
      </c>
      <c r="V31" s="714" t="s">
        <v>17</v>
      </c>
      <c r="W31" s="715">
        <f t="shared" si="12"/>
        <v>100</v>
      </c>
      <c r="X31" s="1539"/>
      <c r="Y31" s="333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64" t="s">
        <v>2386</v>
      </c>
      <c r="Q32" s="1536">
        <f t="shared" si="8"/>
        <v>111</v>
      </c>
      <c r="R32" s="714" t="s">
        <v>17</v>
      </c>
      <c r="S32" s="715">
        <f t="shared" si="10"/>
        <v>100</v>
      </c>
      <c r="T32" s="714" t="s">
        <v>17</v>
      </c>
      <c r="U32" s="715">
        <f t="shared" si="11"/>
        <v>100</v>
      </c>
      <c r="V32" s="714" t="s">
        <v>17</v>
      </c>
      <c r="W32" s="715">
        <f t="shared" si="12"/>
        <v>100</v>
      </c>
      <c r="X32" s="1539"/>
      <c r="Y32" s="3341"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41"/>
      <c r="Q33" s="1536">
        <f t="shared" si="8"/>
        <v>111</v>
      </c>
      <c r="R33" s="717" t="s">
        <v>17</v>
      </c>
      <c r="S33" s="718">
        <f t="shared" si="10"/>
        <v>100</v>
      </c>
      <c r="T33" s="717" t="s">
        <v>17</v>
      </c>
      <c r="U33" s="718">
        <f t="shared" si="11"/>
        <v>100</v>
      </c>
      <c r="V33" s="717" t="s">
        <v>17</v>
      </c>
      <c r="W33" s="718">
        <f t="shared" si="12"/>
        <v>100</v>
      </c>
      <c r="X33" s="719"/>
      <c r="Y33" s="3341"/>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41"/>
      <c r="Q34" s="1536" t="str">
        <f>B34</f>
        <v>宗地面积</v>
      </c>
      <c r="R34" s="714" t="s">
        <v>17</v>
      </c>
      <c r="S34" s="715" t="e">
        <f t="shared" si="10"/>
        <v>#N/A</v>
      </c>
      <c r="T34" s="714" t="s">
        <v>17</v>
      </c>
      <c r="U34" s="715" t="e">
        <f t="shared" si="11"/>
        <v>#N/A</v>
      </c>
      <c r="V34" s="714" t="s">
        <v>17</v>
      </c>
      <c r="W34" s="715" t="e">
        <f t="shared" si="12"/>
        <v>#N/A</v>
      </c>
      <c r="X34" s="1539"/>
      <c r="Y34" s="3341"/>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41"/>
      <c r="Q35" s="1536" t="str">
        <f t="shared" ref="Q35:Q40" si="14">B35</f>
        <v>宗地形状</v>
      </c>
      <c r="R35" s="714" t="s">
        <v>17</v>
      </c>
      <c r="S35" s="715">
        <f t="shared" si="10"/>
        <v>100</v>
      </c>
      <c r="T35" s="714" t="s">
        <v>17</v>
      </c>
      <c r="U35" s="715">
        <f t="shared" si="11"/>
        <v>100</v>
      </c>
      <c r="V35" s="714" t="s">
        <v>17</v>
      </c>
      <c r="W35" s="715">
        <f t="shared" si="12"/>
        <v>100</v>
      </c>
      <c r="X35" s="1539"/>
      <c r="Y35" s="3341"/>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41"/>
      <c r="Q36" s="1536" t="str">
        <f t="shared" si="14"/>
        <v>宗地开发程度</v>
      </c>
      <c r="R36" s="710" t="s">
        <v>17</v>
      </c>
      <c r="S36" s="711">
        <f t="shared" si="10"/>
        <v>100</v>
      </c>
      <c r="T36" s="710" t="s">
        <v>17</v>
      </c>
      <c r="U36" s="711">
        <f t="shared" si="11"/>
        <v>100</v>
      </c>
      <c r="V36" s="710" t="s">
        <v>17</v>
      </c>
      <c r="W36" s="711">
        <f t="shared" si="12"/>
        <v>100</v>
      </c>
      <c r="X36" s="712"/>
      <c r="Y36" s="3341"/>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41" t="s">
        <v>2386</v>
      </c>
      <c r="Q37" s="1536" t="str">
        <f t="shared" si="14"/>
        <v>工程地质条件</v>
      </c>
      <c r="R37" s="714" t="s">
        <v>17</v>
      </c>
      <c r="S37" s="715">
        <f t="shared" si="10"/>
        <v>100</v>
      </c>
      <c r="T37" s="714" t="s">
        <v>17</v>
      </c>
      <c r="U37" s="715">
        <f t="shared" si="11"/>
        <v>100</v>
      </c>
      <c r="V37" s="714" t="s">
        <v>17</v>
      </c>
      <c r="W37" s="715">
        <f t="shared" si="12"/>
        <v>100</v>
      </c>
      <c r="X37" s="1539"/>
      <c r="Y37" s="3341"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41"/>
      <c r="Q38" s="1536">
        <f t="shared" si="14"/>
        <v>111</v>
      </c>
      <c r="R38" s="714" t="s">
        <v>17</v>
      </c>
      <c r="S38" s="715">
        <f t="shared" si="10"/>
        <v>100</v>
      </c>
      <c r="T38" s="714" t="s">
        <v>17</v>
      </c>
      <c r="U38" s="715">
        <f t="shared" si="11"/>
        <v>100</v>
      </c>
      <c r="V38" s="714" t="s">
        <v>17</v>
      </c>
      <c r="W38" s="715">
        <f t="shared" si="12"/>
        <v>100</v>
      </c>
      <c r="X38" s="1539"/>
      <c r="Y38" s="334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41"/>
      <c r="Q39" s="1536">
        <f t="shared" si="14"/>
        <v>111</v>
      </c>
      <c r="R39" s="714" t="s">
        <v>17</v>
      </c>
      <c r="S39" s="715">
        <f t="shared" si="10"/>
        <v>100</v>
      </c>
      <c r="T39" s="714" t="s">
        <v>17</v>
      </c>
      <c r="U39" s="715">
        <f t="shared" si="11"/>
        <v>100</v>
      </c>
      <c r="V39" s="714" t="s">
        <v>17</v>
      </c>
      <c r="W39" s="715">
        <f t="shared" si="12"/>
        <v>100</v>
      </c>
      <c r="X39" s="1539"/>
      <c r="Y39" s="334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41"/>
      <c r="Q40" s="1536">
        <f t="shared" si="14"/>
        <v>111</v>
      </c>
      <c r="R40" s="717" t="s">
        <v>17</v>
      </c>
      <c r="S40" s="718">
        <f t="shared" si="10"/>
        <v>100</v>
      </c>
      <c r="T40" s="717" t="s">
        <v>17</v>
      </c>
      <c r="U40" s="718">
        <f t="shared" si="11"/>
        <v>100</v>
      </c>
      <c r="V40" s="717" t="s">
        <v>17</v>
      </c>
      <c r="W40" s="718">
        <f t="shared" si="12"/>
        <v>100</v>
      </c>
      <c r="X40" s="719"/>
      <c r="Y40" s="3341"/>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34" t="str">
        <f>A41</f>
        <v>成交单价</v>
      </c>
      <c r="Q41" s="3334"/>
      <c r="R41" s="3329">
        <f>E41</f>
        <v>0</v>
      </c>
      <c r="S41" s="3329"/>
      <c r="T41" s="3329">
        <f>G41</f>
        <v>0</v>
      </c>
      <c r="U41" s="3329"/>
      <c r="V41" s="3329">
        <f>I41</f>
        <v>0</v>
      </c>
      <c r="W41" s="3329"/>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34" t="str">
        <f>A42</f>
        <v>比较价值（元/平方米）</v>
      </c>
      <c r="Q42" s="3334"/>
      <c r="R42" s="3366" t="e">
        <f>ROUND(PRODUCT(R41,AA7:AA40),0)</f>
        <v>#DIV/0!</v>
      </c>
      <c r="S42" s="3366"/>
      <c r="T42" s="3366" t="e">
        <f>ROUND(PRODUCT(T41,AB7:AB40),0)</f>
        <v>#DIV/0!</v>
      </c>
      <c r="U42" s="3366"/>
      <c r="V42" s="3366" t="e">
        <f>ROUND(PRODUCT(V41,AC7:AC40),0)</f>
        <v>#DIV/0!</v>
      </c>
      <c r="W42" s="336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31" t="str">
        <f>A43</f>
        <v>估价对象XX用房的比较价值（楼面单价，元/平方米）</v>
      </c>
      <c r="Q43" s="3332"/>
      <c r="R43" s="3367" t="e">
        <f>ROUND(IF(D42="简单平均",AVERAGE(R42:W42),R42*F42+T42*H42+V42*J42),0)</f>
        <v>#DIV/0!</v>
      </c>
      <c r="S43" s="3367"/>
      <c r="T43" s="3367"/>
      <c r="U43" s="3367"/>
      <c r="V43" s="3367"/>
      <c r="W43" s="3367"/>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17" t="s">
        <v>2585</v>
      </c>
      <c r="H50" s="3368"/>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6416.15</v>
      </c>
      <c r="F51" s="647" t="e">
        <f t="shared" ref="F51:F60" si="15">ROUND(B51*E51/10000,0)</f>
        <v>#DIV/0!</v>
      </c>
      <c r="G51" s="3316"/>
      <c r="H51" s="333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69"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69"/>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69"/>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69"/>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0.25</v>
      </c>
      <c r="D56" s="1076">
        <v>0.25</v>
      </c>
      <c r="E56" s="223">
        <f>'数据-汇总表'!E11</f>
        <v>0</v>
      </c>
      <c r="F56" s="647" t="e">
        <f t="shared" si="15"/>
        <v>#DIV/0!</v>
      </c>
      <c r="G56" s="2173" t="s">
        <v>2595</v>
      </c>
      <c r="H56" s="1018" t="str">
        <f>项目基本情况!C37</f>
        <v>三级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三级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v>
      </c>
      <c r="D60" s="1076">
        <v>0.25</v>
      </c>
      <c r="E60" s="223">
        <f>'数据-汇总表'!E15</f>
        <v>0</v>
      </c>
      <c r="F60" s="647" t="e">
        <f t="shared" si="15"/>
        <v>#DIV/0!</v>
      </c>
      <c r="G60" s="2174" t="s">
        <v>2595</v>
      </c>
      <c r="H60" s="1028" t="str">
        <f>项目基本情况!C37</f>
        <v>三级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1510.18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2021-10-1</v>
      </c>
      <c r="D63" s="701">
        <f>EDATE(C63,-3)</f>
        <v>44378</v>
      </c>
      <c r="E63" s="701">
        <f>EDATE(D63,-3)</f>
        <v>44287</v>
      </c>
      <c r="F63" s="701">
        <f t="shared" ref="F63:O63" si="18">EDATE(E63,-3)</f>
        <v>44197</v>
      </c>
      <c r="G63" s="701">
        <f t="shared" si="18"/>
        <v>44105</v>
      </c>
      <c r="H63" s="701">
        <f t="shared" si="18"/>
        <v>44013</v>
      </c>
      <c r="I63" s="701">
        <f t="shared" si="18"/>
        <v>43922</v>
      </c>
      <c r="J63" s="701">
        <f t="shared" si="18"/>
        <v>43831</v>
      </c>
      <c r="K63" s="701">
        <f t="shared" si="18"/>
        <v>43739</v>
      </c>
      <c r="L63" s="701">
        <f t="shared" si="18"/>
        <v>43647</v>
      </c>
      <c r="M63" s="701">
        <f t="shared" si="18"/>
        <v>43556</v>
      </c>
      <c r="N63" s="701">
        <f t="shared" si="18"/>
        <v>43466</v>
      </c>
      <c r="O63" s="701">
        <f t="shared" si="18"/>
        <v>43374</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O195"/>
  <sheetViews>
    <sheetView topLeftCell="A31" workbookViewId="0">
      <selection activeCell="N50" sqref="N50"/>
    </sheetView>
  </sheetViews>
  <sheetFormatPr defaultRowHeight="13.5"/>
  <cols>
    <col min="1" max="3" width="9" style="3064"/>
    <col min="4" max="4" width="12.375" style="3064" customWidth="1"/>
    <col min="6" max="6" width="12.375" customWidth="1"/>
    <col min="10" max="10" width="12.75" bestFit="1" customWidth="1"/>
  </cols>
  <sheetData>
    <row r="1" spans="1:10">
      <c r="A1" s="3063" t="s">
        <v>3079</v>
      </c>
      <c r="B1" s="3063" t="s">
        <v>3080</v>
      </c>
      <c r="C1" s="3063" t="s">
        <v>3081</v>
      </c>
      <c r="D1" s="3063" t="s">
        <v>3082</v>
      </c>
      <c r="F1" s="3063" t="s">
        <v>3084</v>
      </c>
    </row>
    <row r="2" spans="1:10">
      <c r="A2" s="3064">
        <v>1</v>
      </c>
      <c r="B2" s="3064">
        <v>2.5</v>
      </c>
      <c r="C2" s="3064">
        <f>'数据-基础表'!B3</f>
        <v>6416.15</v>
      </c>
      <c r="F2" s="3065">
        <v>0.02</v>
      </c>
      <c r="G2">
        <v>2.5</v>
      </c>
      <c r="H2">
        <f>G2*365*C2</f>
        <v>5854736.875</v>
      </c>
    </row>
    <row r="3" spans="1:10">
      <c r="A3" s="3063" t="s">
        <v>3083</v>
      </c>
      <c r="B3" s="3064">
        <v>2.5</v>
      </c>
      <c r="C3" s="3064">
        <f>'数据-基础表'!B3</f>
        <v>6416.15</v>
      </c>
      <c r="D3" s="3067">
        <f>ROUND(B3*C3*365*0.57,0)</f>
        <v>3337200</v>
      </c>
      <c r="G3">
        <f>ROUND(G2*(1+$F$4),2)</f>
        <v>2.52</v>
      </c>
      <c r="H3">
        <f t="shared" ref="H3:H21" si="0">G3*365*C3</f>
        <v>5901574.7699999996</v>
      </c>
      <c r="I3">
        <f>H3*0.57</f>
        <v>3363897.6188999997</v>
      </c>
    </row>
    <row r="4" spans="1:10">
      <c r="A4" s="3064">
        <v>3</v>
      </c>
      <c r="B4" s="3064">
        <f>B2*(1+F2)</f>
        <v>2.5499999999999998</v>
      </c>
      <c r="C4" s="3064">
        <f>'数据-基础表'!B3</f>
        <v>6416.15</v>
      </c>
      <c r="D4" s="3064">
        <f>ROUND(B4*C4*365,0)</f>
        <v>5971832</v>
      </c>
      <c r="F4" s="3077">
        <v>9.5999999999999992E-3</v>
      </c>
      <c r="G4">
        <f t="shared" ref="G4:G21" si="1">ROUND(G3*(1+$F$4),2)</f>
        <v>2.54</v>
      </c>
      <c r="H4">
        <f>G4*365*C4</f>
        <v>5948412.665</v>
      </c>
      <c r="J4">
        <f>SUM(H4:H21)+I3</f>
        <v>119732647.74640001</v>
      </c>
    </row>
    <row r="5" spans="1:10">
      <c r="A5" s="3064">
        <v>4</v>
      </c>
      <c r="B5" s="3064">
        <f>B4</f>
        <v>2.5499999999999998</v>
      </c>
      <c r="C5" s="3064">
        <f>'数据-基础表'!B3</f>
        <v>6416.15</v>
      </c>
      <c r="D5" s="3064">
        <f t="shared" ref="D5:D21" si="2">ROUND(B5*C5*365,0)</f>
        <v>5971832</v>
      </c>
      <c r="G5">
        <f t="shared" si="1"/>
        <v>2.56</v>
      </c>
      <c r="H5">
        <f t="shared" si="0"/>
        <v>5995250.5599999996</v>
      </c>
      <c r="J5">
        <f>J4-D22</f>
        <v>-110550.25359998643</v>
      </c>
    </row>
    <row r="6" spans="1:10">
      <c r="A6" s="3064">
        <v>5</v>
      </c>
      <c r="B6" s="3064">
        <f>B4*(1+F2)</f>
        <v>2.601</v>
      </c>
      <c r="C6" s="3064">
        <f>'数据-基础表'!B3</f>
        <v>6416.15</v>
      </c>
      <c r="D6" s="3064">
        <f t="shared" si="2"/>
        <v>6091268</v>
      </c>
      <c r="G6">
        <f t="shared" si="1"/>
        <v>2.58</v>
      </c>
      <c r="H6">
        <f t="shared" si="0"/>
        <v>6042088.4550000001</v>
      </c>
    </row>
    <row r="7" spans="1:10">
      <c r="A7" s="3064">
        <v>6</v>
      </c>
      <c r="B7" s="3064">
        <f>B6</f>
        <v>2.601</v>
      </c>
      <c r="C7" s="3064">
        <f>'数据-基础表'!B3</f>
        <v>6416.15</v>
      </c>
      <c r="D7" s="3064">
        <f t="shared" si="2"/>
        <v>6091268</v>
      </c>
      <c r="G7">
        <f t="shared" si="1"/>
        <v>2.6</v>
      </c>
      <c r="H7">
        <f t="shared" si="0"/>
        <v>6088926.3499999996</v>
      </c>
    </row>
    <row r="8" spans="1:10">
      <c r="A8" s="3064">
        <v>7</v>
      </c>
      <c r="B8" s="3064">
        <f>B6*(1+F2)</f>
        <v>2.6530200000000002</v>
      </c>
      <c r="C8" s="3064">
        <f>'数据-基础表'!B3</f>
        <v>6416.15</v>
      </c>
      <c r="D8" s="3064">
        <f t="shared" si="2"/>
        <v>6213094</v>
      </c>
      <c r="G8">
        <f t="shared" si="1"/>
        <v>2.62</v>
      </c>
      <c r="H8">
        <f t="shared" si="0"/>
        <v>6135764.2450000001</v>
      </c>
      <c r="J8" s="3076"/>
    </row>
    <row r="9" spans="1:10">
      <c r="A9" s="3064">
        <v>8</v>
      </c>
      <c r="B9" s="3064">
        <f>B8</f>
        <v>2.6530200000000002</v>
      </c>
      <c r="C9" s="3064">
        <f>'数据-基础表'!B3</f>
        <v>6416.15</v>
      </c>
      <c r="D9" s="3064">
        <f t="shared" si="2"/>
        <v>6213094</v>
      </c>
      <c r="G9">
        <f t="shared" si="1"/>
        <v>2.65</v>
      </c>
      <c r="H9">
        <f t="shared" si="0"/>
        <v>6206021.0874999994</v>
      </c>
    </row>
    <row r="10" spans="1:10">
      <c r="A10" s="3064">
        <v>9</v>
      </c>
      <c r="B10" s="3064">
        <f>B8*(1+F2)</f>
        <v>2.7060804000000003</v>
      </c>
      <c r="C10" s="3064">
        <f>'数据-基础表'!B3</f>
        <v>6416.15</v>
      </c>
      <c r="D10" s="3064">
        <f t="shared" si="2"/>
        <v>6337355</v>
      </c>
      <c r="G10">
        <f t="shared" si="1"/>
        <v>2.68</v>
      </c>
      <c r="H10">
        <f t="shared" si="0"/>
        <v>6276277.9299999997</v>
      </c>
    </row>
    <row r="11" spans="1:10">
      <c r="A11" s="3064">
        <v>10</v>
      </c>
      <c r="B11" s="3064">
        <f>B10</f>
        <v>2.7060804000000003</v>
      </c>
      <c r="C11" s="3064">
        <f>'数据-基础表'!B3</f>
        <v>6416.15</v>
      </c>
      <c r="D11" s="3064">
        <f t="shared" si="2"/>
        <v>6337355</v>
      </c>
      <c r="G11">
        <f t="shared" si="1"/>
        <v>2.71</v>
      </c>
      <c r="H11">
        <f t="shared" si="0"/>
        <v>6346534.772499999</v>
      </c>
    </row>
    <row r="12" spans="1:10">
      <c r="A12" s="3064">
        <v>11</v>
      </c>
      <c r="B12" s="3064">
        <f>B10*(1+F2)</f>
        <v>2.7602020080000003</v>
      </c>
      <c r="C12" s="3064">
        <f>'数据-基础表'!B3</f>
        <v>6416.15</v>
      </c>
      <c r="D12" s="3064">
        <f t="shared" si="2"/>
        <v>6464103</v>
      </c>
      <c r="G12">
        <f t="shared" si="1"/>
        <v>2.74</v>
      </c>
      <c r="H12">
        <f t="shared" si="0"/>
        <v>6416791.6150000002</v>
      </c>
    </row>
    <row r="13" spans="1:10">
      <c r="A13" s="3064">
        <v>12</v>
      </c>
      <c r="B13" s="3064">
        <f>B12</f>
        <v>2.7602020080000003</v>
      </c>
      <c r="C13" s="3064">
        <f>'数据-基础表'!B3</f>
        <v>6416.15</v>
      </c>
      <c r="D13" s="3064">
        <f t="shared" si="2"/>
        <v>6464103</v>
      </c>
      <c r="G13">
        <f t="shared" si="1"/>
        <v>2.77</v>
      </c>
      <c r="H13">
        <f t="shared" si="0"/>
        <v>6487048.4574999996</v>
      </c>
    </row>
    <row r="14" spans="1:10">
      <c r="A14" s="3064">
        <v>13</v>
      </c>
      <c r="B14" s="3064">
        <f>B12*(1+F2)</f>
        <v>2.8154060481600003</v>
      </c>
      <c r="C14" s="3064">
        <f>'数据-基础表'!B3</f>
        <v>6416.15</v>
      </c>
      <c r="D14" s="3064">
        <f t="shared" si="2"/>
        <v>6593385</v>
      </c>
      <c r="G14">
        <f t="shared" si="1"/>
        <v>2.8</v>
      </c>
      <c r="H14">
        <f t="shared" si="0"/>
        <v>6557305.2999999989</v>
      </c>
    </row>
    <row r="15" spans="1:10">
      <c r="A15" s="3064">
        <v>14</v>
      </c>
      <c r="B15" s="3064">
        <f>B14</f>
        <v>2.8154060481600003</v>
      </c>
      <c r="C15" s="3064">
        <f>'数据-基础表'!B3</f>
        <v>6416.15</v>
      </c>
      <c r="D15" s="3064">
        <f t="shared" si="2"/>
        <v>6593385</v>
      </c>
      <c r="G15">
        <f t="shared" si="1"/>
        <v>2.83</v>
      </c>
      <c r="H15">
        <f t="shared" si="0"/>
        <v>6627562.1425000001</v>
      </c>
    </row>
    <row r="16" spans="1:10">
      <c r="A16" s="3064">
        <v>15</v>
      </c>
      <c r="B16" s="3064">
        <f>B14*(1+F2)</f>
        <v>2.8717141691232002</v>
      </c>
      <c r="C16" s="3064">
        <f>'数据-基础表'!B3</f>
        <v>6416.15</v>
      </c>
      <c r="D16" s="3064">
        <f t="shared" si="2"/>
        <v>6725252</v>
      </c>
      <c r="G16">
        <f t="shared" si="1"/>
        <v>2.86</v>
      </c>
      <c r="H16">
        <f t="shared" si="0"/>
        <v>6697818.9849999985</v>
      </c>
    </row>
    <row r="17" spans="1:8">
      <c r="A17" s="3064">
        <v>16</v>
      </c>
      <c r="B17" s="3064">
        <f>B16</f>
        <v>2.8717141691232002</v>
      </c>
      <c r="C17" s="3064">
        <f>'数据-基础表'!B3</f>
        <v>6416.15</v>
      </c>
      <c r="D17" s="3064">
        <f t="shared" si="2"/>
        <v>6725252</v>
      </c>
      <c r="G17">
        <f t="shared" si="1"/>
        <v>2.89</v>
      </c>
      <c r="H17">
        <f t="shared" si="0"/>
        <v>6768075.8275000006</v>
      </c>
    </row>
    <row r="18" spans="1:8">
      <c r="A18" s="3064">
        <v>17</v>
      </c>
      <c r="B18" s="3064">
        <f>B16*(1+F2)</f>
        <v>2.9291484525056641</v>
      </c>
      <c r="C18" s="3064">
        <f>'数据-基础表'!B3</f>
        <v>6416.15</v>
      </c>
      <c r="D18" s="3064">
        <f t="shared" si="2"/>
        <v>6859757</v>
      </c>
      <c r="G18">
        <f t="shared" si="1"/>
        <v>2.92</v>
      </c>
      <c r="H18">
        <f t="shared" si="0"/>
        <v>6838332.669999999</v>
      </c>
    </row>
    <row r="19" spans="1:8">
      <c r="A19" s="3064">
        <v>18</v>
      </c>
      <c r="B19" s="3064">
        <f>B18</f>
        <v>2.9291484525056641</v>
      </c>
      <c r="C19" s="3064">
        <f>'数据-基础表'!B3</f>
        <v>6416.15</v>
      </c>
      <c r="D19" s="3064">
        <f t="shared" si="2"/>
        <v>6859757</v>
      </c>
      <c r="G19">
        <f t="shared" si="1"/>
        <v>2.95</v>
      </c>
      <c r="H19">
        <f t="shared" si="0"/>
        <v>6908589.5124999993</v>
      </c>
    </row>
    <row r="20" spans="1:8">
      <c r="A20" s="3064">
        <v>19</v>
      </c>
      <c r="B20" s="3064">
        <f>B18*(1+F2)</f>
        <v>2.9877314215557775</v>
      </c>
      <c r="C20" s="3064">
        <f>'数据-基础表'!B3</f>
        <v>6416.15</v>
      </c>
      <c r="D20" s="3064">
        <f t="shared" si="2"/>
        <v>6996953</v>
      </c>
      <c r="G20">
        <f t="shared" si="1"/>
        <v>2.98</v>
      </c>
      <c r="H20">
        <f t="shared" si="0"/>
        <v>6978846.3549999995</v>
      </c>
    </row>
    <row r="21" spans="1:8">
      <c r="A21" s="3064">
        <v>20</v>
      </c>
      <c r="B21" s="3064">
        <f>B20</f>
        <v>2.9877314215557775</v>
      </c>
      <c r="C21" s="3064">
        <f>'数据-基础表'!B3</f>
        <v>6416.15</v>
      </c>
      <c r="D21" s="3064">
        <f t="shared" si="2"/>
        <v>6996953</v>
      </c>
      <c r="G21">
        <f t="shared" si="1"/>
        <v>3.01</v>
      </c>
      <c r="H21">
        <f t="shared" si="0"/>
        <v>7049103.1974999988</v>
      </c>
    </row>
    <row r="22" spans="1:8">
      <c r="A22" s="3374" t="s">
        <v>3085</v>
      </c>
      <c r="B22" s="3374"/>
      <c r="C22" s="3374"/>
      <c r="D22" s="3064">
        <f>SUM(D3:D21)</f>
        <v>119843198</v>
      </c>
    </row>
    <row r="70" spans="1:15">
      <c r="A70" s="3064">
        <f>64415560/1702.62</f>
        <v>37833.198247406937</v>
      </c>
      <c r="O70" s="3073"/>
    </row>
    <row r="71" spans="1:15">
      <c r="N71" s="3073" t="s">
        <v>3124</v>
      </c>
    </row>
    <row r="94" spans="1:15">
      <c r="A94" s="3066" t="s">
        <v>3127</v>
      </c>
    </row>
    <row r="95" spans="1:15">
      <c r="A95" s="3064">
        <f>ROUND(9070000/A96,0)</f>
        <v>35106</v>
      </c>
      <c r="O95" s="3073" t="s">
        <v>3123</v>
      </c>
    </row>
    <row r="96" spans="1:15">
      <c r="A96" s="3064">
        <v>258.36</v>
      </c>
    </row>
    <row r="122" spans="1:1">
      <c r="A122" s="3066" t="s">
        <v>3128</v>
      </c>
    </row>
    <row r="123" spans="1:1">
      <c r="A123" s="3064">
        <f>ROUND(5971560/A124,0)</f>
        <v>32005</v>
      </c>
    </row>
    <row r="124" spans="1:1">
      <c r="A124" s="3064">
        <v>186.58</v>
      </c>
    </row>
    <row r="130" spans="15:15">
      <c r="O130" s="3073" t="s">
        <v>3125</v>
      </c>
    </row>
    <row r="145" spans="1:15">
      <c r="N145" s="3073" t="s">
        <v>3126</v>
      </c>
      <c r="O145" s="3073"/>
    </row>
    <row r="146" spans="1:15">
      <c r="A146" s="3066"/>
    </row>
    <row r="170" spans="14:14">
      <c r="N170" s="3073"/>
    </row>
    <row r="195" spans="14:14">
      <c r="N195" s="3073"/>
    </row>
  </sheetData>
  <mergeCells count="1">
    <mergeCell ref="A22:C22"/>
  </mergeCells>
  <phoneticPr fontId="140" type="noConversion"/>
  <hyperlinks>
    <hyperlink ref="O95" r:id="rId1" xr:uid="{00000000-0004-0000-2000-000000000000}"/>
    <hyperlink ref="N71" r:id="rId2" xr:uid="{00000000-0004-0000-2000-000001000000}"/>
    <hyperlink ref="O130" r:id="rId3" xr:uid="{00000000-0004-0000-2000-000002000000}"/>
    <hyperlink ref="N145" r:id="rId4" xr:uid="{00000000-0004-0000-2000-000003000000}"/>
  </hyperlinks>
  <pageMargins left="0.7" right="0.7" top="0.75" bottom="0.75" header="0.3" footer="0.3"/>
  <drawing r:id="rId5"/>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I57"/>
  <sheetViews>
    <sheetView view="pageBreakPreview" zoomScale="70" zoomScaleNormal="70" zoomScaleSheetLayoutView="7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27</v>
      </c>
      <c r="C1" s="204"/>
      <c r="D1" s="204"/>
      <c r="E1" s="204"/>
      <c r="F1" s="204"/>
      <c r="G1" s="1288">
        <f>MATCH(B1,'数据-取费表'!A6:A16,0)+5</f>
        <v>6</v>
      </c>
    </row>
    <row r="2" spans="1:9" s="206" customFormat="1" ht="18" customHeight="1">
      <c r="A2" s="207" t="s">
        <v>2148</v>
      </c>
      <c r="B2" s="208">
        <f ca="1">IF(D2="——",C52,C52-E2)</f>
        <v>21045</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32800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13437</v>
      </c>
      <c r="D5" s="217" t="s">
        <v>2155</v>
      </c>
      <c r="E5" s="218" t="s">
        <v>2156</v>
      </c>
      <c r="F5" s="218" t="s">
        <v>2157</v>
      </c>
      <c r="G5" s="219"/>
    </row>
    <row r="6" spans="1:9" s="220" customFormat="1" ht="13.5" customHeight="1">
      <c r="A6" s="886" t="s">
        <v>2158</v>
      </c>
      <c r="B6" s="221" t="s">
        <v>2159</v>
      </c>
      <c r="C6" s="222">
        <f>基准地价修正!B2</f>
        <v>13039</v>
      </c>
      <c r="D6" s="223"/>
      <c r="E6" s="224"/>
      <c r="F6" s="224"/>
      <c r="G6" s="225"/>
    </row>
    <row r="7" spans="1:9" s="220" customFormat="1" ht="13.5" customHeight="1">
      <c r="A7" s="886" t="s">
        <v>2160</v>
      </c>
      <c r="B7" s="221" t="s">
        <v>2161</v>
      </c>
      <c r="C7" s="226">
        <f>ROUND(C6*F7,0)</f>
        <v>398</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3119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3120</v>
      </c>
      <c r="H9" s="1299"/>
      <c r="I9" s="2044" t="s">
        <v>2165</v>
      </c>
    </row>
    <row r="10" spans="1:9" s="220" customFormat="1" ht="13.5" customHeight="1">
      <c r="A10" s="887" t="s">
        <v>801</v>
      </c>
      <c r="B10" s="230" t="s">
        <v>2166</v>
      </c>
      <c r="C10" s="231">
        <f ca="1">ROUND(D10*E10/10000,0)</f>
        <v>128</v>
      </c>
      <c r="D10" s="954">
        <f ca="1">IF(B1="",'数据-汇总表'!E6,IF(INDIRECT("'数据-取费表'!c"&amp;$G$1)="住宅",INDIRECT("'数据-取费表'!s"&amp;$G$1),INDIRECT("'数据-取费表'!k"&amp;$G$1)+INDIRECT("'数据-取费表'!s"&amp;$G$1)))</f>
        <v>6416.15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6416.15</v>
      </c>
      <c r="E19" s="217">
        <f>'数据-取费表'!B31</f>
        <v>200</v>
      </c>
      <c r="F19" s="237"/>
      <c r="G19" s="2042" t="s">
        <v>3121</v>
      </c>
    </row>
    <row r="20" spans="1:7" s="220" customFormat="1" ht="13.5" customHeight="1">
      <c r="A20" s="261" t="s">
        <v>2179</v>
      </c>
      <c r="B20" s="216" t="s">
        <v>2180</v>
      </c>
      <c r="C20" s="238">
        <f>ROUND((C5+C19)*F20,0)</f>
        <v>134</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1200</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1194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2714</v>
      </c>
      <c r="D27" s="241">
        <f ca="1">C29</f>
        <v>2E-3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2714</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18715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2475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2246</v>
      </c>
      <c r="D34" s="223"/>
      <c r="E34" s="226"/>
      <c r="F34" s="263">
        <f ca="1">IF('数据-取费表'!B24=0,1,IF(B1="",'数据-取费表'!N16,INDIRECT("'数据-取费表'!n"&amp;$G$1)))</f>
        <v>1</v>
      </c>
      <c r="G34" s="225" t="s">
        <v>2212</v>
      </c>
    </row>
    <row r="35" spans="1:7" ht="13.5" customHeight="1">
      <c r="A35" s="888" t="s">
        <v>796</v>
      </c>
      <c r="B35" s="221" t="s">
        <v>2213</v>
      </c>
      <c r="C35" s="226">
        <f ca="1">ROUND(C34*F35,0)</f>
        <v>67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128</v>
      </c>
      <c r="D37" s="223">
        <f ca="1">D19</f>
        <v>6416.15</v>
      </c>
      <c r="E37" s="255">
        <f>'数据-取费表'!B35</f>
        <v>200</v>
      </c>
      <c r="F37" s="265"/>
      <c r="G37" s="267" t="s">
        <v>2218</v>
      </c>
    </row>
    <row r="38" spans="1:7" ht="13.5" customHeight="1">
      <c r="A38" s="888" t="s">
        <v>799</v>
      </c>
      <c r="B38" s="221" t="s">
        <v>2219</v>
      </c>
      <c r="C38" s="226">
        <f ca="1">ROUND(C34*F38,0)</f>
        <v>34</v>
      </c>
      <c r="D38" s="226"/>
      <c r="E38" s="226"/>
      <c r="F38" s="265">
        <f>'数据-取费表'!B36</f>
        <v>1.4999999999999999E-2</v>
      </c>
      <c r="G38" s="225" t="s">
        <v>2214</v>
      </c>
    </row>
    <row r="39" spans="1:7" s="220" customFormat="1" ht="13.5" customHeight="1">
      <c r="A39" s="261" t="s">
        <v>2220</v>
      </c>
      <c r="B39" s="216" t="s">
        <v>2221</v>
      </c>
      <c r="C39" s="238">
        <f ca="1">ROUND(C33*F20,0)</f>
        <v>25</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109</v>
      </c>
      <c r="D41" s="241">
        <f ca="1">C44</f>
        <v>4.0000000000000002E-4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108</v>
      </c>
      <c r="D42" s="244"/>
      <c r="E42" s="244"/>
      <c r="F42" s="245"/>
      <c r="G42" s="3268" t="s">
        <v>2230</v>
      </c>
    </row>
    <row r="43" spans="1:7" ht="13.5" customHeight="1">
      <c r="A43" s="888" t="s">
        <v>792</v>
      </c>
      <c r="B43" s="221" t="s">
        <v>2231</v>
      </c>
      <c r="C43" s="244">
        <f ca="1">ROUND(IF('数据-取费表'!B22&lt;=1,C39*F22*'数据-取费表'!B21/2,C39*(POWER((1+F22),'数据-取费表'!B21/2)-1)),0)</f>
        <v>1</v>
      </c>
      <c r="D43" s="244"/>
      <c r="E43" s="244"/>
      <c r="F43" s="245"/>
      <c r="G43" s="3269"/>
    </row>
    <row r="44" spans="1:7" ht="13.5" customHeight="1">
      <c r="A44" s="888" t="s">
        <v>793</v>
      </c>
      <c r="B44" s="221" t="s">
        <v>2232</v>
      </c>
      <c r="C44" s="244">
        <f ca="1">ROUND(IF('数据-取费表'!B22&lt;=1,C40*F22*'数据-取费表'!B21/2,C40*(POWER((1+F22),'数据-取费表'!B21/2)-1)),4)</f>
        <v>4.0000000000000002E-4</v>
      </c>
      <c r="D44" s="244"/>
      <c r="E44" s="244"/>
      <c r="F44" s="245"/>
      <c r="G44" s="3270"/>
    </row>
    <row r="45" spans="1:7" s="220" customFormat="1" ht="13.5" customHeight="1">
      <c r="A45" s="261" t="s">
        <v>2233</v>
      </c>
      <c r="B45" s="250" t="s">
        <v>2199</v>
      </c>
      <c r="C45" s="251">
        <f ca="1">C46</f>
        <v>500</v>
      </c>
      <c r="D45" s="241">
        <f ca="1">C47</f>
        <v>2E-3</v>
      </c>
      <c r="E45" s="242" t="s">
        <v>2225</v>
      </c>
      <c r="F45" s="2537">
        <f ca="1">F27</f>
        <v>0.2</v>
      </c>
      <c r="G45" s="253" t="s">
        <v>2234</v>
      </c>
    </row>
    <row r="46" spans="1:7" s="220" customFormat="1" ht="13.5" customHeight="1">
      <c r="A46" s="888" t="s">
        <v>791</v>
      </c>
      <c r="B46" s="254" t="s">
        <v>2235</v>
      </c>
      <c r="C46" s="255">
        <f ca="1">ROUND((C33+C39)*F27,0)</f>
        <v>500</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3328</v>
      </c>
      <c r="D49" s="238"/>
      <c r="E49" s="238"/>
      <c r="F49" s="270"/>
      <c r="G49" s="240" t="s">
        <v>2240</v>
      </c>
    </row>
    <row r="50" spans="1:7" s="264" customFormat="1" ht="24">
      <c r="A50" s="261" t="s">
        <v>2241</v>
      </c>
      <c r="B50" s="216" t="s">
        <v>2242</v>
      </c>
      <c r="C50" s="238"/>
      <c r="D50" s="238"/>
      <c r="E50" s="238"/>
      <c r="F50" s="270">
        <f>IF('数据-取费表'!B24=0,'数据-取费表'!N16,1)</f>
        <v>0.7</v>
      </c>
      <c r="G50" s="253" t="s">
        <v>2243</v>
      </c>
    </row>
    <row r="51" spans="1:7" ht="16.5" customHeight="1">
      <c r="A51" s="261" t="s">
        <v>2244</v>
      </c>
      <c r="B51" s="216" t="s">
        <v>2245</v>
      </c>
      <c r="C51" s="238">
        <f ca="1">ROUND(C49*F50,0)</f>
        <v>2330</v>
      </c>
      <c r="D51" s="238"/>
      <c r="E51" s="238"/>
      <c r="F51" s="270"/>
      <c r="G51" s="240" t="s">
        <v>2246</v>
      </c>
    </row>
    <row r="52" spans="1:7" s="214" customFormat="1" ht="16.5" thickBot="1">
      <c r="A52" s="271" t="s">
        <v>2247</v>
      </c>
      <c r="B52" s="272"/>
      <c r="C52" s="273">
        <f ca="1">C31+C51</f>
        <v>21045</v>
      </c>
      <c r="D52" s="272"/>
      <c r="E52" s="272"/>
      <c r="F52" s="272"/>
      <c r="G52" s="274"/>
    </row>
    <row r="55" spans="1:7" ht="15">
      <c r="B55" s="276" t="s">
        <v>2248</v>
      </c>
      <c r="C55" s="277"/>
    </row>
    <row r="56" spans="1:7">
      <c r="B56" s="279" t="s">
        <v>1478</v>
      </c>
      <c r="C56" s="281">
        <f ca="1">1-C57</f>
        <v>0.88900000000000001</v>
      </c>
    </row>
    <row r="57" spans="1:7">
      <c r="B57" s="279" t="s">
        <v>1479</v>
      </c>
      <c r="C57" s="280">
        <f ca="1">ROUND(C51/C52,3)</f>
        <v>0.111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9" xr:uid="{00000000-0002-0000-2100-000003000000}">
      <formula1>"部分缴纳,全部缴纳"</formula1>
    </dataValidation>
    <dataValidation type="list" allowBlank="1" showInputMessage="1" showErrorMessage="1" sqref="G2" xr:uid="{00000000-0002-0000-2100-000004000000}">
      <formula1>估价方法</formula1>
    </dataValidation>
    <dataValidation type="list" allowBlank="1" showInputMessage="1" showErrorMessage="1" sqref="D2" xr:uid="{00000000-0002-0000-2100-000005000000}">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topLeftCell="A19" zoomScale="80" zoomScaleNormal="80" zoomScaleSheetLayoutView="80" workbookViewId="0">
      <selection activeCell="C66" sqref="C6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6416.15</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13039</v>
      </c>
      <c r="C2" s="2185" t="s">
        <v>2634</v>
      </c>
      <c r="D2" s="2186" t="s">
        <v>2635</v>
      </c>
      <c r="E2" s="2187" t="s">
        <v>27</v>
      </c>
      <c r="F2" s="2186" t="s">
        <v>2636</v>
      </c>
      <c r="G2" s="2188" t="str">
        <f>IF(E2="商业",项目基本情况!B37,IF(E2="办公",项目基本情况!C37,IF(E2="住宅",项目基本情况!D37,项目基本情况!E37)))</f>
        <v>三级</v>
      </c>
      <c r="H2" s="2186" t="s">
        <v>2637</v>
      </c>
      <c r="I2" s="2188" t="str">
        <f>IF(E2="商业",项目基本情况!B38,IF(E2="办公",项目基本情况!C38,IF(E2="住宅",项目基本情况!D38,项目基本情况!E38)))</f>
        <v>Ⅲ—06</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44423</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20322</v>
      </c>
      <c r="C3" s="2185" t="s">
        <v>2640</v>
      </c>
      <c r="D3" s="2186" t="s">
        <v>2641</v>
      </c>
      <c r="E3" s="2191" t="s">
        <v>3107</v>
      </c>
      <c r="F3" s="2192" t="s">
        <v>2642</v>
      </c>
      <c r="G3" s="855">
        <f>IF(F3="宗地容积率",'数据-汇总表'!I4,IF(F3="估价对象容积率",'数据-汇总表'!I6,'数据-汇总表'!I7))</f>
        <v>4.25</v>
      </c>
      <c r="H3" s="175" t="s">
        <v>2643</v>
      </c>
      <c r="I3" s="881"/>
      <c r="J3" s="2189" t="s">
        <v>2644</v>
      </c>
      <c r="K3" s="1280"/>
      <c r="L3" s="2190" t="s">
        <v>2645</v>
      </c>
      <c r="M3" s="995">
        <f>SUMPRODUCT((区片价!B29:B48=I2)*(区片价!C3:F3=E2)*(区片价!C29:F48))</f>
        <v>20110</v>
      </c>
      <c r="N3" s="997">
        <f>SUMPRODUCT((因素修正幅度!B29:B48=I2)*(因素修正幅度!C3:F3=E2)*(因素修正幅度!C29:F48))</f>
        <v>8.5999999999999993E-2</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31887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4"/>
      <c r="B4" s="3395"/>
      <c r="C4" s="3395"/>
      <c r="D4" s="3396"/>
      <c r="E4" s="3396"/>
      <c r="F4" s="3396"/>
      <c r="G4" s="3396"/>
      <c r="H4" s="3396"/>
      <c r="I4" s="3396"/>
      <c r="J4" s="3397"/>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25725</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20074</v>
      </c>
      <c r="D5" s="1523">
        <f>ROUND(C6+C16,0)</f>
        <v>20074</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20641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20110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17577</v>
      </c>
      <c r="U6" s="1375"/>
      <c r="V6" s="1374">
        <f t="shared" si="1"/>
        <v>0</v>
      </c>
      <c r="W6" s="1378"/>
      <c r="X6" s="1378"/>
      <c r="Y6" s="1378"/>
      <c r="Z6" s="1378"/>
      <c r="AA6" s="1378"/>
      <c r="AB6" s="1378"/>
      <c r="AC6" s="2199"/>
      <c r="AD6" s="2200"/>
      <c r="AE6" s="2200"/>
      <c r="AF6" s="2200"/>
      <c r="AG6" s="2200"/>
      <c r="AH6" s="2200"/>
      <c r="AI6" s="2200"/>
      <c r="AJ6" s="2201"/>
    </row>
    <row r="7" spans="1:36" ht="24">
      <c r="A7" s="3375"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15457</v>
      </c>
      <c r="U7" s="1375"/>
      <c r="V7" s="1374">
        <f t="shared" si="1"/>
        <v>0</v>
      </c>
      <c r="W7" s="1542" t="s">
        <v>2656</v>
      </c>
      <c r="X7" s="1376" t="str">
        <f>G2</f>
        <v>三级</v>
      </c>
      <c r="Y7" s="1376" t="s">
        <v>2657</v>
      </c>
      <c r="Z7" s="1377">
        <f>G3</f>
        <v>4.25</v>
      </c>
      <c r="AA7" s="1378"/>
      <c r="AB7" s="1378"/>
      <c r="AC7" s="1379"/>
      <c r="AD7" s="1380"/>
      <c r="AE7" s="1380"/>
      <c r="AF7" s="1380"/>
      <c r="AG7" s="1380"/>
      <c r="AH7" s="1380"/>
      <c r="AI7" s="1380"/>
      <c r="AJ7" s="1381"/>
    </row>
    <row r="8" spans="1:36" ht="15">
      <c r="A8" s="3398"/>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91" t="s">
        <v>2661</v>
      </c>
      <c r="X8" s="3392"/>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98"/>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93"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8"/>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9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8"/>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93" t="s">
        <v>2685</v>
      </c>
      <c r="X11" s="1386" t="s">
        <v>2686</v>
      </c>
      <c r="Y11" s="1387">
        <f>$G$3</f>
        <v>4.25</v>
      </c>
      <c r="Z11" s="1387">
        <f t="shared" ref="Z11:AJ11" si="3">$G$3</f>
        <v>4.25</v>
      </c>
      <c r="AA11" s="1387">
        <f t="shared" si="3"/>
        <v>4.25</v>
      </c>
      <c r="AB11" s="1387">
        <f t="shared" si="3"/>
        <v>4.25</v>
      </c>
      <c r="AC11" s="1387">
        <f t="shared" si="3"/>
        <v>4.25</v>
      </c>
      <c r="AD11" s="1387">
        <f t="shared" si="3"/>
        <v>4.25</v>
      </c>
      <c r="AE11" s="1387">
        <f t="shared" si="3"/>
        <v>4.25</v>
      </c>
      <c r="AF11" s="1387">
        <f t="shared" si="3"/>
        <v>4.25</v>
      </c>
      <c r="AG11" s="1387">
        <f t="shared" si="3"/>
        <v>4.25</v>
      </c>
      <c r="AH11" s="1387">
        <f t="shared" si="3"/>
        <v>4.25</v>
      </c>
      <c r="AI11" s="1387">
        <f t="shared" si="3"/>
        <v>4.25</v>
      </c>
      <c r="AJ11" s="1387">
        <f t="shared" si="3"/>
        <v>4.25</v>
      </c>
    </row>
    <row r="12" spans="1:36" ht="25.5" thickBot="1">
      <c r="A12" s="3375"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93"/>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9"/>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93"/>
      <c r="X13" s="1388"/>
      <c r="Y13" s="1385">
        <f>(-0.163*(Y12^2)-0.59*Y12+7617)*(10^(-4))/Y11</f>
        <v>0.17922352941176473</v>
      </c>
      <c r="Z13" s="1385">
        <f t="shared" ref="Z13:AJ13" si="5">(-0.163*(Z12^2)-0.59*Z12+7617)*(10^(-4))/Z11</f>
        <v>0.17922352941176473</v>
      </c>
      <c r="AA13" s="1385">
        <f t="shared" si="5"/>
        <v>0.17922352941176473</v>
      </c>
      <c r="AB13" s="1385">
        <f t="shared" si="5"/>
        <v>0.17922352941176473</v>
      </c>
      <c r="AC13" s="1385">
        <f t="shared" si="5"/>
        <v>0.17922352941176473</v>
      </c>
      <c r="AD13" s="1385">
        <f t="shared" si="5"/>
        <v>0.17922352941176473</v>
      </c>
      <c r="AE13" s="1385">
        <f t="shared" si="5"/>
        <v>0.17922352941176473</v>
      </c>
      <c r="AF13" s="1385">
        <f t="shared" si="5"/>
        <v>0.17922352941176473</v>
      </c>
      <c r="AG13" s="1385">
        <f t="shared" si="5"/>
        <v>0.17922352941176473</v>
      </c>
      <c r="AH13" s="1385">
        <f t="shared" si="5"/>
        <v>0.17922352941176473</v>
      </c>
      <c r="AI13" s="1385">
        <f t="shared" si="5"/>
        <v>0.17922352941176473</v>
      </c>
      <c r="AJ13" s="1385">
        <f t="shared" si="5"/>
        <v>0.17922352941176473</v>
      </c>
    </row>
    <row r="14" spans="1:36" ht="15">
      <c r="A14" s="3399"/>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400"/>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75" t="s">
        <v>2704</v>
      </c>
      <c r="B16" s="2209" t="s">
        <v>2705</v>
      </c>
      <c r="C16" s="2371">
        <f>ROUND(IF(F17="与级别开发程度一致",0,(G17-E17)/C17),0)</f>
        <v>-36</v>
      </c>
      <c r="D16" s="3388" t="s">
        <v>2709</v>
      </c>
      <c r="E16" s="3389"/>
      <c r="F16" s="3388" t="s">
        <v>2706</v>
      </c>
      <c r="G16" s="3389"/>
      <c r="H16" s="2241" t="s">
        <v>3109</v>
      </c>
      <c r="I16" s="2241" t="s">
        <v>3110</v>
      </c>
      <c r="J16" s="2375" t="s">
        <v>3111</v>
      </c>
      <c r="K16" s="2241" t="s">
        <v>3112</v>
      </c>
      <c r="L16" s="2241" t="s">
        <v>3113</v>
      </c>
      <c r="M16" s="2241" t="s">
        <v>3114</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76"/>
      <c r="B17" s="2382" t="s">
        <v>2708</v>
      </c>
      <c r="C17" s="2383">
        <f>SUMPRODUCT((修正!A2:A5=E2)*(修正!B1:M1=G2)*(修正!B2:M5))</f>
        <v>2.5</v>
      </c>
      <c r="D17" s="193" t="str">
        <f>IF(OR(G2="八级",G2="九级",G2="十级",G2="十一级",G2="十二级"),"五通一平","七通一平")</f>
        <v>七通一平</v>
      </c>
      <c r="E17" s="2372">
        <f>SUMPRODUCT((修正!B1:M1=G2)*(修正!B15:M15))</f>
        <v>300</v>
      </c>
      <c r="F17" s="2373" t="s">
        <v>3108</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1.3644000000000001</v>
      </c>
      <c r="D19" s="2251" t="s">
        <v>2713</v>
      </c>
      <c r="E19" s="864">
        <v>41640</v>
      </c>
      <c r="F19" s="2251" t="s">
        <v>2714</v>
      </c>
      <c r="G19" s="865">
        <f>'数据-取费表'!B2</f>
        <v>44490</v>
      </c>
      <c r="H19" s="2252" t="s">
        <v>3115</v>
      </c>
      <c r="I19" s="866" t="str">
        <f>IF(H19="季度增幅（自定义）",SUMIF(N21:N24,E2,O21:O24),"")</f>
        <v/>
      </c>
      <c r="J19" s="2249"/>
      <c r="K19" s="1287"/>
      <c r="L19" s="2253" t="s">
        <v>2715</v>
      </c>
      <c r="M19" s="1496">
        <f>ROUND(SUMIF(地价!B2:F2,E2,地价!B36:F36),0)</f>
        <v>258</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0.83299999999999996</v>
      </c>
      <c r="D20" s="2258" t="s">
        <v>2718</v>
      </c>
      <c r="E20" s="1505">
        <f>存贷款利率!E18/100</f>
        <v>4.3499999999999997E-2</v>
      </c>
      <c r="F20" s="2258" t="s">
        <v>2710</v>
      </c>
      <c r="G20" s="873">
        <f>SUMIF(M26:P26,E2,M28:P28)</f>
        <v>5.1999999999999998E-2</v>
      </c>
      <c r="H20" s="2258" t="s">
        <v>2719</v>
      </c>
      <c r="I20" s="874">
        <f>SUMIF('数据-取费表'!C6:C15,E2,'数据-取费表'!F6:F15)/COUNTIF('数据-取费表'!C6:C15,E2)</f>
        <v>28.73</v>
      </c>
      <c r="J20" s="875">
        <f>IF(E2="住宅",70,IF(E2="商业",40,50))</f>
        <v>50</v>
      </c>
      <c r="K20" s="1287"/>
      <c r="L20" s="2259" t="s">
        <v>2720</v>
      </c>
      <c r="M20" s="1497">
        <f>ROUND(SUMPRODUCT((地价!A4:A36=YEAR(G19)&amp;"-"&amp;ROUNDUP(MONTH(G19)/3,0))*(地价!B2:F2=E2)*(地价!B4:F36)),0)</f>
        <v>352</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3116</v>
      </c>
      <c r="C21" s="876">
        <f>IF(B21="容积率修正",IF(G3&lt;=10,D22,J22),C23)</f>
        <v>0.85219999999999996</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0.85219999999999996</v>
      </c>
      <c r="E22" s="855">
        <f>ROUNDDOWN(G3,1)</f>
        <v>4.2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0.85470000000000002</v>
      </c>
      <c r="G22" s="855">
        <f>ROUNDUP(G3,1)</f>
        <v>4.3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0.84960000000000002</v>
      </c>
      <c r="I22" s="1536"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1.0451999999999999</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13039</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20322</v>
      </c>
      <c r="D29" s="2296">
        <f>'数据-基础表'!B3</f>
        <v>6416.15</v>
      </c>
      <c r="E29" s="879">
        <f>ROUND(C29*D29/10000,0)</f>
        <v>13039</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5081</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5"/>
      <c r="B33" s="2312" t="s">
        <v>2750</v>
      </c>
      <c r="C33" s="180">
        <f>ROUND(D5*C19*C20*C24*F33,0)</f>
        <v>16692</v>
      </c>
      <c r="D33" s="2296"/>
      <c r="E33" s="176">
        <f>ROUND(C33*D33/10000,0)</f>
        <v>0</v>
      </c>
      <c r="F33" s="176">
        <f>SUMIF(修正!A45:A56,G2,修正!B45:B56)</f>
        <v>0.7</v>
      </c>
      <c r="G33" s="176">
        <f t="shared" ref="G33" si="6">ROUND(IF(E2="工业",C33*$M$39,C33*$M$38),0)</f>
        <v>4173</v>
      </c>
      <c r="H33" s="176">
        <f>D33</f>
        <v>0</v>
      </c>
      <c r="I33" s="176">
        <f>ROUND(G33*H33/10000,0)</f>
        <v>0</v>
      </c>
      <c r="J33" s="3390"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6"/>
      <c r="B34" s="2229" t="s">
        <v>2751</v>
      </c>
      <c r="C34" s="180">
        <f>ROUND(D5*C19*C20*C24*F34,0)</f>
        <v>9538</v>
      </c>
      <c r="D34" s="2296"/>
      <c r="E34" s="176">
        <f t="shared" ref="E34:E39" si="7">ROUND(C34*D34/10000,0)</f>
        <v>0</v>
      </c>
      <c r="F34" s="176">
        <f>SUMIF(修正!A45:A56,G2,修正!C45:C56)</f>
        <v>0.4</v>
      </c>
      <c r="G34" s="176">
        <f>ROUND(IF(E2="工业",C34*$M$39,C34*$M$38),0)</f>
        <v>2385</v>
      </c>
      <c r="H34" s="176">
        <f t="shared" ref="H34:H39" si="8">D34</f>
        <v>0</v>
      </c>
      <c r="I34" s="176">
        <f t="shared" ref="I34:I39" si="9">ROUND(G34*H34/10000,0)</f>
        <v>0</v>
      </c>
      <c r="J34" s="338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6"/>
      <c r="B35" s="2229" t="s">
        <v>2752</v>
      </c>
      <c r="C35" s="180">
        <f>ROUND(D5*C19*C20*C24*F35,0)</f>
        <v>6677</v>
      </c>
      <c r="D35" s="2296"/>
      <c r="E35" s="176">
        <f t="shared" si="7"/>
        <v>0</v>
      </c>
      <c r="F35" s="176">
        <f>SUMIF(修正!A45:A56,G2,修正!D45:D56)</f>
        <v>0.28000000000000003</v>
      </c>
      <c r="G35" s="176">
        <f>ROUND(IF(E2="工业",C35*$M$39,C35*$M$38),0)</f>
        <v>1669</v>
      </c>
      <c r="H35" s="176">
        <f t="shared" si="8"/>
        <v>0</v>
      </c>
      <c r="I35" s="176">
        <f t="shared" si="9"/>
        <v>0</v>
      </c>
      <c r="J35" s="338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7"/>
      <c r="B36" s="2229" t="s">
        <v>2753</v>
      </c>
      <c r="C36" s="180">
        <f>ROUND(D5*C19*C20*C24*F36,0)</f>
        <v>5962</v>
      </c>
      <c r="D36" s="2296"/>
      <c r="E36" s="176">
        <f t="shared" si="7"/>
        <v>0</v>
      </c>
      <c r="F36" s="176">
        <f>SUMIF(修正!A45:A56,G2,修正!E45:E56)</f>
        <v>0.25</v>
      </c>
      <c r="G36" s="176">
        <f>ROUND(IF(E2="工业",C36*$M$39,C36*$M$38),0)</f>
        <v>1491</v>
      </c>
      <c r="H36" s="176">
        <f t="shared" si="8"/>
        <v>0</v>
      </c>
      <c r="I36" s="176">
        <f t="shared" si="9"/>
        <v>0</v>
      </c>
      <c r="J36" s="338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5962</v>
      </c>
      <c r="D37" s="2296"/>
      <c r="E37" s="176">
        <f t="shared" si="7"/>
        <v>0</v>
      </c>
      <c r="F37" s="180">
        <f>SUMIF(修正!A45:A56,G2,修正!F45:F56)</f>
        <v>0.25</v>
      </c>
      <c r="G37" s="176">
        <f>ROUND(IF(E2="工业",C37*$M$39,C37*$M$38),0)</f>
        <v>1491</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5.1999999999999998E-2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1.0451999999999999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t="s">
        <v>3091</v>
      </c>
      <c r="D59" s="1196">
        <f t="shared" ref="D59:D67" si="15">SUMIF($J$58:$N$58,C59,J59:N59)</f>
        <v>1.03E-2</v>
      </c>
      <c r="E59" s="760">
        <f>ROUND(SUM(D59:D67),4)</f>
        <v>4.5199999999999997E-2</v>
      </c>
      <c r="F59" s="2000">
        <f>IF(E2="办公",SUMIF(L1:L12,G2,N1:N12),"——")</f>
        <v>8.5999999999999993E-2</v>
      </c>
      <c r="G59" s="1194">
        <v>1.03E-2</v>
      </c>
      <c r="H59" s="1198">
        <f t="shared" ref="H59:H67" si="16">IFERROR(ROUNDDOWN($F$59*I59/2,4),"——")</f>
        <v>1.03E-2</v>
      </c>
      <c r="I59" s="759">
        <v>0.24</v>
      </c>
      <c r="J59" s="1195">
        <f t="shared" ref="J59:J67" si="17">K59+$G59</f>
        <v>2.06E-2</v>
      </c>
      <c r="K59" s="1195">
        <f t="shared" ref="K59:K67" si="18">$L59+$G59</f>
        <v>1.03E-2</v>
      </c>
      <c r="L59" s="1195">
        <v>0</v>
      </c>
      <c r="M59" s="1195">
        <f t="shared" ref="M59:N67" si="19">L59-$G59</f>
        <v>-1.03E-2</v>
      </c>
      <c r="N59" s="1195">
        <f t="shared" si="19"/>
        <v>-2.06E-2</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t="s">
        <v>3091</v>
      </c>
      <c r="D60" s="1196">
        <f t="shared" si="15"/>
        <v>1.29E-2</v>
      </c>
      <c r="E60" s="761"/>
      <c r="F60" s="2000"/>
      <c r="G60" s="1194">
        <v>1.29E-2</v>
      </c>
      <c r="H60" s="1198">
        <f t="shared" si="16"/>
        <v>1.29E-2</v>
      </c>
      <c r="I60" s="759">
        <v>0.3</v>
      </c>
      <c r="J60" s="1195">
        <f t="shared" si="17"/>
        <v>2.58E-2</v>
      </c>
      <c r="K60" s="1195">
        <f t="shared" si="18"/>
        <v>1.29E-2</v>
      </c>
      <c r="L60" s="1195">
        <v>0</v>
      </c>
      <c r="M60" s="1195">
        <f t="shared" si="19"/>
        <v>-1.29E-2</v>
      </c>
      <c r="N60" s="1195">
        <f t="shared" si="19"/>
        <v>-2.58E-2</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t="s">
        <v>3091</v>
      </c>
      <c r="D61" s="1196">
        <f t="shared" si="15"/>
        <v>3.3999999999999998E-3</v>
      </c>
      <c r="E61" s="761"/>
      <c r="F61" s="2000"/>
      <c r="G61" s="1194">
        <v>3.3999999999999998E-3</v>
      </c>
      <c r="H61" s="1198">
        <f t="shared" si="16"/>
        <v>3.3999999999999998E-3</v>
      </c>
      <c r="I61" s="759">
        <v>0.08</v>
      </c>
      <c r="J61" s="1195">
        <f t="shared" si="17"/>
        <v>6.7999999999999996E-3</v>
      </c>
      <c r="K61" s="1195">
        <f t="shared" si="18"/>
        <v>3.3999999999999998E-3</v>
      </c>
      <c r="L61" s="1195">
        <v>0</v>
      </c>
      <c r="M61" s="1195">
        <f t="shared" si="19"/>
        <v>-3.3999999999999998E-3</v>
      </c>
      <c r="N61" s="1195">
        <f t="shared" si="19"/>
        <v>-6.7999999999999996E-3</v>
      </c>
      <c r="AA61" s="1281"/>
      <c r="AB61" s="1281"/>
      <c r="AC61" s="1281"/>
      <c r="AD61" s="1281"/>
      <c r="AE61" s="1281"/>
      <c r="AF61" s="1281"/>
      <c r="AG61" s="1281"/>
      <c r="AH61" s="1281"/>
      <c r="AI61" s="1281"/>
      <c r="AJ61" s="1281"/>
      <c r="AK61" s="1281"/>
    </row>
    <row r="62" spans="1:37" s="1280" customFormat="1" ht="36.75">
      <c r="A62" s="2329" t="s">
        <v>2772</v>
      </c>
      <c r="B62" s="2334" t="s">
        <v>2773</v>
      </c>
      <c r="C62" s="2234" t="s">
        <v>3091</v>
      </c>
      <c r="D62" s="1196">
        <f t="shared" si="15"/>
        <v>1.6999999999999999E-3</v>
      </c>
      <c r="E62" s="761"/>
      <c r="F62" s="200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t="s">
        <v>3091</v>
      </c>
      <c r="D63" s="1196">
        <f t="shared" si="15"/>
        <v>2.0999999999999999E-3</v>
      </c>
      <c r="E63" s="761"/>
      <c r="F63" s="2000"/>
      <c r="G63" s="1194">
        <v>2.0999999999999999E-3</v>
      </c>
      <c r="H63" s="1198">
        <f t="shared" si="16"/>
        <v>2.0999999999999999E-3</v>
      </c>
      <c r="I63" s="759">
        <v>0.05</v>
      </c>
      <c r="J63" s="1195">
        <f t="shared" si="17"/>
        <v>4.1999999999999997E-3</v>
      </c>
      <c r="K63" s="1195">
        <f t="shared" si="18"/>
        <v>2.0999999999999999E-3</v>
      </c>
      <c r="L63" s="1195">
        <v>0</v>
      </c>
      <c r="M63" s="1195">
        <f t="shared" si="19"/>
        <v>-2.0999999999999999E-3</v>
      </c>
      <c r="N63" s="1195">
        <f t="shared" si="19"/>
        <v>-4.1999999999999997E-3</v>
      </c>
      <c r="AA63" s="1281"/>
      <c r="AB63" s="1281"/>
      <c r="AC63" s="1281"/>
      <c r="AD63" s="1281"/>
      <c r="AE63" s="1281"/>
      <c r="AF63" s="1281"/>
      <c r="AG63" s="1281"/>
      <c r="AH63" s="1281"/>
      <c r="AI63" s="1281"/>
      <c r="AJ63" s="1281"/>
      <c r="AK63" s="1281"/>
    </row>
    <row r="64" spans="1:37" s="1280" customFormat="1" ht="24">
      <c r="A64" s="2329" t="s">
        <v>2775</v>
      </c>
      <c r="B64" s="2335" t="s">
        <v>2776</v>
      </c>
      <c r="C64" s="2234" t="s">
        <v>3091</v>
      </c>
      <c r="D64" s="1196">
        <f t="shared" si="15"/>
        <v>2.0999999999999999E-3</v>
      </c>
      <c r="E64" s="761"/>
      <c r="F64" s="2000"/>
      <c r="G64" s="1194">
        <v>2.0999999999999999E-3</v>
      </c>
      <c r="H64" s="1198">
        <f t="shared" si="16"/>
        <v>2.0999999999999999E-3</v>
      </c>
      <c r="I64" s="759">
        <v>0.05</v>
      </c>
      <c r="J64" s="1195">
        <f t="shared" si="17"/>
        <v>4.1999999999999997E-3</v>
      </c>
      <c r="K64" s="1195">
        <f t="shared" si="18"/>
        <v>2.0999999999999999E-3</v>
      </c>
      <c r="L64" s="1195">
        <v>0</v>
      </c>
      <c r="M64" s="1195">
        <f t="shared" si="19"/>
        <v>-2.0999999999999999E-3</v>
      </c>
      <c r="N64" s="1195">
        <f t="shared" si="19"/>
        <v>-4.1999999999999997E-3</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t="s">
        <v>3091</v>
      </c>
      <c r="D65" s="1196">
        <f t="shared" si="15"/>
        <v>2.5000000000000001E-3</v>
      </c>
      <c r="E65" s="761"/>
      <c r="F65" s="2000"/>
      <c r="G65" s="1194">
        <v>2.5000000000000001E-3</v>
      </c>
      <c r="H65" s="1198">
        <f t="shared" si="16"/>
        <v>2.5000000000000001E-3</v>
      </c>
      <c r="I65" s="759">
        <v>0.06</v>
      </c>
      <c r="J65" s="1195">
        <f t="shared" si="17"/>
        <v>5.0000000000000001E-3</v>
      </c>
      <c r="K65" s="1195">
        <f t="shared" si="18"/>
        <v>2.5000000000000001E-3</v>
      </c>
      <c r="L65" s="1195">
        <v>0</v>
      </c>
      <c r="M65" s="1195">
        <f t="shared" si="19"/>
        <v>-2.5000000000000001E-3</v>
      </c>
      <c r="N65" s="1195">
        <f t="shared" si="19"/>
        <v>-5.0000000000000001E-3</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t="s">
        <v>3117</v>
      </c>
      <c r="D66" s="1196">
        <f t="shared" si="15"/>
        <v>1.0200000000000001E-2</v>
      </c>
      <c r="E66" s="761"/>
      <c r="F66" s="2000"/>
      <c r="G66" s="1194">
        <v>5.1000000000000004E-3</v>
      </c>
      <c r="H66" s="1198">
        <f t="shared" si="16"/>
        <v>5.1000000000000004E-3</v>
      </c>
      <c r="I66" s="759">
        <v>0.12</v>
      </c>
      <c r="J66" s="1195">
        <f t="shared" si="17"/>
        <v>1.0200000000000001E-2</v>
      </c>
      <c r="K66" s="1195">
        <f t="shared" si="18"/>
        <v>5.1000000000000004E-3</v>
      </c>
      <c r="L66" s="1195">
        <v>0</v>
      </c>
      <c r="M66" s="1195">
        <f t="shared" si="19"/>
        <v>-5.1000000000000004E-3</v>
      </c>
      <c r="N66" s="1195">
        <f t="shared" si="19"/>
        <v>-1.0200000000000001E-2</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t="s">
        <v>3118</v>
      </c>
      <c r="D67" s="1196">
        <f t="shared" si="15"/>
        <v>0</v>
      </c>
      <c r="E67" s="764"/>
      <c r="F67" s="2000"/>
      <c r="G67" s="1194">
        <v>2.5000000000000001E-3</v>
      </c>
      <c r="H67" s="1198">
        <f t="shared" si="16"/>
        <v>2.5000000000000001E-3</v>
      </c>
      <c r="I67" s="763">
        <v>0.06</v>
      </c>
      <c r="J67" s="1195">
        <f t="shared" si="17"/>
        <v>5.0000000000000001E-3</v>
      </c>
      <c r="K67" s="1195">
        <f t="shared" si="18"/>
        <v>2.5000000000000001E-3</v>
      </c>
      <c r="L67" s="1195">
        <v>0</v>
      </c>
      <c r="M67" s="1195">
        <f t="shared" si="19"/>
        <v>-2.5000000000000001E-3</v>
      </c>
      <c r="N67" s="1195">
        <f t="shared" si="19"/>
        <v>-5.0000000000000001E-3</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hidden="1">
      <c r="A79" s="2325" t="s">
        <v>2787</v>
      </c>
      <c r="B79" s="2326">
        <f>1+E81</f>
        <v>1</v>
      </c>
      <c r="C79" s="753"/>
      <c r="D79" s="753"/>
      <c r="E79" s="754"/>
      <c r="F79" s="2328"/>
      <c r="G79" s="6"/>
      <c r="H79" s="6"/>
      <c r="I79" s="6"/>
      <c r="J79" s="7"/>
      <c r="K79" s="7"/>
      <c r="L79" s="7"/>
      <c r="M79" s="7"/>
      <c r="N79" s="7"/>
      <c r="Z79" s="2184"/>
      <c r="AA79" s="2250"/>
      <c r="AG79" s="1282"/>
      <c r="AK79" s="2250"/>
    </row>
    <row r="80" spans="1:37" ht="24.75" hidden="1">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hidden="1">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hidden="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hidden="1">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hidden="1">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hidden="1">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hidden="1">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hidden="1">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hidden="1"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7" t="s">
        <v>2791</v>
      </c>
      <c r="B90" s="3377"/>
      <c r="C90" s="3377"/>
      <c r="D90" s="3377"/>
      <c r="E90" s="3377"/>
      <c r="F90" s="3377"/>
      <c r="G90" s="3377"/>
      <c r="H90" s="3377"/>
      <c r="I90" s="3377"/>
      <c r="J90" s="3377"/>
      <c r="K90" s="2343"/>
      <c r="L90" s="2343"/>
      <c r="M90" s="2343"/>
      <c r="N90" s="2343"/>
    </row>
    <row r="91" spans="1:37">
      <c r="A91" s="3379" t="s">
        <v>2792</v>
      </c>
      <c r="B91" s="3379" t="s">
        <v>2793</v>
      </c>
      <c r="C91" s="2297" t="s">
        <v>2794</v>
      </c>
      <c r="D91" s="2298"/>
      <c r="E91" s="2298"/>
      <c r="F91" s="2298"/>
      <c r="G91" s="2298"/>
      <c r="H91" s="2298"/>
      <c r="I91" s="2298"/>
      <c r="J91" s="2344"/>
      <c r="K91" s="2345"/>
      <c r="L91" s="2345"/>
      <c r="M91" s="2345"/>
      <c r="N91" s="2345"/>
    </row>
    <row r="92" spans="1:37">
      <c r="A92" s="3379"/>
      <c r="B92" s="3379"/>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80"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1"/>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0" t="s">
        <v>2796</v>
      </c>
      <c r="B101" s="2350" t="s">
        <v>2797</v>
      </c>
      <c r="C101" s="2351">
        <f>$G$3</f>
        <v>4.25</v>
      </c>
      <c r="D101" s="2351">
        <f t="shared" ref="D101:N101" si="31">$G$3</f>
        <v>4.25</v>
      </c>
      <c r="E101" s="2351">
        <f t="shared" si="31"/>
        <v>4.25</v>
      </c>
      <c r="F101" s="2351">
        <f t="shared" si="31"/>
        <v>4.25</v>
      </c>
      <c r="G101" s="2351">
        <f t="shared" si="31"/>
        <v>4.25</v>
      </c>
      <c r="H101" s="2351">
        <f t="shared" si="31"/>
        <v>4.25</v>
      </c>
      <c r="I101" s="2351">
        <f t="shared" si="31"/>
        <v>4.25</v>
      </c>
      <c r="J101" s="2351">
        <f t="shared" si="31"/>
        <v>4.25</v>
      </c>
      <c r="K101" s="2351">
        <f t="shared" si="31"/>
        <v>4.25</v>
      </c>
      <c r="L101" s="2351">
        <f t="shared" si="31"/>
        <v>4.25</v>
      </c>
      <c r="M101" s="2351">
        <f t="shared" si="31"/>
        <v>4.25</v>
      </c>
      <c r="N101" s="2351">
        <f t="shared" si="31"/>
        <v>4.25</v>
      </c>
    </row>
    <row r="102" spans="1:14">
      <c r="A102" s="3381"/>
      <c r="B102" s="2346">
        <v>1</v>
      </c>
      <c r="C102" s="2347">
        <f>1.9362/C101</f>
        <v>0.45557647058823525</v>
      </c>
      <c r="D102" s="2347">
        <f>1.9362/D101</f>
        <v>0.45557647058823525</v>
      </c>
      <c r="E102" s="2347">
        <f>1.8629/E101</f>
        <v>0.43832941176470586</v>
      </c>
      <c r="F102" s="2347">
        <f>1.8629/F101</f>
        <v>0.43832941176470586</v>
      </c>
      <c r="G102" s="2347">
        <f>1.8629/G101</f>
        <v>0.43832941176470586</v>
      </c>
      <c r="H102" s="2347">
        <f>1.8629/H101</f>
        <v>0.43832941176470586</v>
      </c>
      <c r="I102" s="2347">
        <f>1.8629/I101</f>
        <v>0.43832941176470586</v>
      </c>
      <c r="J102" s="2347">
        <f>1.942/J101</f>
        <v>0.45694117647058824</v>
      </c>
      <c r="K102" s="2347">
        <f>1.942/K101</f>
        <v>0.45694117647058824</v>
      </c>
      <c r="L102" s="2347">
        <f>1.942/L101</f>
        <v>0.45694117647058824</v>
      </c>
      <c r="M102" s="2347">
        <f>1.942/M101</f>
        <v>0.45694117647058824</v>
      </c>
      <c r="N102" s="2347">
        <f>1.942/N101</f>
        <v>0.45694117647058824</v>
      </c>
    </row>
    <row r="103" spans="1:14">
      <c r="A103" s="3381"/>
      <c r="B103" s="2346">
        <v>2</v>
      </c>
      <c r="C103" s="2347">
        <f>1.4198/C101</f>
        <v>0.33407058823529412</v>
      </c>
      <c r="D103" s="2347">
        <f>1.4198/D101</f>
        <v>0.33407058823529412</v>
      </c>
      <c r="E103" s="2347">
        <f>1.3372/E101</f>
        <v>0.31463529411764707</v>
      </c>
      <c r="F103" s="2347">
        <f>1.3372/F101</f>
        <v>0.31463529411764707</v>
      </c>
      <c r="G103" s="2347">
        <f>1.3372/G101</f>
        <v>0.31463529411764707</v>
      </c>
      <c r="H103" s="2347">
        <f>1.3372/H101</f>
        <v>0.31463529411764707</v>
      </c>
      <c r="I103" s="2347">
        <f>1.3372/I101</f>
        <v>0.31463529411764707</v>
      </c>
      <c r="J103" s="2347">
        <f>1.2799/J101</f>
        <v>0.30115294117647062</v>
      </c>
      <c r="K103" s="2347">
        <f>1.2799/K101</f>
        <v>0.30115294117647062</v>
      </c>
      <c r="L103" s="2347">
        <f>1.2799/L101</f>
        <v>0.30115294117647062</v>
      </c>
      <c r="M103" s="2347">
        <f>1.2799/M101</f>
        <v>0.30115294117647062</v>
      </c>
      <c r="N103" s="2347">
        <f>1.2799/N101</f>
        <v>0.30115294117647062</v>
      </c>
    </row>
    <row r="104" spans="1:14">
      <c r="A104" s="3381"/>
      <c r="B104" s="2346">
        <v>3</v>
      </c>
      <c r="C104" s="2347">
        <f>1.1594/C101</f>
        <v>0.27279999999999999</v>
      </c>
      <c r="D104" s="2347">
        <f>1.1594/D101</f>
        <v>0.27279999999999999</v>
      </c>
      <c r="E104" s="2347">
        <f>1.0788/E101</f>
        <v>0.25383529411764705</v>
      </c>
      <c r="F104" s="2347">
        <f>1.0788/F101</f>
        <v>0.25383529411764705</v>
      </c>
      <c r="G104" s="2347">
        <f>1.0788/G101</f>
        <v>0.25383529411764705</v>
      </c>
      <c r="H104" s="2347">
        <f>1.0788/H101</f>
        <v>0.25383529411764705</v>
      </c>
      <c r="I104" s="2347">
        <f>1.0788/I101</f>
        <v>0.25383529411764705</v>
      </c>
      <c r="J104" s="2347">
        <f>1.0072/J101</f>
        <v>0.23698823529411767</v>
      </c>
      <c r="K104" s="2347">
        <f>1.0072/K101</f>
        <v>0.23698823529411767</v>
      </c>
      <c r="L104" s="2347">
        <f>1.0072/L101</f>
        <v>0.23698823529411767</v>
      </c>
      <c r="M104" s="2347">
        <f>1.0072/M101</f>
        <v>0.23698823529411767</v>
      </c>
      <c r="N104" s="2347">
        <f>1.0072/N101</f>
        <v>0.23698823529411767</v>
      </c>
    </row>
    <row r="105" spans="1:14">
      <c r="A105" s="3381"/>
      <c r="B105" s="2346">
        <v>4</v>
      </c>
      <c r="C105" s="2347">
        <f>0.9622/C101</f>
        <v>0.22640000000000002</v>
      </c>
      <c r="D105" s="2347">
        <f>0.9622/D101</f>
        <v>0.22640000000000002</v>
      </c>
      <c r="E105" s="2347">
        <f>0.8656/E101</f>
        <v>0.20367058823529413</v>
      </c>
      <c r="F105" s="2347">
        <f>0.8656/F101</f>
        <v>0.20367058823529413</v>
      </c>
      <c r="G105" s="2347">
        <f>0.8656/G101</f>
        <v>0.20367058823529413</v>
      </c>
      <c r="H105" s="2347">
        <f>0.8656/H101</f>
        <v>0.20367058823529413</v>
      </c>
      <c r="I105" s="2347">
        <f>0.8656/I101</f>
        <v>0.20367058823529413</v>
      </c>
      <c r="J105" s="2347">
        <f>0.7525/J101</f>
        <v>0.17705882352941174</v>
      </c>
      <c r="K105" s="2347">
        <f>0.7525/K101</f>
        <v>0.17705882352941174</v>
      </c>
      <c r="L105" s="2347">
        <f>0.7525/L101</f>
        <v>0.17705882352941174</v>
      </c>
      <c r="M105" s="2347">
        <f>0.7525/M101</f>
        <v>0.17705882352941174</v>
      </c>
      <c r="N105" s="2347">
        <f>0.7525/N101</f>
        <v>0.17705882352941174</v>
      </c>
    </row>
    <row r="106" spans="1:14">
      <c r="A106" s="3381"/>
      <c r="B106" s="2346">
        <v>5</v>
      </c>
      <c r="C106" s="2347">
        <f>0.8417/C101</f>
        <v>0.19804705882352941</v>
      </c>
      <c r="D106" s="2347">
        <f>0.8417/D101</f>
        <v>0.19804705882352941</v>
      </c>
      <c r="E106" s="2347">
        <f>0.7371/E101</f>
        <v>0.17343529411764705</v>
      </c>
      <c r="F106" s="2347">
        <f>0.7371/F101</f>
        <v>0.17343529411764705</v>
      </c>
      <c r="G106" s="2347">
        <f>0.7371/G101</f>
        <v>0.17343529411764705</v>
      </c>
      <c r="H106" s="2347">
        <f>0.7371/H101</f>
        <v>0.17343529411764705</v>
      </c>
      <c r="I106" s="2347">
        <f>0.7371/I101</f>
        <v>0.17343529411764705</v>
      </c>
      <c r="J106" s="2347">
        <f>0.5659/J101</f>
        <v>0.13315294117647059</v>
      </c>
      <c r="K106" s="2347">
        <f>0.5659/K101</f>
        <v>0.13315294117647059</v>
      </c>
      <c r="L106" s="2347">
        <f>0.5659/L101</f>
        <v>0.13315294117647059</v>
      </c>
      <c r="M106" s="2347">
        <f>0.5659/M101</f>
        <v>0.13315294117647059</v>
      </c>
      <c r="N106" s="2347">
        <f>0.5659/N101</f>
        <v>0.13315294117647059</v>
      </c>
    </row>
    <row r="107" spans="1:14">
      <c r="A107" s="3381"/>
      <c r="B107" s="2346">
        <v>6</v>
      </c>
      <c r="C107" s="2347">
        <f>0.7608/C101</f>
        <v>0.17901176470588237</v>
      </c>
      <c r="D107" s="2347">
        <f>0.7608/D101</f>
        <v>0.17901176470588237</v>
      </c>
      <c r="E107" s="2347">
        <f>0.6482/E101</f>
        <v>0.15251764705882354</v>
      </c>
      <c r="F107" s="2347">
        <f>0.6482/F101</f>
        <v>0.15251764705882354</v>
      </c>
      <c r="G107" s="2347">
        <f>0.6482/G101</f>
        <v>0.15251764705882354</v>
      </c>
      <c r="H107" s="2347">
        <f>0.6482/H101</f>
        <v>0.15251764705882354</v>
      </c>
      <c r="I107" s="2347">
        <f>0.6482/I101</f>
        <v>0.15251764705882354</v>
      </c>
      <c r="J107" s="2347">
        <f>0.4525/J101</f>
        <v>0.10647058823529412</v>
      </c>
      <c r="K107" s="2347">
        <f>0.4525/K101</f>
        <v>0.10647058823529412</v>
      </c>
      <c r="L107" s="2347">
        <f>0.4525/L101</f>
        <v>0.10647058823529412</v>
      </c>
      <c r="M107" s="2347">
        <f>0.4525/M101</f>
        <v>0.10647058823529412</v>
      </c>
      <c r="N107" s="2347">
        <f>0.4525/N101</f>
        <v>0.10647058823529412</v>
      </c>
    </row>
    <row r="108" spans="1:14">
      <c r="A108" s="3381"/>
      <c r="B108" s="3383"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2"/>
      <c r="B109" s="3384"/>
      <c r="C109" s="2349">
        <f>(-0.163*(C108^2)-0.59*C108+7617)*(10^(-4))/C101</f>
        <v>0.17922352941176473</v>
      </c>
      <c r="D109" s="2349">
        <f>(-0.163*(D108^2)-0.59*D108+7617)*(10^(-4))/D101</f>
        <v>0.17922352941176473</v>
      </c>
      <c r="E109" s="2349">
        <f>(-0.161*(E108^2)-7.509*E108+6533)*(10^(-4))/E101</f>
        <v>0.15371764705882351</v>
      </c>
      <c r="F109" s="2349">
        <f>(-0.161*(F108^2)-7.509*F108+6533)*(10^(-4))/F101</f>
        <v>0.15371764705882351</v>
      </c>
      <c r="G109" s="2349">
        <f>(-0.161*(G108^2)-7.509*G108+6533)*(10^(-4))/G101</f>
        <v>0.15371764705882351</v>
      </c>
      <c r="H109" s="2349">
        <f>(-0.161*(H108^2)-7.509*H108+6533)*(10^(-4))/H101</f>
        <v>0.15371764705882351</v>
      </c>
      <c r="I109" s="2349">
        <f>(-0.161*(I108^2)-7.509*I108+6533)*(10^(-4))/I101</f>
        <v>0.15371764705882351</v>
      </c>
      <c r="J109" s="2349">
        <f>(-0.214*(J108^2)-21.991*J108+4665)*(10^(-4))/J101</f>
        <v>0.10976470588235294</v>
      </c>
      <c r="K109" s="2349">
        <f>(-0.214*(K108^2)-21.991*K108+4665)*(10^(-4))/K101</f>
        <v>0.10976470588235294</v>
      </c>
      <c r="L109" s="2349">
        <f>(-0.214*(L108^2)-21.991*L108+4665)*(10^(-4))/L101</f>
        <v>0.10976470588235294</v>
      </c>
      <c r="M109" s="2349">
        <f>(-0.214*(M108^2)-21.991*M108+4665)*(10^(-4))/M101</f>
        <v>0.10976470588235294</v>
      </c>
      <c r="N109" s="2349">
        <f>(-0.214*(N108^2)-21.991*N108+4665)*(10^(-4))/N101</f>
        <v>0.10976470588235294</v>
      </c>
    </row>
    <row r="110" spans="1:14">
      <c r="A110" s="3378" t="s">
        <v>2799</v>
      </c>
      <c r="B110" s="3378"/>
      <c r="C110" s="3378"/>
      <c r="D110" s="3378"/>
      <c r="E110" s="3378"/>
      <c r="F110" s="3378"/>
      <c r="G110" s="3378"/>
      <c r="H110" s="3378"/>
      <c r="I110" s="3378"/>
      <c r="J110" s="3378"/>
      <c r="K110" s="2352"/>
      <c r="L110" s="2352"/>
      <c r="M110" s="2352"/>
      <c r="N110" s="2352"/>
    </row>
    <row r="112" spans="1:14" ht="13.5" thickBot="1"/>
    <row r="113" spans="1:13" ht="25.5" thickBot="1">
      <c r="A113" s="842" t="s">
        <v>2800</v>
      </c>
      <c r="B113" s="1197">
        <f>G3</f>
        <v>4.25</v>
      </c>
      <c r="C113" s="843" t="s">
        <v>2801</v>
      </c>
      <c r="D113" s="844">
        <f>SUMPRODUCT((A115:A118=F113)*(B114:M114=H113)*B115:M118)</f>
        <v>0.80149999999999999</v>
      </c>
      <c r="E113" s="2188" t="s">
        <v>2635</v>
      </c>
      <c r="F113" s="2354" t="str">
        <f>E2</f>
        <v>办公</v>
      </c>
      <c r="G113" s="2188" t="s">
        <v>2636</v>
      </c>
      <c r="H113" s="2354" t="str">
        <f>G2</f>
        <v>三级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0.89359999999999995</v>
      </c>
      <c r="C115" s="849">
        <f>B115</f>
        <v>0.89359999999999995</v>
      </c>
      <c r="D115" s="849">
        <f>ROUND(0.8331-0.0109*B113,4)</f>
        <v>0.78680000000000005</v>
      </c>
      <c r="E115" s="849">
        <f>D115</f>
        <v>0.78680000000000005</v>
      </c>
      <c r="F115" s="849">
        <f>E115</f>
        <v>0.78680000000000005</v>
      </c>
      <c r="G115" s="849">
        <f>F115</f>
        <v>0.78680000000000005</v>
      </c>
      <c r="H115" s="849">
        <f>G115</f>
        <v>0.78680000000000005</v>
      </c>
      <c r="I115" s="849">
        <f>ROUND(0.689-0.0155*B113,4)</f>
        <v>0.62309999999999999</v>
      </c>
      <c r="J115" s="849">
        <f t="shared" ref="J115:M118" si="33">I115</f>
        <v>0.62309999999999999</v>
      </c>
      <c r="K115" s="849">
        <f t="shared" si="33"/>
        <v>0.62309999999999999</v>
      </c>
      <c r="L115" s="849">
        <f t="shared" si="33"/>
        <v>0.62309999999999999</v>
      </c>
      <c r="M115" s="850">
        <f t="shared" si="33"/>
        <v>0.62309999999999999</v>
      </c>
    </row>
    <row r="116" spans="1:13">
      <c r="A116" s="848" t="s">
        <v>2701</v>
      </c>
      <c r="B116" s="849">
        <f>ROUND(0.949-0.012*B113,4)</f>
        <v>0.89800000000000002</v>
      </c>
      <c r="C116" s="849">
        <f>B116</f>
        <v>0.89800000000000002</v>
      </c>
      <c r="D116" s="849">
        <f>ROUND(0.8567-0.013*B113,4)</f>
        <v>0.80149999999999999</v>
      </c>
      <c r="E116" s="849">
        <f t="shared" ref="E116:H117" si="34">D116</f>
        <v>0.80149999999999999</v>
      </c>
      <c r="F116" s="849">
        <f t="shared" si="34"/>
        <v>0.80149999999999999</v>
      </c>
      <c r="G116" s="849">
        <f t="shared" si="34"/>
        <v>0.80149999999999999</v>
      </c>
      <c r="H116" s="849">
        <f t="shared" si="34"/>
        <v>0.80149999999999999</v>
      </c>
      <c r="I116" s="849">
        <f>ROUND(0.7694-0.014*B113,4)</f>
        <v>0.70989999999999998</v>
      </c>
      <c r="J116" s="849">
        <f t="shared" si="33"/>
        <v>0.70989999999999998</v>
      </c>
      <c r="K116" s="849">
        <f t="shared" si="33"/>
        <v>0.70989999999999998</v>
      </c>
      <c r="L116" s="849">
        <f t="shared" si="33"/>
        <v>0.70989999999999998</v>
      </c>
      <c r="M116" s="850">
        <f t="shared" si="33"/>
        <v>0.70989999999999998</v>
      </c>
    </row>
    <row r="117" spans="1:13">
      <c r="A117" s="848" t="s">
        <v>2702</v>
      </c>
      <c r="B117" s="849">
        <f>ROUND(0.8808-0.006*B113,4)</f>
        <v>0.85529999999999995</v>
      </c>
      <c r="C117" s="849">
        <f>B117</f>
        <v>0.85529999999999995</v>
      </c>
      <c r="D117" s="849">
        <f>ROUND(0.8748-0.008*B113,4)</f>
        <v>0.84079999999999999</v>
      </c>
      <c r="E117" s="849">
        <f t="shared" si="34"/>
        <v>0.84079999999999999</v>
      </c>
      <c r="F117" s="849">
        <f t="shared" si="34"/>
        <v>0.84079999999999999</v>
      </c>
      <c r="G117" s="849">
        <f t="shared" si="34"/>
        <v>0.84079999999999999</v>
      </c>
      <c r="H117" s="849">
        <f t="shared" si="34"/>
        <v>0.84079999999999999</v>
      </c>
      <c r="I117" s="849">
        <f>ROUND(0.7412-0.0095*B113,4)</f>
        <v>0.70079999999999998</v>
      </c>
      <c r="J117" s="849">
        <f t="shared" si="33"/>
        <v>0.70079999999999998</v>
      </c>
      <c r="K117" s="849">
        <f t="shared" si="33"/>
        <v>0.70079999999999998</v>
      </c>
      <c r="L117" s="849">
        <f t="shared" si="33"/>
        <v>0.70079999999999998</v>
      </c>
      <c r="M117" s="850">
        <f t="shared" si="33"/>
        <v>0.70079999999999998</v>
      </c>
    </row>
    <row r="118" spans="1:13" ht="13.5" thickBot="1">
      <c r="A118" s="670" t="s">
        <v>2703</v>
      </c>
      <c r="B118" s="851">
        <f>ROUND(0.7275-0.01*B113,4)</f>
        <v>0.68500000000000005</v>
      </c>
      <c r="C118" s="851">
        <f>B118</f>
        <v>0.68500000000000005</v>
      </c>
      <c r="D118" s="851">
        <f>ROUND(0.7043-0.012*B113,4)</f>
        <v>0.65329999999999999</v>
      </c>
      <c r="E118" s="851">
        <f>D118</f>
        <v>0.65329999999999999</v>
      </c>
      <c r="F118" s="851">
        <f>E118</f>
        <v>0.65329999999999999</v>
      </c>
      <c r="G118" s="851">
        <f>ROUND(0.6299-0.0122*B113,4)</f>
        <v>0.57809999999999995</v>
      </c>
      <c r="H118" s="851">
        <f>G118</f>
        <v>0.57809999999999995</v>
      </c>
      <c r="I118" s="851">
        <f>ROUND(0.5667-0.0136*B113,4)</f>
        <v>0.50890000000000002</v>
      </c>
      <c r="J118" s="851">
        <f t="shared" si="33"/>
        <v>0.50890000000000002</v>
      </c>
      <c r="K118" s="851">
        <f t="shared" si="33"/>
        <v>0.50890000000000002</v>
      </c>
      <c r="L118" s="851">
        <f t="shared" si="33"/>
        <v>0.50890000000000002</v>
      </c>
      <c r="M118" s="852">
        <f t="shared" si="33"/>
        <v>0.50890000000000002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1" t="s">
        <v>183</v>
      </c>
      <c r="B18" s="821" t="s">
        <v>560</v>
      </c>
      <c r="C18" s="822" t="s">
        <v>561</v>
      </c>
      <c r="D18" s="823"/>
      <c r="E18" s="821">
        <v>1</v>
      </c>
      <c r="F18" s="824" t="s">
        <v>562</v>
      </c>
      <c r="G18" s="825"/>
      <c r="H18" s="817"/>
      <c r="I18" s="817"/>
    </row>
    <row r="19" spans="1:9" s="826" customFormat="1" ht="19.5" customHeight="1">
      <c r="A19" s="3401"/>
      <c r="B19" s="3401" t="s">
        <v>563</v>
      </c>
      <c r="C19" s="822" t="s">
        <v>564</v>
      </c>
      <c r="D19" s="823"/>
      <c r="E19" s="821">
        <v>0.9</v>
      </c>
      <c r="F19" s="824" t="s">
        <v>565</v>
      </c>
      <c r="G19" s="825"/>
      <c r="H19" s="817"/>
      <c r="I19" s="817"/>
    </row>
    <row r="20" spans="1:9" s="826" customFormat="1" ht="19.5" customHeight="1">
      <c r="A20" s="3401"/>
      <c r="B20" s="3401"/>
      <c r="C20" s="822" t="s">
        <v>566</v>
      </c>
      <c r="D20" s="823"/>
      <c r="E20" s="821">
        <v>1.1000000000000001</v>
      </c>
      <c r="F20" s="824" t="s">
        <v>567</v>
      </c>
      <c r="G20" s="825"/>
      <c r="H20" s="817"/>
      <c r="I20" s="817"/>
    </row>
    <row r="21" spans="1:9" s="826" customFormat="1" ht="19.5" customHeight="1">
      <c r="A21" s="3401"/>
      <c r="B21" s="3401"/>
      <c r="C21" s="822" t="s">
        <v>568</v>
      </c>
      <c r="D21" s="823"/>
      <c r="E21" s="821">
        <v>0.8</v>
      </c>
      <c r="F21" s="824" t="s">
        <v>569</v>
      </c>
      <c r="G21" s="825"/>
      <c r="H21" s="817"/>
      <c r="I21" s="817"/>
    </row>
    <row r="22" spans="1:9" s="826" customFormat="1" ht="19.5" customHeight="1">
      <c r="A22" s="3401"/>
      <c r="B22" s="3401"/>
      <c r="C22" s="822" t="s">
        <v>570</v>
      </c>
      <c r="D22" s="823"/>
      <c r="E22" s="821">
        <v>0.5</v>
      </c>
      <c r="F22" s="824"/>
      <c r="G22" s="825"/>
      <c r="H22" s="817"/>
      <c r="I22" s="817"/>
    </row>
    <row r="23" spans="1:9" s="826" customFormat="1" ht="19.5" customHeight="1">
      <c r="A23" s="3401" t="s">
        <v>184</v>
      </c>
      <c r="B23" s="821" t="s">
        <v>560</v>
      </c>
      <c r="C23" s="822" t="s">
        <v>571</v>
      </c>
      <c r="D23" s="823"/>
      <c r="E23" s="821">
        <v>1</v>
      </c>
      <c r="F23" s="824" t="s">
        <v>572</v>
      </c>
      <c r="G23" s="825"/>
      <c r="H23" s="817"/>
      <c r="I23" s="817"/>
    </row>
    <row r="24" spans="1:9" s="826" customFormat="1" ht="19.5" customHeight="1">
      <c r="A24" s="3401"/>
      <c r="B24" s="3401" t="s">
        <v>563</v>
      </c>
      <c r="C24" s="822" t="s">
        <v>573</v>
      </c>
      <c r="D24" s="823"/>
      <c r="E24" s="821">
        <v>0.5</v>
      </c>
      <c r="F24" s="824"/>
      <c r="G24" s="825"/>
      <c r="H24" s="817"/>
      <c r="I24" s="817"/>
    </row>
    <row r="25" spans="1:9" s="826" customFormat="1" ht="19.5" customHeight="1">
      <c r="A25" s="3401"/>
      <c r="B25" s="3401"/>
      <c r="C25" s="822" t="s">
        <v>574</v>
      </c>
      <c r="D25" s="823"/>
      <c r="E25" s="821">
        <v>1.1000000000000001</v>
      </c>
      <c r="F25" s="824"/>
      <c r="G25" s="825"/>
      <c r="H25" s="817"/>
      <c r="I25" s="817"/>
    </row>
    <row r="26" spans="1:9" s="826" customFormat="1" ht="19.5" customHeight="1">
      <c r="A26" s="3401"/>
      <c r="B26" s="3401"/>
      <c r="C26" s="822" t="s">
        <v>575</v>
      </c>
      <c r="D26" s="823"/>
      <c r="E26" s="821">
        <v>1.1000000000000001</v>
      </c>
      <c r="F26" s="824"/>
      <c r="G26" s="825"/>
      <c r="H26" s="817"/>
      <c r="I26" s="817"/>
    </row>
    <row r="27" spans="1:9" s="826" customFormat="1" ht="19.5" customHeight="1">
      <c r="A27" s="3401"/>
      <c r="B27" s="3401"/>
      <c r="C27" s="822" t="s">
        <v>576</v>
      </c>
      <c r="D27" s="823"/>
      <c r="E27" s="821">
        <v>0.9</v>
      </c>
      <c r="F27" s="824" t="s">
        <v>577</v>
      </c>
      <c r="G27" s="825"/>
      <c r="H27" s="817"/>
      <c r="I27" s="817"/>
    </row>
    <row r="28" spans="1:9" s="826" customFormat="1" ht="19.5" customHeight="1">
      <c r="A28" s="3401"/>
      <c r="B28" s="3401"/>
      <c r="C28" s="822" t="s">
        <v>578</v>
      </c>
      <c r="D28" s="823"/>
      <c r="E28" s="821">
        <v>0.9</v>
      </c>
      <c r="F28" s="824" t="s">
        <v>579</v>
      </c>
      <c r="G28" s="825"/>
      <c r="H28" s="817"/>
      <c r="I28" s="817"/>
    </row>
    <row r="29" spans="1:9" s="826" customFormat="1" ht="19.5" customHeight="1">
      <c r="A29" s="3401"/>
      <c r="B29" s="3401"/>
      <c r="C29" s="822" t="s">
        <v>580</v>
      </c>
      <c r="D29" s="823"/>
      <c r="E29" s="821">
        <v>0.9</v>
      </c>
      <c r="F29" s="824" t="s">
        <v>581</v>
      </c>
      <c r="G29" s="825"/>
      <c r="H29" s="817"/>
      <c r="I29" s="817"/>
    </row>
    <row r="30" spans="1:9" s="826" customFormat="1" ht="19.5" customHeight="1">
      <c r="A30" s="3401"/>
      <c r="B30" s="3401"/>
      <c r="C30" s="822" t="s">
        <v>582</v>
      </c>
      <c r="D30" s="823"/>
      <c r="E30" s="821">
        <v>0.9</v>
      </c>
      <c r="F30" s="824" t="s">
        <v>583</v>
      </c>
      <c r="G30" s="825"/>
      <c r="H30" s="817"/>
      <c r="I30" s="817"/>
    </row>
    <row r="31" spans="1:9" s="826" customFormat="1" ht="19.5" customHeight="1">
      <c r="A31" s="3401"/>
      <c r="B31" s="3401"/>
      <c r="C31" s="822" t="s">
        <v>584</v>
      </c>
      <c r="D31" s="823"/>
      <c r="E31" s="821">
        <v>0.8</v>
      </c>
      <c r="F31" s="824" t="s">
        <v>585</v>
      </c>
      <c r="G31" s="825"/>
      <c r="H31" s="817"/>
      <c r="I31" s="817"/>
    </row>
    <row r="32" spans="1:9" s="826" customFormat="1" ht="19.5" customHeight="1">
      <c r="A32" s="3401"/>
      <c r="B32" s="3401"/>
      <c r="C32" s="822" t="s">
        <v>586</v>
      </c>
      <c r="D32" s="823"/>
      <c r="E32" s="821">
        <v>0.8</v>
      </c>
      <c r="F32" s="824" t="s">
        <v>587</v>
      </c>
      <c r="G32" s="825"/>
      <c r="H32" s="817"/>
      <c r="I32" s="817"/>
    </row>
    <row r="33" spans="1:9" s="826" customFormat="1" ht="19.5" customHeight="1">
      <c r="A33" s="3401" t="s">
        <v>185</v>
      </c>
      <c r="B33" s="821" t="s">
        <v>560</v>
      </c>
      <c r="C33" s="822" t="s">
        <v>588</v>
      </c>
      <c r="D33" s="823"/>
      <c r="E33" s="821">
        <v>1</v>
      </c>
      <c r="F33" s="824" t="s">
        <v>589</v>
      </c>
      <c r="G33" s="825"/>
      <c r="H33" s="817"/>
      <c r="I33" s="817"/>
    </row>
    <row r="34" spans="1:9" s="826" customFormat="1" ht="19.5" customHeight="1">
      <c r="A34" s="3401"/>
      <c r="B34" s="821" t="s">
        <v>563</v>
      </c>
      <c r="C34" s="822" t="s">
        <v>590</v>
      </c>
      <c r="D34" s="823"/>
      <c r="E34" s="821">
        <v>1.5</v>
      </c>
      <c r="F34" s="824" t="s">
        <v>591</v>
      </c>
      <c r="G34" s="825"/>
      <c r="H34" s="817"/>
      <c r="I34" s="817"/>
    </row>
    <row r="35" spans="1:9" s="826" customFormat="1" ht="19.5" customHeight="1">
      <c r="A35" s="3401" t="s">
        <v>186</v>
      </c>
      <c r="B35" s="821" t="s">
        <v>560</v>
      </c>
      <c r="C35" s="822" t="s">
        <v>592</v>
      </c>
      <c r="D35" s="823"/>
      <c r="E35" s="821">
        <v>1</v>
      </c>
      <c r="F35" s="824" t="s">
        <v>593</v>
      </c>
      <c r="G35" s="825"/>
      <c r="H35" s="817"/>
      <c r="I35" s="817"/>
    </row>
    <row r="36" spans="1:9" s="826" customFormat="1" ht="19.5" customHeight="1">
      <c r="A36" s="3401"/>
      <c r="B36" s="3401" t="s">
        <v>563</v>
      </c>
      <c r="C36" s="822" t="s">
        <v>594</v>
      </c>
      <c r="D36" s="823"/>
      <c r="E36" s="821">
        <v>1</v>
      </c>
      <c r="F36" s="824" t="s">
        <v>595</v>
      </c>
      <c r="G36" s="825"/>
      <c r="H36" s="817"/>
      <c r="I36" s="817"/>
    </row>
    <row r="37" spans="1:9" s="826" customFormat="1" ht="19.5" customHeight="1">
      <c r="A37" s="3401"/>
      <c r="B37" s="3401"/>
      <c r="C37" s="822" t="s">
        <v>596</v>
      </c>
      <c r="D37" s="823"/>
      <c r="E37" s="821">
        <v>1.5</v>
      </c>
      <c r="F37" s="824" t="s">
        <v>597</v>
      </c>
      <c r="G37" s="825"/>
      <c r="H37" s="817"/>
      <c r="I37" s="817"/>
    </row>
    <row r="38" spans="1:9" s="826" customFormat="1" ht="19.5" customHeight="1">
      <c r="A38" s="3401"/>
      <c r="B38" s="3401"/>
      <c r="C38" s="822" t="s">
        <v>598</v>
      </c>
      <c r="D38" s="823"/>
      <c r="E38" s="821">
        <v>1</v>
      </c>
      <c r="F38" s="824" t="s">
        <v>599</v>
      </c>
      <c r="G38" s="825"/>
      <c r="H38" s="817"/>
      <c r="I38" s="817"/>
    </row>
    <row r="39" spans="1:9" s="826" customFormat="1" ht="19.5" customHeight="1">
      <c r="A39" s="3401"/>
      <c r="B39" s="34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1" t="s">
        <v>614</v>
      </c>
      <c r="C61" s="757" t="s">
        <v>615</v>
      </c>
      <c r="D61" s="757" t="s">
        <v>616</v>
      </c>
      <c r="E61" s="834">
        <v>0.5</v>
      </c>
      <c r="F61" s="821">
        <v>80</v>
      </c>
    </row>
    <row r="62" spans="1:8" s="817" customFormat="1" ht="24">
      <c r="A62" s="821">
        <v>2</v>
      </c>
      <c r="B62" s="3401"/>
      <c r="C62" s="757" t="s">
        <v>617</v>
      </c>
      <c r="D62" s="757" t="s">
        <v>618</v>
      </c>
      <c r="E62" s="834">
        <v>0.5</v>
      </c>
      <c r="F62" s="821">
        <v>80</v>
      </c>
    </row>
    <row r="63" spans="1:8" s="817" customFormat="1" ht="36">
      <c r="A63" s="821">
        <v>3</v>
      </c>
      <c r="B63" s="3401"/>
      <c r="C63" s="757" t="s">
        <v>619</v>
      </c>
      <c r="D63" s="757" t="s">
        <v>620</v>
      </c>
      <c r="E63" s="834">
        <v>0.5</v>
      </c>
      <c r="F63" s="821">
        <v>80</v>
      </c>
    </row>
    <row r="64" spans="1:8" s="817" customFormat="1" ht="36">
      <c r="A64" s="821">
        <v>4</v>
      </c>
      <c r="B64" s="3401"/>
      <c r="C64" s="757" t="s">
        <v>621</v>
      </c>
      <c r="D64" s="757" t="s">
        <v>622</v>
      </c>
      <c r="E64" s="834">
        <v>0.4</v>
      </c>
      <c r="F64" s="821">
        <v>60</v>
      </c>
    </row>
    <row r="65" spans="1:6" s="817" customFormat="1" ht="36">
      <c r="A65" s="821">
        <v>5</v>
      </c>
      <c r="B65" s="3401"/>
      <c r="C65" s="757" t="s">
        <v>623</v>
      </c>
      <c r="D65" s="757" t="s">
        <v>624</v>
      </c>
      <c r="E65" s="834">
        <v>0.2</v>
      </c>
      <c r="F65" s="821">
        <v>30</v>
      </c>
    </row>
    <row r="66" spans="1:6" s="817" customFormat="1" ht="36">
      <c r="A66" s="821">
        <v>6</v>
      </c>
      <c r="B66" s="3401"/>
      <c r="C66" s="757" t="s">
        <v>625</v>
      </c>
      <c r="D66" s="757" t="s">
        <v>626</v>
      </c>
      <c r="E66" s="834">
        <v>0.3</v>
      </c>
      <c r="F66" s="821">
        <v>50</v>
      </c>
    </row>
    <row r="67" spans="1:6" s="817" customFormat="1" ht="36">
      <c r="A67" s="821">
        <v>7</v>
      </c>
      <c r="B67" s="3401"/>
      <c r="C67" s="757" t="s">
        <v>627</v>
      </c>
      <c r="D67" s="757" t="s">
        <v>628</v>
      </c>
      <c r="E67" s="834">
        <v>0.2</v>
      </c>
      <c r="F67" s="821">
        <v>30</v>
      </c>
    </row>
    <row r="68" spans="1:6" s="817" customFormat="1" ht="36">
      <c r="A68" s="821">
        <v>8</v>
      </c>
      <c r="B68" s="3401"/>
      <c r="C68" s="757" t="s">
        <v>629</v>
      </c>
      <c r="D68" s="757" t="s">
        <v>630</v>
      </c>
      <c r="E68" s="834">
        <v>0.2</v>
      </c>
      <c r="F68" s="821">
        <v>30</v>
      </c>
    </row>
    <row r="69" spans="1:6" s="817" customFormat="1" ht="36">
      <c r="A69" s="821">
        <v>9</v>
      </c>
      <c r="B69" s="3401"/>
      <c r="C69" s="757" t="s">
        <v>631</v>
      </c>
      <c r="D69" s="757" t="s">
        <v>632</v>
      </c>
      <c r="E69" s="834">
        <v>0.2</v>
      </c>
      <c r="F69" s="821">
        <v>30</v>
      </c>
    </row>
    <row r="70" spans="1:6" s="817" customFormat="1" ht="48">
      <c r="A70" s="821">
        <v>10</v>
      </c>
      <c r="B70" s="3401"/>
      <c r="C70" s="757" t="s">
        <v>633</v>
      </c>
      <c r="D70" s="757" t="s">
        <v>634</v>
      </c>
      <c r="E70" s="834">
        <v>0.2</v>
      </c>
      <c r="F70" s="821">
        <v>30</v>
      </c>
    </row>
    <row r="71" spans="1:6" s="817" customFormat="1" ht="48">
      <c r="A71" s="821">
        <v>11</v>
      </c>
      <c r="B71" s="3401"/>
      <c r="C71" s="757" t="s">
        <v>635</v>
      </c>
      <c r="D71" s="757" t="s">
        <v>636</v>
      </c>
      <c r="E71" s="834">
        <v>0.2</v>
      </c>
      <c r="F71" s="821">
        <v>30</v>
      </c>
    </row>
    <row r="72" spans="1:6" s="817" customFormat="1" ht="36">
      <c r="A72" s="821">
        <v>12</v>
      </c>
      <c r="B72" s="3401"/>
      <c r="C72" s="757" t="s">
        <v>637</v>
      </c>
      <c r="D72" s="757" t="s">
        <v>638</v>
      </c>
      <c r="E72" s="834">
        <v>0.5</v>
      </c>
      <c r="F72" s="821">
        <v>80</v>
      </c>
    </row>
    <row r="73" spans="1:6" s="817" customFormat="1" ht="24">
      <c r="A73" s="821">
        <v>13</v>
      </c>
      <c r="B73" s="3401"/>
      <c r="C73" s="757" t="s">
        <v>639</v>
      </c>
      <c r="D73" s="757" t="s">
        <v>640</v>
      </c>
      <c r="E73" s="834">
        <v>0.4</v>
      </c>
      <c r="F73" s="821">
        <v>60</v>
      </c>
    </row>
    <row r="74" spans="1:6" s="817" customFormat="1" ht="24">
      <c r="A74" s="821">
        <v>14</v>
      </c>
      <c r="B74" s="3401"/>
      <c r="C74" s="757" t="s">
        <v>641</v>
      </c>
      <c r="D74" s="757" t="s">
        <v>642</v>
      </c>
      <c r="E74" s="834">
        <v>0.2</v>
      </c>
      <c r="F74" s="821">
        <v>30</v>
      </c>
    </row>
    <row r="75" spans="1:6" s="817" customFormat="1" ht="24">
      <c r="A75" s="821">
        <v>15</v>
      </c>
      <c r="B75" s="3401"/>
      <c r="C75" s="757" t="s">
        <v>643</v>
      </c>
      <c r="D75" s="757" t="s">
        <v>644</v>
      </c>
      <c r="E75" s="834">
        <v>0.2</v>
      </c>
      <c r="F75" s="821">
        <v>30</v>
      </c>
    </row>
    <row r="76" spans="1:6" s="817" customFormat="1" ht="24">
      <c r="A76" s="821">
        <v>16</v>
      </c>
      <c r="B76" s="3401" t="s">
        <v>645</v>
      </c>
      <c r="C76" s="757" t="s">
        <v>646</v>
      </c>
      <c r="D76" s="757" t="s">
        <v>647</v>
      </c>
      <c r="E76" s="834">
        <v>0.5</v>
      </c>
      <c r="F76" s="821">
        <v>80</v>
      </c>
    </row>
    <row r="77" spans="1:6" s="817" customFormat="1" ht="24">
      <c r="A77" s="821">
        <v>17</v>
      </c>
      <c r="B77" s="3401"/>
      <c r="C77" s="757" t="s">
        <v>648</v>
      </c>
      <c r="D77" s="757" t="s">
        <v>649</v>
      </c>
      <c r="E77" s="834">
        <v>0.5</v>
      </c>
      <c r="F77" s="821">
        <v>80</v>
      </c>
    </row>
    <row r="78" spans="1:6" s="817" customFormat="1" ht="24">
      <c r="A78" s="821">
        <v>18</v>
      </c>
      <c r="B78" s="3401"/>
      <c r="C78" s="757" t="s">
        <v>650</v>
      </c>
      <c r="D78" s="757" t="s">
        <v>651</v>
      </c>
      <c r="E78" s="834">
        <v>0.2</v>
      </c>
      <c r="F78" s="821">
        <v>30</v>
      </c>
    </row>
    <row r="79" spans="1:6" s="817" customFormat="1" ht="24">
      <c r="A79" s="821">
        <v>19</v>
      </c>
      <c r="B79" s="3401"/>
      <c r="C79" s="757" t="s">
        <v>652</v>
      </c>
      <c r="D79" s="757" t="s">
        <v>653</v>
      </c>
      <c r="E79" s="834">
        <v>0.5</v>
      </c>
      <c r="F79" s="821">
        <v>80</v>
      </c>
    </row>
    <row r="80" spans="1:6" s="817" customFormat="1" ht="36">
      <c r="A80" s="821">
        <v>20</v>
      </c>
      <c r="B80" s="3401"/>
      <c r="C80" s="757" t="s">
        <v>654</v>
      </c>
      <c r="D80" s="757" t="s">
        <v>655</v>
      </c>
      <c r="E80" s="834">
        <v>0.2</v>
      </c>
      <c r="F80" s="821">
        <v>30</v>
      </c>
    </row>
    <row r="81" spans="1:6" s="817" customFormat="1" ht="36">
      <c r="A81" s="821">
        <v>21</v>
      </c>
      <c r="B81" s="3401"/>
      <c r="C81" s="757" t="s">
        <v>656</v>
      </c>
      <c r="D81" s="757" t="s">
        <v>657</v>
      </c>
      <c r="E81" s="834">
        <v>0.2</v>
      </c>
      <c r="F81" s="821">
        <v>30</v>
      </c>
    </row>
    <row r="82" spans="1:6" s="817" customFormat="1" ht="48">
      <c r="A82" s="821">
        <v>22</v>
      </c>
      <c r="B82" s="3401"/>
      <c r="C82" s="757" t="s">
        <v>658</v>
      </c>
      <c r="D82" s="757" t="s">
        <v>659</v>
      </c>
      <c r="E82" s="834">
        <v>0.2</v>
      </c>
      <c r="F82" s="821">
        <v>30</v>
      </c>
    </row>
    <row r="83" spans="1:6" s="817" customFormat="1" ht="48">
      <c r="A83" s="821">
        <v>23</v>
      </c>
      <c r="B83" s="3401"/>
      <c r="C83" s="757" t="s">
        <v>660</v>
      </c>
      <c r="D83" s="757" t="s">
        <v>661</v>
      </c>
      <c r="E83" s="834">
        <v>0.2</v>
      </c>
      <c r="F83" s="821">
        <v>30</v>
      </c>
    </row>
    <row r="84" spans="1:6" s="817" customFormat="1" ht="36">
      <c r="A84" s="821">
        <v>24</v>
      </c>
      <c r="B84" s="3401"/>
      <c r="C84" s="757" t="s">
        <v>662</v>
      </c>
      <c r="D84" s="757" t="s">
        <v>663</v>
      </c>
      <c r="E84" s="834">
        <v>0.2</v>
      </c>
      <c r="F84" s="821">
        <v>30</v>
      </c>
    </row>
    <row r="85" spans="1:6" s="817" customFormat="1" ht="36">
      <c r="A85" s="821">
        <v>25</v>
      </c>
      <c r="B85" s="3401"/>
      <c r="C85" s="757" t="s">
        <v>664</v>
      </c>
      <c r="D85" s="757" t="s">
        <v>665</v>
      </c>
      <c r="E85" s="834">
        <v>0.5</v>
      </c>
      <c r="F85" s="821">
        <v>80</v>
      </c>
    </row>
    <row r="86" spans="1:6" s="817" customFormat="1" ht="36">
      <c r="A86" s="821">
        <v>26</v>
      </c>
      <c r="B86" s="3401"/>
      <c r="C86" s="757" t="s">
        <v>666</v>
      </c>
      <c r="D86" s="757" t="s">
        <v>667</v>
      </c>
      <c r="E86" s="834">
        <v>0.2</v>
      </c>
      <c r="F86" s="821">
        <v>30</v>
      </c>
    </row>
    <row r="87" spans="1:6" s="817" customFormat="1" ht="36">
      <c r="A87" s="821">
        <v>27</v>
      </c>
      <c r="B87" s="3401"/>
      <c r="C87" s="757" t="s">
        <v>668</v>
      </c>
      <c r="D87" s="757" t="s">
        <v>669</v>
      </c>
      <c r="E87" s="834">
        <v>0.2</v>
      </c>
      <c r="F87" s="821">
        <v>30</v>
      </c>
    </row>
    <row r="88" spans="1:6" s="817" customFormat="1" ht="36">
      <c r="A88" s="821">
        <v>28</v>
      </c>
      <c r="B88" s="3401"/>
      <c r="C88" s="757" t="s">
        <v>670</v>
      </c>
      <c r="D88" s="757" t="s">
        <v>671</v>
      </c>
      <c r="E88" s="834">
        <v>0.2</v>
      </c>
      <c r="F88" s="821">
        <v>30</v>
      </c>
    </row>
    <row r="89" spans="1:6" s="817" customFormat="1" ht="24">
      <c r="A89" s="821">
        <v>29</v>
      </c>
      <c r="B89" s="3401"/>
      <c r="C89" s="757" t="s">
        <v>672</v>
      </c>
      <c r="D89" s="757" t="s">
        <v>673</v>
      </c>
      <c r="E89" s="834">
        <v>0.2</v>
      </c>
      <c r="F89" s="821">
        <v>30</v>
      </c>
    </row>
    <row r="90" spans="1:6" s="817" customFormat="1" ht="24">
      <c r="A90" s="821">
        <v>30</v>
      </c>
      <c r="B90" s="3401"/>
      <c r="C90" s="757" t="s">
        <v>674</v>
      </c>
      <c r="D90" s="757" t="s">
        <v>675</v>
      </c>
      <c r="E90" s="834">
        <v>0.2</v>
      </c>
      <c r="F90" s="821">
        <v>30</v>
      </c>
    </row>
    <row r="91" spans="1:6" s="817" customFormat="1" ht="36">
      <c r="A91" s="821">
        <v>31</v>
      </c>
      <c r="B91" s="3401"/>
      <c r="C91" s="757" t="s">
        <v>676</v>
      </c>
      <c r="D91" s="757" t="s">
        <v>677</v>
      </c>
      <c r="E91" s="834">
        <v>0.2</v>
      </c>
      <c r="F91" s="821">
        <v>30</v>
      </c>
    </row>
    <row r="92" spans="1:6" s="817" customFormat="1" ht="24">
      <c r="A92" s="821">
        <v>32</v>
      </c>
      <c r="B92" s="3401" t="s">
        <v>678</v>
      </c>
      <c r="C92" s="821" t="s">
        <v>679</v>
      </c>
      <c r="D92" s="757" t="s">
        <v>680</v>
      </c>
      <c r="E92" s="834">
        <v>0.2</v>
      </c>
      <c r="F92" s="821">
        <v>30</v>
      </c>
    </row>
    <row r="93" spans="1:6" s="817" customFormat="1" ht="36">
      <c r="A93" s="821">
        <v>33</v>
      </c>
      <c r="B93" s="3401"/>
      <c r="C93" s="821" t="s">
        <v>681</v>
      </c>
      <c r="D93" s="757" t="s">
        <v>682</v>
      </c>
      <c r="E93" s="834">
        <v>0.2</v>
      </c>
      <c r="F93" s="821">
        <v>30</v>
      </c>
    </row>
    <row r="94" spans="1:6" s="817" customFormat="1" ht="48">
      <c r="A94" s="821">
        <v>34</v>
      </c>
      <c r="B94" s="3401"/>
      <c r="C94" s="821" t="s">
        <v>683</v>
      </c>
      <c r="D94" s="757" t="s">
        <v>684</v>
      </c>
      <c r="E94" s="834">
        <v>0.2</v>
      </c>
      <c r="F94" s="821">
        <v>30</v>
      </c>
    </row>
    <row r="95" spans="1:6" s="817" customFormat="1" ht="36">
      <c r="A95" s="821">
        <v>35</v>
      </c>
      <c r="B95" s="3401"/>
      <c r="C95" s="821" t="s">
        <v>685</v>
      </c>
      <c r="D95" s="757" t="s">
        <v>686</v>
      </c>
      <c r="E95" s="834">
        <v>0.2</v>
      </c>
      <c r="F95" s="821">
        <v>30</v>
      </c>
    </row>
    <row r="96" spans="1:6" s="817" customFormat="1" ht="48">
      <c r="A96" s="821">
        <v>36</v>
      </c>
      <c r="B96" s="3401"/>
      <c r="C96" s="757" t="s">
        <v>687</v>
      </c>
      <c r="D96" s="757" t="s">
        <v>688</v>
      </c>
      <c r="E96" s="834">
        <v>0.2</v>
      </c>
      <c r="F96" s="821">
        <v>30</v>
      </c>
    </row>
    <row r="97" spans="1:6" s="817" customFormat="1" ht="36">
      <c r="A97" s="821">
        <v>37</v>
      </c>
      <c r="B97" s="3401"/>
      <c r="C97" s="821" t="s">
        <v>689</v>
      </c>
      <c r="D97" s="757" t="s">
        <v>690</v>
      </c>
      <c r="E97" s="834">
        <v>0.2</v>
      </c>
      <c r="F97" s="821">
        <v>30</v>
      </c>
    </row>
    <row r="98" spans="1:6" s="817" customFormat="1" ht="36">
      <c r="A98" s="821">
        <v>38</v>
      </c>
      <c r="B98" s="3401"/>
      <c r="C98" s="821" t="s">
        <v>691</v>
      </c>
      <c r="D98" s="757" t="s">
        <v>692</v>
      </c>
      <c r="E98" s="834">
        <v>0.2</v>
      </c>
      <c r="F98" s="821">
        <v>30</v>
      </c>
    </row>
    <row r="99" spans="1:6" s="817" customFormat="1" ht="36">
      <c r="A99" s="821">
        <v>39</v>
      </c>
      <c r="B99" s="3401" t="s">
        <v>693</v>
      </c>
      <c r="C99" s="821" t="s">
        <v>694</v>
      </c>
      <c r="D99" s="757" t="s">
        <v>695</v>
      </c>
      <c r="E99" s="834">
        <v>0.3</v>
      </c>
      <c r="F99" s="821">
        <v>50</v>
      </c>
    </row>
    <row r="100" spans="1:6" s="817" customFormat="1" ht="24">
      <c r="A100" s="821">
        <v>40</v>
      </c>
      <c r="B100" s="3401"/>
      <c r="C100" s="821" t="s">
        <v>696</v>
      </c>
      <c r="D100" s="757" t="s">
        <v>697</v>
      </c>
      <c r="E100" s="834">
        <v>0.2</v>
      </c>
      <c r="F100" s="821">
        <v>30</v>
      </c>
    </row>
    <row r="101" spans="1:6" s="817" customFormat="1" ht="36">
      <c r="A101" s="821">
        <v>41</v>
      </c>
      <c r="B101" s="34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1" t="s">
        <v>708</v>
      </c>
      <c r="C105" s="821" t="s">
        <v>709</v>
      </c>
      <c r="D105" s="757" t="s">
        <v>710</v>
      </c>
      <c r="E105" s="834">
        <v>0.2</v>
      </c>
      <c r="F105" s="821">
        <v>30</v>
      </c>
    </row>
    <row r="106" spans="1:6" s="817" customFormat="1" ht="36">
      <c r="A106" s="821">
        <v>46</v>
      </c>
      <c r="B106" s="3401"/>
      <c r="C106" s="821" t="s">
        <v>711</v>
      </c>
      <c r="D106" s="757" t="s">
        <v>712</v>
      </c>
      <c r="E106" s="834">
        <v>0.2</v>
      </c>
      <c r="F106" s="821">
        <v>30</v>
      </c>
    </row>
    <row r="107" spans="1:6" s="817" customFormat="1" ht="36">
      <c r="A107" s="821">
        <v>47</v>
      </c>
      <c r="B107" s="3401" t="s">
        <v>713</v>
      </c>
      <c r="C107" s="821" t="s">
        <v>714</v>
      </c>
      <c r="D107" s="757" t="s">
        <v>715</v>
      </c>
      <c r="E107" s="834">
        <v>0.3</v>
      </c>
      <c r="F107" s="821">
        <v>50</v>
      </c>
    </row>
    <row r="108" spans="1:6" s="817" customFormat="1" ht="36">
      <c r="A108" s="821">
        <v>48</v>
      </c>
      <c r="B108" s="34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1" t="s">
        <v>724</v>
      </c>
      <c r="C111" s="821" t="s">
        <v>725</v>
      </c>
      <c r="D111" s="757" t="s">
        <v>726</v>
      </c>
      <c r="E111" s="834">
        <v>0.2</v>
      </c>
      <c r="F111" s="821">
        <v>30</v>
      </c>
    </row>
    <row r="112" spans="1:6" s="817" customFormat="1" ht="24">
      <c r="A112" s="821">
        <v>52</v>
      </c>
      <c r="B112" s="3401"/>
      <c r="C112" s="821" t="s">
        <v>727</v>
      </c>
      <c r="D112" s="757" t="s">
        <v>728</v>
      </c>
      <c r="E112" s="834">
        <v>0.2</v>
      </c>
      <c r="F112" s="821">
        <v>30</v>
      </c>
    </row>
    <row r="113" spans="1:6" s="817" customFormat="1" ht="24">
      <c r="A113" s="821">
        <v>53</v>
      </c>
      <c r="B113" s="34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1" t="s">
        <v>737</v>
      </c>
      <c r="C116" s="821" t="s">
        <v>738</v>
      </c>
      <c r="D116" s="757" t="s">
        <v>739</v>
      </c>
      <c r="E116" s="834">
        <v>0.2</v>
      </c>
      <c r="F116" s="821">
        <v>30</v>
      </c>
    </row>
    <row r="117" spans="1:6" ht="36">
      <c r="A117" s="821">
        <v>57</v>
      </c>
      <c r="B117" s="34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0.85470000000000002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13039</v>
      </c>
      <c r="C2" s="2361" t="s">
        <v>2815</v>
      </c>
      <c r="D2" s="2361" t="s">
        <v>2816</v>
      </c>
      <c r="E2" s="2838">
        <f ca="1">SUMIF(E6:E13,"&lt;&gt;#ref!",E6:E13)</f>
        <v>6416.15</v>
      </c>
      <c r="F2" s="3024"/>
      <c r="G2" s="3024"/>
      <c r="H2" s="3024"/>
      <c r="I2" s="3024"/>
      <c r="J2" s="3024"/>
      <c r="K2" s="3024"/>
      <c r="L2" s="3024"/>
      <c r="M2" s="3024"/>
      <c r="N2" s="3024"/>
      <c r="O2" s="3024"/>
      <c r="P2" s="3024"/>
    </row>
    <row r="3" spans="1:16" ht="15.75">
      <c r="A3" s="2361" t="s">
        <v>2817</v>
      </c>
      <c r="B3" s="2828">
        <f ca="1">ROUND(B2*10000/E2,0)</f>
        <v>20322</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13039</v>
      </c>
      <c r="C6" s="2361" t="s">
        <v>2815</v>
      </c>
      <c r="D6" s="3024"/>
      <c r="E6" s="2838">
        <f ca="1">SUMIF(INDIRECT("'"&amp;A6&amp;"'"&amp;"!C:C"),"建筑面积",INDIRECT("'"&amp;A6&amp;"'"&amp;"!D:D"))</f>
        <v>6416.15</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7" t="s">
        <v>1117</v>
      </c>
      <c r="C1" s="3407"/>
      <c r="D1" s="3407"/>
      <c r="E1" s="3407"/>
      <c r="F1" s="3407"/>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05">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05"/>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05"/>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12"/>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408">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05"/>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05"/>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12"/>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08">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05"/>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05"/>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06"/>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04">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05"/>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05"/>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06"/>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04">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05"/>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05"/>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06"/>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09">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10"/>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10"/>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11"/>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04">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05"/>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05"/>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06"/>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04">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05">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05">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06">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04">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05">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05">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06">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04">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05">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05">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06">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04">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05">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05">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06">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04">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05">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05">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06">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04">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05">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05">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06">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04">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05">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05">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06">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04">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05">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05">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06">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04">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05">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05">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06">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04">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05">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05">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06">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估价结果一览表（市场价值不需“结果表-1”）</v>
      </c>
      <c r="B3" s="3085"/>
      <c r="C3" s="3085"/>
      <c r="D3" s="3085"/>
      <c r="E3" s="3085"/>
    </row>
    <row r="4" spans="1:5" ht="19.5" thickBot="1">
      <c r="A4" s="1678"/>
      <c r="B4" s="3083" t="s">
        <v>1595</v>
      </c>
      <c r="C4" s="3083"/>
      <c r="D4" s="3083"/>
      <c r="E4" s="1678"/>
    </row>
    <row r="5" spans="1:5" ht="16.5" thickTop="1">
      <c r="A5" s="1676"/>
      <c r="B5" s="3081" t="s">
        <v>1587</v>
      </c>
      <c r="C5" s="1679" t="s">
        <v>1588</v>
      </c>
      <c r="D5" s="959">
        <f ca="1">结果表!H101</f>
        <v>19607</v>
      </c>
      <c r="E5" s="1676"/>
    </row>
    <row r="6" spans="1:5" ht="15.75">
      <c r="A6" s="1676"/>
      <c r="B6" s="3081"/>
      <c r="C6" s="1679" t="s">
        <v>1589</v>
      </c>
      <c r="D6" s="959" t="str">
        <f ca="1">NUMBERSTRING(INT(D5*10000),2)&amp;"元整"</f>
        <v>壹亿玖仟陆佰零柒万元整</v>
      </c>
      <c r="E6" s="1676"/>
    </row>
    <row r="7" spans="1:5" ht="15.75">
      <c r="A7" s="1676"/>
      <c r="B7" s="3086"/>
      <c r="C7" s="1680" t="s">
        <v>1590</v>
      </c>
      <c r="D7" s="960">
        <f ca="1">结果表!H102</f>
        <v>30559</v>
      </c>
      <c r="E7" s="1676"/>
    </row>
    <row r="8" spans="1:5" ht="15.75">
      <c r="A8" s="1676"/>
      <c r="B8" s="3087" t="str">
        <f>结果表!E103</f>
        <v>2.估价师知悉的法定优先受偿款</v>
      </c>
      <c r="C8" s="1681" t="s">
        <v>1591</v>
      </c>
      <c r="D8" s="960">
        <f>结果表!H103</f>
        <v>0</v>
      </c>
      <c r="E8" s="1676"/>
    </row>
    <row r="9" spans="1:5" ht="15.75">
      <c r="A9" s="1676"/>
      <c r="B9" s="308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0" t="str">
        <f>结果表!E107</f>
        <v>——</v>
      </c>
      <c r="C13" s="1684" t="s">
        <v>1588</v>
      </c>
      <c r="D13" s="962" t="str">
        <f>结果表!H107</f>
        <v>——</v>
      </c>
      <c r="E13" s="1676"/>
    </row>
    <row r="14" spans="1:5" ht="15.75">
      <c r="A14" s="1676"/>
      <c r="B14" s="3081"/>
      <c r="C14" s="1679" t="s">
        <v>1589</v>
      </c>
      <c r="D14" s="959" t="e">
        <f>NUMBERSTRING(INT(D13*10000),2)&amp;"元整"</f>
        <v>#VALUE!</v>
      </c>
      <c r="E14" s="1676"/>
    </row>
    <row r="15" spans="1:5" ht="15">
      <c r="A15" s="1676"/>
      <c r="B15" s="3086"/>
      <c r="C15" s="1680" t="s">
        <v>1599</v>
      </c>
      <c r="D15" s="968" t="e">
        <f>结果表!H108</f>
        <v>#VALUE!</v>
      </c>
      <c r="E15" s="1676"/>
    </row>
    <row r="16" spans="1:5" ht="15">
      <c r="A16" s="1676"/>
      <c r="B16" s="3087" t="str">
        <f>结果表!E109</f>
        <v>3.抵押担保权已注销时的房地产抵押价值</v>
      </c>
      <c r="C16" s="1684" t="s">
        <v>1600</v>
      </c>
      <c r="D16" s="1685">
        <f ca="1">结果表!H109</f>
        <v>19607</v>
      </c>
      <c r="E16" s="1676"/>
    </row>
    <row r="17" spans="1:5" ht="15.75">
      <c r="A17" s="1676"/>
      <c r="B17" s="3088"/>
      <c r="C17" s="1679" t="s">
        <v>1601</v>
      </c>
      <c r="D17" s="959" t="str">
        <f ca="1">NUMBERSTRING(INT(D16*10000),2)&amp;"元整"</f>
        <v>壹亿玖仟陆佰零柒万元整</v>
      </c>
      <c r="E17" s="1676"/>
    </row>
    <row r="18" spans="1:5" ht="15">
      <c r="A18" s="1676"/>
      <c r="B18" s="3089"/>
      <c r="C18" s="1680" t="s">
        <v>1590</v>
      </c>
      <c r="D18" s="968">
        <f ca="1">结果表!H110</f>
        <v>30559</v>
      </c>
      <c r="E18" s="1676"/>
    </row>
    <row r="19" spans="1:5" ht="15.75">
      <c r="A19" s="1676"/>
      <c r="B19" s="3080" t="str">
        <f>结果表!E111</f>
        <v>——</v>
      </c>
      <c r="C19" s="1684" t="s">
        <v>1588</v>
      </c>
      <c r="D19" s="960" t="str">
        <f>结果表!H111</f>
        <v>——</v>
      </c>
      <c r="E19" s="1676"/>
    </row>
    <row r="20" spans="1:5" ht="15.75">
      <c r="A20" s="1676"/>
      <c r="B20" s="3081"/>
      <c r="C20" s="1679" t="s">
        <v>1601</v>
      </c>
      <c r="D20" s="959" t="e">
        <f>NUMBERSTRING(INT(D19*10000),2)&amp;"元整"</f>
        <v>#VALUE!</v>
      </c>
      <c r="E20" s="1676"/>
    </row>
    <row r="21" spans="1:5" ht="15.75" thickBot="1">
      <c r="A21" s="1676"/>
      <c r="B21" s="3082"/>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6" t="s">
        <v>2825</v>
      </c>
      <c r="D1" s="3417"/>
      <c r="E1" s="3417"/>
      <c r="F1" s="3417"/>
      <c r="G1" s="3417"/>
      <c r="H1" s="3417"/>
      <c r="I1" s="3417"/>
      <c r="J1" s="3417"/>
      <c r="K1" s="3417"/>
      <c r="L1" s="3417"/>
      <c r="M1" s="3417"/>
      <c r="N1" s="3417"/>
      <c r="O1" s="3417"/>
      <c r="P1" s="3417"/>
      <c r="Q1" s="3417"/>
      <c r="R1" s="3417"/>
      <c r="S1" s="341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3" t="s">
        <v>33</v>
      </c>
      <c r="D22" s="3414"/>
      <c r="E22" s="3414"/>
      <c r="F22" s="3414"/>
      <c r="G22" s="3414"/>
      <c r="H22" s="3414"/>
      <c r="I22" s="3414"/>
      <c r="J22" s="3414"/>
      <c r="K22" s="3414"/>
      <c r="L22" s="3414"/>
      <c r="M22" s="3414"/>
      <c r="N22" s="3414"/>
      <c r="O22" s="3414"/>
      <c r="P22" s="3414"/>
      <c r="Q22" s="341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31215</v>
      </c>
      <c r="C2" s="2" t="s">
        <v>133</v>
      </c>
      <c r="D2" s="205"/>
      <c r="E2" s="205"/>
      <c r="F2" s="205"/>
      <c r="G2" s="205"/>
    </row>
    <row r="3" spans="1:7" s="206" customFormat="1" ht="18" customHeight="1" thickBot="1">
      <c r="A3" s="209" t="s">
        <v>85</v>
      </c>
      <c r="B3" s="210">
        <f ca="1">ROUND(B2*10000/'数据-汇总表'!E3,0)</f>
        <v>48651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128</v>
      </c>
      <c r="D10" s="954">
        <f>'数据-汇总表'!E6</f>
        <v>6416.15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128</v>
      </c>
      <c r="D19" s="958">
        <f>'数据-汇总表'!E3</f>
        <v>6416.15</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1852</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4189</v>
      </c>
      <c r="D27" s="241">
        <f>C29</f>
        <v>2E-3</v>
      </c>
      <c r="E27" s="242" t="s">
        <v>126</v>
      </c>
      <c r="F27" s="252">
        <f>'数据-取费表'!Q16</f>
        <v>0.2</v>
      </c>
      <c r="G27" s="253" t="s">
        <v>1037</v>
      </c>
    </row>
    <row r="28" spans="1:7" s="220" customFormat="1" ht="13.5" customHeight="1">
      <c r="A28" s="888" t="s">
        <v>794</v>
      </c>
      <c r="B28" s="254" t="s">
        <v>1030</v>
      </c>
      <c r="C28" s="255">
        <f>ROUND((C5+C19+C20)*F27*'数据-取费表'!B21/'数据-取费表'!B20,0)</f>
        <v>4189</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28885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2475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2246</v>
      </c>
      <c r="D34" s="223"/>
      <c r="E34" s="226"/>
      <c r="F34" s="263">
        <f>IF('数据-取费表'!B24=0,1,'数据-取费表'!N16)</f>
        <v>1</v>
      </c>
      <c r="G34" s="225" t="s">
        <v>116</v>
      </c>
    </row>
    <row r="35" spans="1:7" ht="13.5" customHeight="1">
      <c r="A35" s="888" t="s">
        <v>796</v>
      </c>
      <c r="B35" s="221" t="s">
        <v>60</v>
      </c>
      <c r="C35" s="226">
        <f>ROUND(C34*F35,0)</f>
        <v>67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128</v>
      </c>
      <c r="D37" s="223">
        <f>'数据-汇总表'!E3</f>
        <v>6416.15</v>
      </c>
      <c r="E37" s="255">
        <f>'数据-取费表'!B35</f>
        <v>200</v>
      </c>
      <c r="F37" s="265"/>
      <c r="G37" s="267" t="s">
        <v>119</v>
      </c>
    </row>
    <row r="38" spans="1:7" ht="13.5" customHeight="1">
      <c r="A38" s="888" t="s">
        <v>799</v>
      </c>
      <c r="B38" s="221" t="s">
        <v>63</v>
      </c>
      <c r="C38" s="226">
        <f>ROUND(C34*F38,0)</f>
        <v>34</v>
      </c>
      <c r="D38" s="226"/>
      <c r="E38" s="226"/>
      <c r="F38" s="265">
        <f>'数据-取费表'!B36</f>
        <v>1.4999999999999999E-2</v>
      </c>
      <c r="G38" s="225" t="s">
        <v>117</v>
      </c>
    </row>
    <row r="39" spans="1:7" s="220" customFormat="1" ht="13.5" customHeight="1">
      <c r="A39" s="885" t="s">
        <v>783</v>
      </c>
      <c r="B39" s="216" t="s">
        <v>104</v>
      </c>
      <c r="C39" s="238">
        <f>ROUND(C33*F20,0)</f>
        <v>25</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109</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108</v>
      </c>
      <c r="D42" s="244"/>
      <c r="E42" s="244"/>
      <c r="F42" s="245"/>
      <c r="G42" s="3268" t="s">
        <v>121</v>
      </c>
    </row>
    <row r="43" spans="1:7" ht="13.5" customHeight="1">
      <c r="A43" s="888" t="s">
        <v>792</v>
      </c>
      <c r="B43" s="221" t="s">
        <v>1032</v>
      </c>
      <c r="C43" s="244">
        <f ca="1">ROUND(IF('数据-取费表'!B22&lt;=1,C39*F22*'数据-取费表'!B21/2,C39*(POWER((1+F22),'数据-取费表'!B21/2)-1)),0)</f>
        <v>1</v>
      </c>
      <c r="D43" s="244"/>
      <c r="E43" s="244"/>
      <c r="F43" s="245"/>
      <c r="G43" s="3269"/>
    </row>
    <row r="44" spans="1:7" ht="13.5" customHeight="1">
      <c r="A44" s="888" t="s">
        <v>793</v>
      </c>
      <c r="B44" s="221" t="s">
        <v>1034</v>
      </c>
      <c r="C44" s="244">
        <f ca="1">ROUND(IF('数据-取费表'!B22&lt;=1,C40*F22*'数据-取费表'!B21/2,C40*(POWER((1+F22),'数据-取费表'!B21/2)-1)),4)</f>
        <v>4.0000000000000002E-4</v>
      </c>
      <c r="D44" s="244"/>
      <c r="E44" s="244"/>
      <c r="F44" s="245"/>
      <c r="G44" s="3270"/>
    </row>
    <row r="45" spans="1:7" s="220" customFormat="1" ht="13.5" customHeight="1">
      <c r="A45" s="885" t="s">
        <v>786</v>
      </c>
      <c r="B45" s="250" t="s">
        <v>112</v>
      </c>
      <c r="C45" s="251">
        <f>C46</f>
        <v>500</v>
      </c>
      <c r="D45" s="241">
        <f>C47</f>
        <v>2E-3</v>
      </c>
      <c r="E45" s="242" t="s">
        <v>129</v>
      </c>
      <c r="F45" s="252"/>
      <c r="G45" s="253" t="s">
        <v>1040</v>
      </c>
    </row>
    <row r="46" spans="1:7" s="220" customFormat="1" ht="13.5" customHeight="1">
      <c r="A46" s="888" t="s">
        <v>794</v>
      </c>
      <c r="B46" s="254" t="s">
        <v>1033</v>
      </c>
      <c r="C46" s="255">
        <f>ROUND((C33+C39)*F27,0)</f>
        <v>500</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3328</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2330</v>
      </c>
      <c r="D51" s="238"/>
      <c r="E51" s="238"/>
      <c r="F51" s="270"/>
      <c r="G51" s="240" t="s">
        <v>64</v>
      </c>
    </row>
    <row r="52" spans="1:7" s="214" customFormat="1" ht="16.5" thickBot="1">
      <c r="A52" s="271" t="s">
        <v>65</v>
      </c>
      <c r="B52" s="272"/>
      <c r="C52" s="273">
        <f ca="1">C31+C51</f>
        <v>31215</v>
      </c>
      <c r="D52" s="272"/>
      <c r="E52" s="272"/>
      <c r="F52" s="272"/>
      <c r="G52" s="274"/>
    </row>
    <row r="55" spans="1:7" ht="15">
      <c r="B55" s="276" t="s">
        <v>66</v>
      </c>
      <c r="C55" s="277"/>
    </row>
    <row r="56" spans="1:7">
      <c r="B56" s="279" t="s">
        <v>67</v>
      </c>
      <c r="C56" s="280">
        <f ca="1">ROUND(C51/C52,3)</f>
        <v>7.4999999999999997E-2</v>
      </c>
    </row>
    <row r="57" spans="1:7">
      <c r="B57" s="279" t="s">
        <v>68</v>
      </c>
      <c r="C57" s="281">
        <f ca="1">1-C56</f>
        <v>0.92500000000000004</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9" t="s">
        <v>156</v>
      </c>
      <c r="B1" s="3419"/>
      <c r="C1" s="3419"/>
      <c r="D1" s="3419"/>
      <c r="E1" s="3419"/>
      <c r="F1" s="34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0" t="s">
        <v>169</v>
      </c>
      <c r="B2" s="3420"/>
      <c r="C2" s="3420"/>
      <c r="D2" s="3420"/>
      <c r="E2" s="3420"/>
      <c r="F2" s="34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9" t="s">
        <v>839</v>
      </c>
      <c r="B1" s="34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44490</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0" t="str">
        <f>IF(项目基本情况!B9="房地产市场价值","估价结果一览表","结果表-2")</f>
        <v>估价结果一览表</v>
      </c>
      <c r="B1" s="3090"/>
      <c r="C1" s="3090"/>
      <c r="D1" s="3090"/>
      <c r="E1" s="3090"/>
      <c r="F1" s="3090"/>
      <c r="G1" s="3090"/>
      <c r="H1" s="3090"/>
      <c r="I1" s="3090"/>
    </row>
    <row r="2" spans="1:9" ht="30" customHeight="1" thickTop="1">
      <c r="A2" s="3091" t="s">
        <v>1606</v>
      </c>
      <c r="B2" s="3091" t="s">
        <v>1607</v>
      </c>
      <c r="C2" s="3091" t="s">
        <v>1608</v>
      </c>
      <c r="D2" s="3091" t="str">
        <f>结果表!D116</f>
        <v>出让国有建设用地使用权价值</v>
      </c>
      <c r="E2" s="3091"/>
      <c r="F2" s="3091" t="str">
        <f>结果表!F116</f>
        <v>在建建筑物价值</v>
      </c>
      <c r="G2" s="3091"/>
      <c r="H2" s="3091" t="str">
        <f>IF(项目基本情况!B9="房地产市场价值","房地产市场价值","房地产价值")</f>
        <v>房地产市场价值</v>
      </c>
      <c r="I2" s="3091"/>
    </row>
    <row r="3" spans="1:9" ht="15">
      <c r="A3" s="3092"/>
      <c r="B3" s="3092"/>
      <c r="C3" s="3092"/>
      <c r="D3" s="963" t="s">
        <v>1603</v>
      </c>
      <c r="E3" s="963" t="s">
        <v>1609</v>
      </c>
      <c r="F3" s="963" t="s">
        <v>1603</v>
      </c>
      <c r="G3" s="963" t="s">
        <v>1604</v>
      </c>
      <c r="H3" s="963" t="s">
        <v>1603</v>
      </c>
      <c r="I3" s="963" t="s">
        <v>1604</v>
      </c>
    </row>
    <row r="4" spans="1:9" ht="15">
      <c r="A4" s="1690" t="str">
        <f>项目基本情况!S2</f>
        <v>北京市房地产</v>
      </c>
      <c r="B4" s="963">
        <f>项目基本情况!C17</f>
        <v>6416.15</v>
      </c>
      <c r="C4" s="963">
        <f>项目基本情况!C18</f>
        <v>1510.18</v>
      </c>
      <c r="D4" s="963" t="e">
        <f ca="1">结果表!D118</f>
        <v>#REF!</v>
      </c>
      <c r="E4" s="963" t="e">
        <f ca="1">结果表!E118</f>
        <v>#REF!</v>
      </c>
      <c r="F4" s="963" t="e">
        <f ca="1">结果表!F118</f>
        <v>#REF!</v>
      </c>
      <c r="G4" s="963" t="e">
        <f ca="1">结果表!G118</f>
        <v>#REF!</v>
      </c>
      <c r="H4" s="963">
        <f ca="1">结果表!H118</f>
        <v>19607</v>
      </c>
      <c r="I4" s="963">
        <f ca="1">结果表!I118</f>
        <v>30559</v>
      </c>
    </row>
    <row r="5" spans="1:9" ht="30" customHeight="1">
      <c r="A5" s="3092" t="s">
        <v>1605</v>
      </c>
      <c r="B5" s="3092"/>
      <c r="C5" s="3092"/>
      <c r="D5" s="3093" t="e">
        <f ca="1">结果表!D119</f>
        <v>#REF!</v>
      </c>
      <c r="E5" s="3093"/>
      <c r="F5" s="3093" t="e">
        <f ca="1">结果表!F119</f>
        <v>#REF!</v>
      </c>
      <c r="G5" s="3093"/>
      <c r="H5" s="3093" t="str">
        <f ca="1">结果表!H119</f>
        <v>壹亿玖仟陆佰零柒万元整</v>
      </c>
      <c r="I5" s="3093"/>
    </row>
    <row r="6" spans="1:9" ht="15.75">
      <c r="A6" s="3094" t="str">
        <f>结果表!A120</f>
        <v/>
      </c>
      <c r="B6" s="3094"/>
      <c r="C6" s="3094"/>
      <c r="D6" s="3094">
        <f>结果表!D120</f>
        <v>0</v>
      </c>
      <c r="E6" s="3094"/>
      <c r="F6" s="3094"/>
      <c r="G6" s="3094"/>
      <c r="H6" s="3094"/>
      <c r="I6" s="3094"/>
    </row>
    <row r="7" spans="1:9" ht="15">
      <c r="A7" s="3092" t="s">
        <v>1605</v>
      </c>
      <c r="B7" s="3092"/>
      <c r="C7" s="3092"/>
      <c r="D7" s="3095" t="str">
        <f>结果表!D121</f>
        <v>零元整</v>
      </c>
      <c r="E7" s="3096"/>
      <c r="F7" s="3096"/>
      <c r="G7" s="3096"/>
      <c r="H7" s="3096"/>
      <c r="I7" s="3097"/>
    </row>
    <row r="8" spans="1:9" ht="15.75">
      <c r="A8" s="3094" t="str">
        <f>结果表!A122</f>
        <v/>
      </c>
      <c r="B8" s="3094"/>
      <c r="C8" s="3094"/>
      <c r="D8" s="3094" t="str">
        <f>结果表!D122</f>
        <v>——</v>
      </c>
      <c r="E8" s="3094"/>
      <c r="F8" s="3094"/>
      <c r="G8" s="3094"/>
      <c r="H8" s="3094"/>
      <c r="I8" s="3094"/>
    </row>
    <row r="9" spans="1:9" ht="15">
      <c r="A9" s="3092" t="s">
        <v>1605</v>
      </c>
      <c r="B9" s="3092"/>
      <c r="C9" s="3092"/>
      <c r="D9" s="3093" t="e">
        <f>结果表!D123</f>
        <v>#VALUE!</v>
      </c>
      <c r="E9" s="3093"/>
      <c r="F9" s="3093"/>
      <c r="G9" s="3093"/>
      <c r="H9" s="3093"/>
      <c r="I9" s="3093"/>
    </row>
    <row r="10" spans="1:9" ht="15.75">
      <c r="A10" s="3094" t="str">
        <f>结果表!A124</f>
        <v/>
      </c>
      <c r="B10" s="3094"/>
      <c r="C10" s="3094"/>
      <c r="D10" s="3094">
        <f ca="1">结果表!D124</f>
        <v>19607</v>
      </c>
      <c r="E10" s="3094"/>
      <c r="F10" s="3094"/>
      <c r="G10" s="3094"/>
      <c r="H10" s="3094"/>
      <c r="I10" s="3094"/>
    </row>
    <row r="11" spans="1:9" ht="15">
      <c r="A11" s="3092" t="s">
        <v>1605</v>
      </c>
      <c r="B11" s="3092"/>
      <c r="C11" s="3092"/>
      <c r="D11" s="3093" t="str">
        <f ca="1">结果表!D125</f>
        <v>壹亿玖仟陆佰零柒万元整</v>
      </c>
      <c r="E11" s="3093"/>
      <c r="F11" s="3093"/>
      <c r="G11" s="3093"/>
      <c r="H11" s="3093"/>
      <c r="I11" s="3093"/>
    </row>
    <row r="12" spans="1:9" ht="15.75">
      <c r="A12" s="3094" t="str">
        <f>结果表!A126</f>
        <v/>
      </c>
      <c r="B12" s="3094"/>
      <c r="C12" s="3094"/>
      <c r="D12" s="3094" t="str">
        <f>结果表!D126</f>
        <v>——</v>
      </c>
      <c r="E12" s="3094"/>
      <c r="F12" s="3094"/>
      <c r="G12" s="3094"/>
      <c r="H12" s="3094"/>
      <c r="I12" s="3094"/>
    </row>
    <row r="13" spans="1:9" ht="15.75" thickBot="1">
      <c r="A13" s="3098" t="s">
        <v>1605</v>
      </c>
      <c r="B13" s="3098"/>
      <c r="C13" s="3098"/>
      <c r="D13" s="3099" t="e">
        <f>结果表!D127</f>
        <v>#VALUE!</v>
      </c>
      <c r="E13" s="3099"/>
      <c r="F13" s="3099"/>
      <c r="G13" s="3099"/>
      <c r="H13" s="3099"/>
      <c r="I13" s="3099"/>
    </row>
    <row r="14" spans="1:9" ht="15" thickTop="1">
      <c r="A14" s="3100" t="s">
        <v>1610</v>
      </c>
      <c r="B14" s="3100"/>
      <c r="C14" s="3100"/>
      <c r="D14" s="3100"/>
      <c r="E14" s="3100"/>
      <c r="F14" s="3100"/>
      <c r="G14" s="3100"/>
      <c r="H14" s="3100"/>
      <c r="I14" s="310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1" t="s">
        <v>1627</v>
      </c>
      <c r="B1" s="3101"/>
      <c r="C1" s="3101"/>
      <c r="D1" s="3101"/>
    </row>
    <row r="2" spans="1:4" ht="18">
      <c r="A2" s="3102" t="s">
        <v>1611</v>
      </c>
      <c r="B2" s="3102"/>
      <c r="C2" s="3102"/>
      <c r="D2" s="3102"/>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陈颖</v>
      </c>
      <c r="B5" s="1696">
        <f ca="1">项目基本情况!E4</f>
        <v>1120060040</v>
      </c>
      <c r="C5" s="1699"/>
      <c r="D5" s="1698" t="s">
        <v>1616</v>
      </c>
    </row>
    <row r="6" spans="1:4" ht="18">
      <c r="A6" s="3102" t="s">
        <v>1617</v>
      </c>
      <c r="B6" s="3102"/>
      <c r="C6" s="3102"/>
      <c r="D6" s="310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3"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5"/>
      <c r="C12" s="3105"/>
      <c r="D12" s="3105"/>
    </row>
    <row r="13" spans="1:4" ht="30" customHeight="1">
      <c r="A13" s="3104" t="str">
        <f>IF(项目基本情况!B8="抵押","3.抵押双方在办理抵押登记手续时，应使用本公司出具的正式《房地产评估报告》，特提醒报告使用者注意。","——")</f>
        <v>——</v>
      </c>
      <c r="B13" s="3105"/>
      <c r="C13" s="3105"/>
      <c r="D13" s="3105"/>
    </row>
    <row r="14" spans="1:4" ht="15.75" customHeight="1">
      <c r="A14" s="3104" t="str">
        <f>IF(项目基本情况!B8="抵押","4.本次评估估价师所知悉的法定优先受偿款情况说明如下：","——")</f>
        <v>——</v>
      </c>
      <c r="B14" s="3105"/>
      <c r="C14" s="3105"/>
      <c r="D14" s="3105"/>
    </row>
    <row r="15" spans="1:4" ht="42" customHeight="1">
      <c r="A15" s="3104" t="str">
        <f>IF(项目基本情况!B8="抵押","（1）"&amp;CONCATENATE(项目基本情况!L20,项目基本情况!L21,项目基本情况!L22),"——")</f>
        <v>——</v>
      </c>
      <c r="B15" s="3104"/>
      <c r="C15" s="3104"/>
      <c r="D15" s="3104"/>
    </row>
    <row r="16" spans="1:4" ht="30" customHeight="1">
      <c r="A16" s="3107" t="s">
        <v>1621</v>
      </c>
      <c r="B16" s="3107"/>
      <c r="C16" s="3107"/>
      <c r="D16" s="3107"/>
    </row>
    <row r="17" spans="1:4" ht="144" customHeight="1">
      <c r="A17" s="3107" t="s">
        <v>1622</v>
      </c>
      <c r="B17" s="3107"/>
      <c r="C17" s="3107"/>
      <c r="D17" s="3107"/>
    </row>
    <row r="18" spans="1:4" ht="15.75" customHeight="1">
      <c r="A18" s="3104" t="str">
        <f>IF(项目基本情况!B8="抵押",结果表!K120,"——")</f>
        <v>——</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8"/>
      <c r="C21" s="3108"/>
      <c r="D21" s="3108"/>
    </row>
    <row r="22" spans="1:4" ht="18.75" customHeight="1">
      <c r="A22" s="3109" t="s">
        <v>1623</v>
      </c>
      <c r="B22" s="3109"/>
      <c r="C22" s="3109"/>
      <c r="D22" s="310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6">
        <v>42551</v>
      </c>
      <c r="D31" s="31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5" t="s">
        <v>1634</v>
      </c>
      <c r="B15" s="3110" t="s">
        <v>136</v>
      </c>
      <c r="C15" s="3111"/>
    </row>
    <row r="16" spans="1:7" ht="13.5">
      <c r="A16" s="3116"/>
      <c r="B16" s="3110" t="s">
        <v>69</v>
      </c>
      <c r="C16" s="3111"/>
    </row>
    <row r="17" spans="1:3" ht="13.5">
      <c r="A17" s="3116"/>
      <c r="B17" s="3113" t="s">
        <v>1635</v>
      </c>
      <c r="C17" s="1717" t="s">
        <v>1634</v>
      </c>
    </row>
    <row r="18" spans="1:3" ht="13.5">
      <c r="A18" s="3116"/>
      <c r="B18" s="3113"/>
      <c r="C18" s="1717" t="s">
        <v>1636</v>
      </c>
    </row>
    <row r="19" spans="1:3" ht="13.5">
      <c r="A19" s="3116"/>
      <c r="B19" s="3113"/>
      <c r="C19" s="1717" t="s">
        <v>1637</v>
      </c>
    </row>
    <row r="20" spans="1:3" ht="13.5">
      <c r="A20" s="3117"/>
      <c r="B20" s="3112" t="s">
        <v>1638</v>
      </c>
      <c r="C20" s="3111"/>
    </row>
    <row r="21" spans="1:3" ht="13.5">
      <c r="A21" s="1718" t="s">
        <v>1639</v>
      </c>
      <c r="B21" s="1719"/>
      <c r="C21" s="1720"/>
    </row>
    <row r="22" spans="1:3" ht="13.5">
      <c r="A22" s="3114" t="s">
        <v>1640</v>
      </c>
      <c r="B22" s="3112" t="s">
        <v>1641</v>
      </c>
      <c r="C22" s="3111"/>
    </row>
    <row r="23" spans="1:3" ht="13.5">
      <c r="A23" s="3114"/>
      <c r="B23" s="3112" t="s">
        <v>1642</v>
      </c>
      <c r="C23" s="3111"/>
    </row>
    <row r="24" spans="1:3" ht="13.5">
      <c r="A24" s="3114"/>
      <c r="B24" s="3112" t="s">
        <v>1643</v>
      </c>
      <c r="C24" s="3111"/>
    </row>
    <row r="25" spans="1:3" ht="13.5">
      <c r="A25" s="3114"/>
      <c r="B25" s="3113" t="s">
        <v>1644</v>
      </c>
      <c r="C25" s="1717" t="s">
        <v>1645</v>
      </c>
    </row>
    <row r="26" spans="1:3" ht="13.5">
      <c r="A26" s="3114"/>
      <c r="B26" s="3113"/>
      <c r="C26" s="1717" t="s">
        <v>1646</v>
      </c>
    </row>
    <row r="27" spans="1:3" ht="13.5">
      <c r="A27" s="3114"/>
      <c r="B27" s="3113"/>
      <c r="C27" s="1717" t="s">
        <v>1647</v>
      </c>
    </row>
    <row r="28" spans="1:3" ht="13.5">
      <c r="A28" s="3114"/>
      <c r="B28" s="3113"/>
      <c r="C28" s="1717" t="s">
        <v>1648</v>
      </c>
    </row>
    <row r="29" spans="1:3" ht="13.5">
      <c r="A29" s="3114"/>
      <c r="B29" s="3113"/>
      <c r="C29" s="1717" t="s">
        <v>1649</v>
      </c>
    </row>
    <row r="30" spans="1:3" ht="13.5">
      <c r="A30" s="3114"/>
      <c r="B30" s="3113"/>
      <c r="C30" s="1717" t="s">
        <v>1650</v>
      </c>
    </row>
    <row r="31" spans="1:3" ht="13.5">
      <c r="A31" s="3114"/>
      <c r="B31" s="3113"/>
      <c r="C31" s="1717" t="s">
        <v>1651</v>
      </c>
    </row>
    <row r="32" spans="1:3" ht="13.5">
      <c r="A32" s="3114"/>
      <c r="B32" s="3113"/>
      <c r="C32" s="1717" t="s">
        <v>1652</v>
      </c>
    </row>
    <row r="33" spans="1:3" ht="13.5">
      <c r="A33" s="3114"/>
      <c r="B33" s="311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44537</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8" t="s">
        <v>2902</v>
      </c>
      <c r="B17" s="3118"/>
      <c r="C17" s="3118"/>
      <c r="D17" s="3118"/>
      <c r="E17" s="3118"/>
      <c r="F17" s="3118"/>
      <c r="G17" s="3118"/>
      <c r="H17" s="3118"/>
    </row>
    <row r="18" spans="1:8" ht="24" customHeight="1">
      <c r="A18" s="3119" t="s">
        <v>2903</v>
      </c>
      <c r="B18" s="3119"/>
      <c r="C18" s="3119"/>
      <c r="D18" s="2566"/>
      <c r="E18" s="3120" t="s">
        <v>2904</v>
      </c>
      <c r="F18" s="3119"/>
      <c r="G18" s="3119"/>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租金案例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2021-12-07T02:41:50Z</dcterms:modified>
</cp:coreProperties>
</file>