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"/>
    </mc:Choice>
  </mc:AlternateContent>
  <xr:revisionPtr revIDLastSave="0" documentId="13_ncr:1_{917D797C-804B-434A-8D1E-5840E4AAC6C7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7">'2002基准地价'!$A$68:$J$76,'2002基准地价'!$A$1:$J$22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29" i="59" l="1"/>
  <c r="J7" i="70"/>
  <c r="B30" i="59"/>
  <c r="B27" i="59"/>
  <c r="B8" i="59"/>
  <c r="G4" i="70"/>
  <c r="H6" i="70" l="1"/>
  <c r="H5" i="70"/>
  <c r="H7" i="70" s="1"/>
  <c r="B32" i="59" s="1"/>
  <c r="H4" i="70"/>
  <c r="G38" i="59"/>
  <c r="G5" i="70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G4" i="65"/>
  <c r="H4" i="65"/>
  <c r="E7" i="65"/>
  <c r="E4" i="65"/>
  <c r="G7" i="65"/>
  <c r="G6" i="65"/>
  <c r="H8" i="65"/>
  <c r="H5" i="65"/>
  <c r="H7" i="65"/>
  <c r="E5" i="65"/>
  <c r="G8" i="65"/>
  <c r="G5" i="65"/>
  <c r="E8" i="65"/>
  <c r="H6" i="65"/>
  <c r="E6" i="65"/>
  <c r="F16" i="59" l="1"/>
  <c r="F8" i="9" s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F19" i="59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6" i="65"/>
  <c r="D5" i="65"/>
  <c r="D8" i="65"/>
  <c r="D7" i="65"/>
  <c r="D4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G2" i="65"/>
  <c r="G3" i="65"/>
  <c r="G1" i="65"/>
  <c r="E20" i="43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F20" i="59" l="1"/>
  <c r="F11" i="9" s="1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21" i="59" l="1"/>
  <c r="F22" i="59"/>
  <c r="F13" i="9" s="1"/>
  <c r="C22" i="63"/>
  <c r="B5" i="63" s="1"/>
  <c r="F7" i="59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1" i="59" l="1"/>
  <c r="F39" i="59" s="1"/>
  <c r="F12" i="9"/>
  <c r="F14" i="9" s="1"/>
  <c r="F6" i="59"/>
  <c r="F5" i="59" s="1"/>
  <c r="F8" i="59" s="1"/>
  <c r="B11" i="9" s="1"/>
  <c r="C16" i="67"/>
  <c r="D17" i="67"/>
  <c r="C27" i="64"/>
  <c r="E27" i="64" s="1"/>
  <c r="H58" i="39"/>
  <c r="I56" i="39"/>
  <c r="F10" i="59" l="1"/>
  <c r="B13" i="9" s="1"/>
  <c r="B5" i="9"/>
  <c r="F9" i="59"/>
  <c r="B12" i="9" s="1"/>
  <c r="C15" i="67"/>
  <c r="D16" i="67"/>
  <c r="I58" i="39"/>
  <c r="J56" i="39"/>
  <c r="B14" i="9" l="1"/>
  <c r="F4" i="59"/>
  <c r="F24" i="59" s="1"/>
  <c r="D15" i="67"/>
  <c r="C14" i="67"/>
  <c r="K56" i="39"/>
  <c r="J58" i="39"/>
  <c r="B15" i="9" l="1"/>
  <c r="F41" i="59"/>
  <c r="F42" i="59" s="1"/>
  <c r="F46" i="59" s="1"/>
  <c r="T14" i="67"/>
  <c r="D14" i="67"/>
  <c r="C13" i="67"/>
  <c r="L56" i="39"/>
  <c r="K58" i="39"/>
  <c r="H38" i="59" l="1"/>
  <c r="F25" i="59"/>
  <c r="H39" i="59" s="1"/>
  <c r="F48" i="59"/>
  <c r="F35" i="59"/>
  <c r="B18" i="9" s="1"/>
  <c r="C11" i="68" s="1"/>
  <c r="D13" i="67"/>
  <c r="C12" i="67"/>
  <c r="M56" i="39"/>
  <c r="L58" i="39"/>
  <c r="B16" i="9" l="1"/>
  <c r="H16" i="9" s="1"/>
  <c r="F36" i="59"/>
  <c r="F47" i="59"/>
  <c r="C11" i="67"/>
  <c r="D12" i="67"/>
  <c r="M58" i="39"/>
  <c r="N56" i="39"/>
  <c r="B19" i="9" l="1"/>
  <c r="H19" i="9" s="1"/>
  <c r="C10" i="67"/>
  <c r="D11" i="67"/>
  <c r="O56" i="39"/>
  <c r="O58" i="39" s="1"/>
  <c r="N58" i="39"/>
  <c r="B11" i="68" l="1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<sst xmlns="http://schemas.openxmlformats.org/spreadsheetml/2006/main" count="4004" uniqueCount="1835">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</sst>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8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4" fontId="90" fillId="5" borderId="0" xfId="1" applyNumberFormat="1" applyFont="1" applyFill="1" applyAlignment="1">
      <alignment horizontal="left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0" fontId="51" fillId="5" borderId="1" xfId="0" applyNumberFormat="1" applyFont="1" applyFill="1" applyBorder="1" applyAlignment="1">
      <alignment horizontal="center" vertical="center" wrapText="1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184" fontId="85" fillId="0" borderId="0" xfId="8" applyFont="1" applyAlignment="1">
      <alignment horizontal="left" vertical="center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3" t="s">
        <v>168</v>
      </c>
      <c r="B15" s="347" t="s">
        <v>250</v>
      </c>
    </row>
    <row r="16" spans="1:7" ht="13.5">
      <c r="A16" s="1704"/>
      <c r="B16" s="348" t="s">
        <v>169</v>
      </c>
    </row>
    <row r="17" spans="1:2" ht="13.5">
      <c r="A17" s="27" t="s">
        <v>170</v>
      </c>
      <c r="B17" s="349"/>
    </row>
    <row r="18" spans="1:2" ht="13.5">
      <c r="A18" s="1702" t="s">
        <v>171</v>
      </c>
      <c r="B18" s="347" t="s">
        <v>1387</v>
      </c>
    </row>
    <row r="19" spans="1:2" ht="13.5">
      <c r="A19" s="1702"/>
      <c r="B19" s="347" t="s">
        <v>1388</v>
      </c>
    </row>
    <row r="20" spans="1:2" ht="13.5">
      <c r="A20" s="1702"/>
      <c r="B20" s="347" t="s">
        <v>1389</v>
      </c>
    </row>
    <row r="21" spans="1:2" ht="13.5">
      <c r="A21" s="1702"/>
      <c r="B21" s="230" t="s">
        <v>172</v>
      </c>
    </row>
    <row r="22" spans="1:2" ht="13.5">
      <c r="A22" s="1702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1.5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43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44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44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44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44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43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45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45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46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43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2" t="s">
        <v>928</v>
      </c>
      <c r="E16" s="1753"/>
      <c r="F16" s="1752" t="s">
        <v>926</v>
      </c>
      <c r="G16" s="1754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47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0.80110000000000003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0.80110000000000003</v>
      </c>
      <c r="E22" s="794">
        <f>ROUNDDOWN(G3,1)</f>
        <v>1.5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0.80110000000000003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49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0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0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1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48" t="s">
        <v>1159</v>
      </c>
      <c r="B91" s="1748"/>
      <c r="C91" s="1748"/>
      <c r="D91" s="1748"/>
      <c r="E91" s="1748"/>
      <c r="F91" s="1748"/>
      <c r="G91" s="1748"/>
      <c r="H91" s="1748"/>
      <c r="I91" s="1748"/>
      <c r="J91" s="1748"/>
      <c r="K91" s="352"/>
      <c r="L91" s="352"/>
      <c r="M91" s="352"/>
      <c r="N91" s="352"/>
    </row>
    <row r="92" spans="1:37">
      <c r="A92" s="1756" t="s">
        <v>1160</v>
      </c>
      <c r="B92" s="1756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56"/>
      <c r="B93" s="1756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57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58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58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58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58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58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58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59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57" t="s">
        <v>1480</v>
      </c>
      <c r="B102" s="574" t="s">
        <v>1483</v>
      </c>
      <c r="C102" s="575">
        <f>$G$3</f>
        <v>1.5</v>
      </c>
      <c r="D102" s="575">
        <f t="shared" ref="D102:N102" si="25">$G$3</f>
        <v>1.5</v>
      </c>
      <c r="E102" s="575">
        <f t="shared" si="25"/>
        <v>1.5</v>
      </c>
      <c r="F102" s="575">
        <f t="shared" si="25"/>
        <v>1.5</v>
      </c>
      <c r="G102" s="575">
        <f t="shared" si="25"/>
        <v>1.5</v>
      </c>
      <c r="H102" s="575">
        <f t="shared" si="25"/>
        <v>1.5</v>
      </c>
      <c r="I102" s="575">
        <f t="shared" si="25"/>
        <v>1.5</v>
      </c>
      <c r="J102" s="575">
        <f t="shared" si="25"/>
        <v>1.5</v>
      </c>
      <c r="K102" s="575">
        <f t="shared" si="25"/>
        <v>1.5</v>
      </c>
      <c r="L102" s="575">
        <f t="shared" si="25"/>
        <v>1.5</v>
      </c>
      <c r="M102" s="575">
        <f t="shared" si="25"/>
        <v>1.5</v>
      </c>
      <c r="N102" s="575">
        <f t="shared" si="25"/>
        <v>1.5</v>
      </c>
    </row>
    <row r="103" spans="1:14" ht="12.75">
      <c r="A103" s="1758"/>
      <c r="B103" s="570">
        <v>1</v>
      </c>
      <c r="C103" s="571">
        <f>1.9362/C102</f>
        <v>1.2907999999999999</v>
      </c>
      <c r="D103" s="571">
        <f>1.9362/D102</f>
        <v>1.2907999999999999</v>
      </c>
      <c r="E103" s="571">
        <f>1.8629/E102</f>
        <v>1.2419333333333333</v>
      </c>
      <c r="F103" s="571">
        <f>1.8629/F102</f>
        <v>1.2419333333333333</v>
      </c>
      <c r="G103" s="571">
        <f>1.8629/G102</f>
        <v>1.2419333333333333</v>
      </c>
      <c r="H103" s="571">
        <f>1.8629/H102</f>
        <v>1.2419333333333333</v>
      </c>
      <c r="I103" s="571">
        <f>1.8629/I102</f>
        <v>1.2419333333333333</v>
      </c>
      <c r="J103" s="571">
        <f>1.942/J102</f>
        <v>1.2946666666666666</v>
      </c>
      <c r="K103" s="571">
        <f>1.942/K102</f>
        <v>1.2946666666666666</v>
      </c>
      <c r="L103" s="571">
        <f>1.942/L102</f>
        <v>1.2946666666666666</v>
      </c>
      <c r="M103" s="571">
        <f>1.942/M102</f>
        <v>1.2946666666666666</v>
      </c>
      <c r="N103" s="571">
        <f>1.942/N102</f>
        <v>1.2946666666666666</v>
      </c>
    </row>
    <row r="104" spans="1:14" ht="12.75">
      <c r="A104" s="1758"/>
      <c r="B104" s="570">
        <v>2</v>
      </c>
      <c r="C104" s="571">
        <f>1.4198/C102</f>
        <v>0.94653333333333334</v>
      </c>
      <c r="D104" s="571">
        <f>1.4198/D102</f>
        <v>0.94653333333333334</v>
      </c>
      <c r="E104" s="571">
        <f>1.3372/E102</f>
        <v>0.89146666666666663</v>
      </c>
      <c r="F104" s="571">
        <f>1.3372/F102</f>
        <v>0.89146666666666663</v>
      </c>
      <c r="G104" s="571">
        <f>1.3372/G102</f>
        <v>0.89146666666666663</v>
      </c>
      <c r="H104" s="571">
        <f>1.3372/H102</f>
        <v>0.89146666666666663</v>
      </c>
      <c r="I104" s="571">
        <f>1.3372/I102</f>
        <v>0.89146666666666663</v>
      </c>
      <c r="J104" s="571">
        <f>1.2799/J102</f>
        <v>0.85326666666666673</v>
      </c>
      <c r="K104" s="571">
        <f>1.2799/K102</f>
        <v>0.85326666666666673</v>
      </c>
      <c r="L104" s="571">
        <f>1.2799/L102</f>
        <v>0.85326666666666673</v>
      </c>
      <c r="M104" s="571">
        <f>1.2799/M102</f>
        <v>0.85326666666666673</v>
      </c>
      <c r="N104" s="571">
        <f>1.2799/N102</f>
        <v>0.85326666666666673</v>
      </c>
    </row>
    <row r="105" spans="1:14" ht="12.75">
      <c r="A105" s="1758"/>
      <c r="B105" s="570">
        <v>3</v>
      </c>
      <c r="C105" s="571">
        <f>1.1594/C102</f>
        <v>0.77293333333333336</v>
      </c>
      <c r="D105" s="571">
        <f>1.1594/D102</f>
        <v>0.77293333333333336</v>
      </c>
      <c r="E105" s="571">
        <f>1.0788/E102</f>
        <v>0.71919999999999995</v>
      </c>
      <c r="F105" s="571">
        <f>1.0788/F102</f>
        <v>0.71919999999999995</v>
      </c>
      <c r="G105" s="571">
        <f>1.0788/G102</f>
        <v>0.71919999999999995</v>
      </c>
      <c r="H105" s="571">
        <f>1.0788/H102</f>
        <v>0.71919999999999995</v>
      </c>
      <c r="I105" s="571">
        <f>1.0788/I102</f>
        <v>0.71919999999999995</v>
      </c>
      <c r="J105" s="571">
        <f>1.0072/J102</f>
        <v>0.67146666666666677</v>
      </c>
      <c r="K105" s="571">
        <f>1.0072/K102</f>
        <v>0.67146666666666677</v>
      </c>
      <c r="L105" s="571">
        <f>1.0072/L102</f>
        <v>0.67146666666666677</v>
      </c>
      <c r="M105" s="571">
        <f>1.0072/M102</f>
        <v>0.67146666666666677</v>
      </c>
      <c r="N105" s="571">
        <f>1.0072/N102</f>
        <v>0.67146666666666677</v>
      </c>
    </row>
    <row r="106" spans="1:14" ht="12.75">
      <c r="A106" s="1758"/>
      <c r="B106" s="570">
        <v>4</v>
      </c>
      <c r="C106" s="571">
        <f>0.9622/C102</f>
        <v>0.64146666666666674</v>
      </c>
      <c r="D106" s="571">
        <f>0.9622/D102</f>
        <v>0.64146666666666674</v>
      </c>
      <c r="E106" s="571">
        <f>0.8656/E102</f>
        <v>0.57706666666666673</v>
      </c>
      <c r="F106" s="571">
        <f>0.8656/F102</f>
        <v>0.57706666666666673</v>
      </c>
      <c r="G106" s="571">
        <f>0.8656/G102</f>
        <v>0.57706666666666673</v>
      </c>
      <c r="H106" s="571">
        <f>0.8656/H102</f>
        <v>0.57706666666666673</v>
      </c>
      <c r="I106" s="571">
        <f>0.8656/I102</f>
        <v>0.57706666666666673</v>
      </c>
      <c r="J106" s="571">
        <f>0.7525/J102</f>
        <v>0.50166666666666659</v>
      </c>
      <c r="K106" s="571">
        <f>0.7525/K102</f>
        <v>0.50166666666666659</v>
      </c>
      <c r="L106" s="571">
        <f>0.7525/L102</f>
        <v>0.50166666666666659</v>
      </c>
      <c r="M106" s="571">
        <f>0.7525/M102</f>
        <v>0.50166666666666659</v>
      </c>
      <c r="N106" s="571">
        <f>0.7525/N102</f>
        <v>0.50166666666666659</v>
      </c>
    </row>
    <row r="107" spans="1:14" ht="12.75">
      <c r="A107" s="1758"/>
      <c r="B107" s="570">
        <v>5</v>
      </c>
      <c r="C107" s="571">
        <f>0.8417/C102</f>
        <v>0.56113333333333337</v>
      </c>
      <c r="D107" s="571">
        <f>0.8417/D102</f>
        <v>0.56113333333333337</v>
      </c>
      <c r="E107" s="571">
        <f>0.7371/E102</f>
        <v>0.4914</v>
      </c>
      <c r="F107" s="571">
        <f>0.7371/F102</f>
        <v>0.4914</v>
      </c>
      <c r="G107" s="571">
        <f>0.7371/G102</f>
        <v>0.4914</v>
      </c>
      <c r="H107" s="571">
        <f>0.7371/H102</f>
        <v>0.4914</v>
      </c>
      <c r="I107" s="571">
        <f>0.7371/I102</f>
        <v>0.4914</v>
      </c>
      <c r="J107" s="571">
        <f>0.5659/J102</f>
        <v>0.37726666666666664</v>
      </c>
      <c r="K107" s="571">
        <f>0.5659/K102</f>
        <v>0.37726666666666664</v>
      </c>
      <c r="L107" s="571">
        <f>0.5659/L102</f>
        <v>0.37726666666666664</v>
      </c>
      <c r="M107" s="571">
        <f>0.5659/M102</f>
        <v>0.37726666666666664</v>
      </c>
      <c r="N107" s="571">
        <f>0.5659/N102</f>
        <v>0.37726666666666664</v>
      </c>
    </row>
    <row r="108" spans="1:14" ht="12.75">
      <c r="A108" s="1758"/>
      <c r="B108" s="570">
        <v>6</v>
      </c>
      <c r="C108" s="571">
        <f>0.7608/C102</f>
        <v>0.50719999999999998</v>
      </c>
      <c r="D108" s="571">
        <f>0.7608/D102</f>
        <v>0.50719999999999998</v>
      </c>
      <c r="E108" s="571">
        <f>0.6482/E102</f>
        <v>0.43213333333333331</v>
      </c>
      <c r="F108" s="571">
        <f>0.6482/F102</f>
        <v>0.43213333333333331</v>
      </c>
      <c r="G108" s="571">
        <f>0.6482/G102</f>
        <v>0.43213333333333331</v>
      </c>
      <c r="H108" s="571">
        <f>0.6482/H102</f>
        <v>0.43213333333333331</v>
      </c>
      <c r="I108" s="571">
        <f>0.6482/I102</f>
        <v>0.43213333333333331</v>
      </c>
      <c r="J108" s="571">
        <f>0.4525/J102</f>
        <v>0.30166666666666669</v>
      </c>
      <c r="K108" s="571">
        <f>0.4525/K102</f>
        <v>0.30166666666666669</v>
      </c>
      <c r="L108" s="571">
        <f>0.4525/L102</f>
        <v>0.30166666666666669</v>
      </c>
      <c r="M108" s="571">
        <f>0.4525/M102</f>
        <v>0.30166666666666669</v>
      </c>
      <c r="N108" s="571">
        <f>0.4525/N102</f>
        <v>0.30166666666666669</v>
      </c>
    </row>
    <row r="109" spans="1:14" ht="12.75">
      <c r="A109" s="1758"/>
      <c r="B109" s="1760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59"/>
      <c r="B110" s="1761"/>
      <c r="C110" s="573">
        <f>(-0.163*(C109^2)-0.59*C109+7617)*(10^(-4))/C102</f>
        <v>0.50774980000000003</v>
      </c>
      <c r="D110" s="573">
        <f>(-0.163*(D109^2)-0.59*D109+7617)*(10^(-4))/D102</f>
        <v>0.50774980000000003</v>
      </c>
      <c r="E110" s="573">
        <f>(-0.161*(E109^2)-7.509*E109+6533)*(10^(-4))/E102</f>
        <v>0.43502200000000002</v>
      </c>
      <c r="F110" s="573">
        <f>(-0.161*(F109^2)-7.509*F109+6533)*(10^(-4))/F102</f>
        <v>0.43502200000000002</v>
      </c>
      <c r="G110" s="573">
        <f>(-0.161*(G109^2)-7.509*G109+6533)*(10^(-4))/G102</f>
        <v>0.43502200000000002</v>
      </c>
      <c r="H110" s="573">
        <f>(-0.161*(H109^2)-7.509*H109+6533)*(10^(-4))/H102</f>
        <v>0.43502200000000002</v>
      </c>
      <c r="I110" s="573">
        <f>(-0.161*(I109^2)-7.509*I109+6533)*(10^(-4))/I102</f>
        <v>0.43502200000000002</v>
      </c>
      <c r="J110" s="573">
        <f>(-0.214*(J109^2)-21.991*J109+4665)*(10^(-4))/J102</f>
        <v>0.30951966666666669</v>
      </c>
      <c r="K110" s="573">
        <f>(-0.214*(K109^2)-21.991*K109+4665)*(10^(-4))/K102</f>
        <v>0.30951966666666669</v>
      </c>
      <c r="L110" s="573">
        <f>(-0.214*(L109^2)-21.991*L109+4665)*(10^(-4))/L102</f>
        <v>0.30951966666666669</v>
      </c>
      <c r="M110" s="573">
        <f>(-0.214*(M109^2)-21.991*M109+4665)*(10^(-4))/M102</f>
        <v>0.30951966666666669</v>
      </c>
      <c r="N110" s="573">
        <f>(-0.214*(N109^2)-21.991*N109+4665)*(10^(-4))/N102</f>
        <v>0.30951966666666669</v>
      </c>
    </row>
    <row r="111" spans="1:14">
      <c r="A111" s="1755" t="s">
        <v>1175</v>
      </c>
      <c r="B111" s="1755"/>
      <c r="C111" s="1755"/>
      <c r="D111" s="1755"/>
      <c r="E111" s="1755"/>
      <c r="F111" s="1755"/>
      <c r="G111" s="1755"/>
      <c r="H111" s="1755"/>
      <c r="I111" s="1755"/>
      <c r="J111" s="1755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1.5</v>
      </c>
      <c r="C114" s="556" t="s">
        <v>1467</v>
      </c>
      <c r="D114" s="139">
        <f>SUMPRODUCT((A116:A119=F114)*(B115:M115=H114)*B116:M119)</f>
        <v>0.54630000000000001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</v>
      </c>
      <c r="C116" s="142">
        <f>B116</f>
        <v>0.9194</v>
      </c>
      <c r="D116" s="142">
        <f>ROUND(0.8331-0.0109*B114,4)</f>
        <v>0.81679999999999997</v>
      </c>
      <c r="E116" s="142">
        <f>D116</f>
        <v>0.81679999999999997</v>
      </c>
      <c r="F116" s="142">
        <f>E116</f>
        <v>0.81679999999999997</v>
      </c>
      <c r="G116" s="142">
        <f>F116</f>
        <v>0.81679999999999997</v>
      </c>
      <c r="H116" s="142">
        <f>G116</f>
        <v>0.81679999999999997</v>
      </c>
      <c r="I116" s="142">
        <f>ROUND(0.689-0.0155*B114,4)</f>
        <v>0.66579999999999995</v>
      </c>
      <c r="J116" s="142">
        <f t="shared" ref="J116:M119" si="27">I116</f>
        <v>0.66579999999999995</v>
      </c>
      <c r="K116" s="142">
        <f t="shared" si="27"/>
        <v>0.66579999999999995</v>
      </c>
      <c r="L116" s="142">
        <f t="shared" si="27"/>
        <v>0.66579999999999995</v>
      </c>
      <c r="M116" s="143">
        <f t="shared" si="27"/>
        <v>0.66579999999999995</v>
      </c>
    </row>
    <row r="117" spans="1:13" ht="12.75">
      <c r="A117" s="443" t="s">
        <v>1302</v>
      </c>
      <c r="B117" s="142">
        <f>ROUND(0.949-0.012*B114,4)</f>
        <v>0.93100000000000005</v>
      </c>
      <c r="C117" s="142">
        <f>B117</f>
        <v>0.93100000000000005</v>
      </c>
      <c r="D117" s="142">
        <f>ROUND(0.8567-0.013*B114,4)</f>
        <v>0.83720000000000006</v>
      </c>
      <c r="E117" s="142">
        <f t="shared" ref="E117:H118" si="28">D117</f>
        <v>0.83720000000000006</v>
      </c>
      <c r="F117" s="142">
        <f t="shared" si="28"/>
        <v>0.83720000000000006</v>
      </c>
      <c r="G117" s="142">
        <f t="shared" si="28"/>
        <v>0.83720000000000006</v>
      </c>
      <c r="H117" s="142">
        <f t="shared" si="28"/>
        <v>0.83720000000000006</v>
      </c>
      <c r="I117" s="142">
        <f>ROUND(0.7694-0.014*B114,4)</f>
        <v>0.74839999999999995</v>
      </c>
      <c r="J117" s="142">
        <f t="shared" si="27"/>
        <v>0.74839999999999995</v>
      </c>
      <c r="K117" s="142">
        <f t="shared" si="27"/>
        <v>0.74839999999999995</v>
      </c>
      <c r="L117" s="142">
        <f t="shared" si="27"/>
        <v>0.74839999999999995</v>
      </c>
      <c r="M117" s="143">
        <f t="shared" si="27"/>
        <v>0.74839999999999995</v>
      </c>
    </row>
    <row r="118" spans="1:13" ht="12.75">
      <c r="A118" s="443" t="s">
        <v>1303</v>
      </c>
      <c r="B118" s="142">
        <f>ROUND(0.8808-0.006*B114,4)</f>
        <v>0.87180000000000002</v>
      </c>
      <c r="C118" s="142">
        <f>B118</f>
        <v>0.87180000000000002</v>
      </c>
      <c r="D118" s="142">
        <f>ROUND(0.8748-0.008*B114,4)</f>
        <v>0.86280000000000001</v>
      </c>
      <c r="E118" s="142">
        <f t="shared" si="28"/>
        <v>0.86280000000000001</v>
      </c>
      <c r="F118" s="142">
        <f t="shared" si="28"/>
        <v>0.86280000000000001</v>
      </c>
      <c r="G118" s="142">
        <f t="shared" si="28"/>
        <v>0.86280000000000001</v>
      </c>
      <c r="H118" s="142">
        <f t="shared" si="28"/>
        <v>0.86280000000000001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0.71250000000000002</v>
      </c>
      <c r="C119" s="144">
        <f>B119</f>
        <v>0.71250000000000002</v>
      </c>
      <c r="D119" s="144">
        <f>ROUND(0.7043-0.012*B114,4)</f>
        <v>0.68630000000000002</v>
      </c>
      <c r="E119" s="144">
        <f>D119</f>
        <v>0.68630000000000002</v>
      </c>
      <c r="F119" s="144">
        <f>E119</f>
        <v>0.68630000000000002</v>
      </c>
      <c r="G119" s="144">
        <f>ROUND(0.6299-0.0122*B114,4)</f>
        <v>0.61160000000000003</v>
      </c>
      <c r="H119" s="144">
        <f>G119</f>
        <v>0.61160000000000003</v>
      </c>
      <c r="I119" s="144">
        <f>ROUND(0.5667-0.0136*B114,4)</f>
        <v>0.54630000000000001</v>
      </c>
      <c r="J119" s="144">
        <f t="shared" si="27"/>
        <v>0.54630000000000001</v>
      </c>
      <c r="K119" s="144">
        <f t="shared" si="27"/>
        <v>0.54630000000000001</v>
      </c>
      <c r="L119" s="144">
        <f t="shared" si="27"/>
        <v>0.54630000000000001</v>
      </c>
      <c r="M119" s="145">
        <f t="shared" si="27"/>
        <v>0.54630000000000001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2" t="s">
        <v>985</v>
      </c>
      <c r="B1" s="1762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2" t="s">
        <v>289</v>
      </c>
      <c r="B1" s="1762"/>
      <c r="C1" s="1762"/>
      <c r="D1" s="1762"/>
      <c r="E1" s="1762"/>
      <c r="F1" s="1762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3" t="s">
        <v>302</v>
      </c>
      <c r="B2" s="1763"/>
      <c r="C2" s="1763"/>
      <c r="D2" s="1763"/>
      <c r="E2" s="1763"/>
      <c r="F2" s="1763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4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5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56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56"/>
      <c r="B19" s="1756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56"/>
      <c r="B20" s="1756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56"/>
      <c r="B21" s="1756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56"/>
      <c r="B22" s="1756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56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56"/>
      <c r="B24" s="1756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56"/>
      <c r="B25" s="1756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56"/>
      <c r="B26" s="1756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56"/>
      <c r="B27" s="1756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56"/>
      <c r="B28" s="1756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56"/>
      <c r="B29" s="1756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56"/>
      <c r="B30" s="1756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56"/>
      <c r="B31" s="1756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56"/>
      <c r="B32" s="1756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56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56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56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56"/>
      <c r="B36" s="1756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56"/>
      <c r="B37" s="1756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56"/>
      <c r="B38" s="1756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56"/>
      <c r="B39" s="1756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56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56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56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56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56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56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56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56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56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56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56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56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56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56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56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56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56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56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56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56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56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56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56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56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56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56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56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56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56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56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56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56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56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56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56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56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56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56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56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56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56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56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56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56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56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56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56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56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56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56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1.0961000000000001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9" t="s">
        <v>1309</v>
      </c>
      <c r="B1" s="1766" t="s">
        <v>1310</v>
      </c>
      <c r="C1" s="1767"/>
      <c r="D1" s="1768"/>
      <c r="E1" s="1766" t="s">
        <v>1311</v>
      </c>
      <c r="F1" s="1767"/>
      <c r="G1" s="1768"/>
    </row>
    <row r="2" spans="1:7">
      <c r="A2" s="1770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74" t="s">
        <v>1424</v>
      </c>
      <c r="E2" s="1778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75"/>
      <c r="E3" s="1779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75"/>
      <c r="E4" s="1779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76"/>
      <c r="E5" s="1780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74" t="s">
        <v>1425</v>
      </c>
      <c r="E6" s="1778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75"/>
      <c r="E7" s="1779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76"/>
      <c r="E8" s="1780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74" t="s">
        <v>1403</v>
      </c>
      <c r="E10" s="1778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1.5</v>
      </c>
      <c r="C11" s="398"/>
      <c r="D11" s="1777"/>
      <c r="E11" s="1781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1.4550000000000001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84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85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86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87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82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83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83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83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83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83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83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83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71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72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72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72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72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73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72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72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72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73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810" t="s">
        <v>91</v>
      </c>
      <c r="D4" s="1811"/>
      <c r="E4" s="1812" t="s">
        <v>92</v>
      </c>
      <c r="F4" s="1813"/>
      <c r="G4" s="1810" t="s">
        <v>93</v>
      </c>
      <c r="H4" s="1811"/>
      <c r="I4" s="1810" t="s">
        <v>94</v>
      </c>
      <c r="J4" s="1811"/>
      <c r="K4" s="1110" t="s">
        <v>95</v>
      </c>
      <c r="L4" s="1111"/>
      <c r="M4" s="1112"/>
      <c r="N4" s="1112"/>
      <c r="O4" s="1112"/>
      <c r="P4" s="1814" t="s">
        <v>96</v>
      </c>
      <c r="Q4" s="1815"/>
      <c r="R4" s="1797" t="s">
        <v>92</v>
      </c>
      <c r="S4" s="1798"/>
      <c r="T4" s="1797" t="s">
        <v>93</v>
      </c>
      <c r="U4" s="1798"/>
      <c r="V4" s="1789" t="s">
        <v>94</v>
      </c>
      <c r="W4" s="1789"/>
      <c r="X4" s="1114"/>
      <c r="Y4" s="1797" t="s">
        <v>96</v>
      </c>
      <c r="Z4" s="1798"/>
      <c r="AA4" s="1807" t="s">
        <v>92</v>
      </c>
      <c r="AB4" s="1808" t="s">
        <v>93</v>
      </c>
      <c r="AC4" s="1807" t="s">
        <v>94</v>
      </c>
    </row>
    <row r="5" spans="1:29" ht="15">
      <c r="A5" s="1116"/>
      <c r="B5" s="1117"/>
      <c r="C5" s="1822" t="s">
        <v>227</v>
      </c>
      <c r="D5" s="1823"/>
      <c r="E5" s="1820" t="s">
        <v>228</v>
      </c>
      <c r="F5" s="1821"/>
      <c r="G5" s="1822" t="s">
        <v>231</v>
      </c>
      <c r="H5" s="1823"/>
      <c r="I5" s="1822" t="s">
        <v>229</v>
      </c>
      <c r="J5" s="1823"/>
      <c r="K5" s="1110"/>
      <c r="L5" s="1111"/>
      <c r="M5" s="1112"/>
      <c r="N5" s="1112"/>
      <c r="O5" s="1112"/>
      <c r="P5" s="1816"/>
      <c r="Q5" s="1817"/>
      <c r="R5" s="1799"/>
      <c r="S5" s="1800"/>
      <c r="T5" s="1799"/>
      <c r="U5" s="1800"/>
      <c r="V5" s="1789"/>
      <c r="W5" s="1789"/>
      <c r="X5" s="1114"/>
      <c r="Y5" s="1799"/>
      <c r="Z5" s="1800"/>
      <c r="AA5" s="1808"/>
      <c r="AB5" s="1808"/>
      <c r="AC5" s="1808"/>
    </row>
    <row r="6" spans="1:29" ht="15.75" thickBot="1">
      <c r="A6" s="1119"/>
      <c r="B6" s="1120"/>
      <c r="C6" s="1824" t="s">
        <v>230</v>
      </c>
      <c r="D6" s="1825"/>
      <c r="E6" s="1826" t="s">
        <v>230</v>
      </c>
      <c r="F6" s="1827"/>
      <c r="G6" s="1824" t="s">
        <v>230</v>
      </c>
      <c r="H6" s="1825"/>
      <c r="I6" s="1824" t="s">
        <v>230</v>
      </c>
      <c r="J6" s="1825"/>
      <c r="K6" s="1110" t="s">
        <v>97</v>
      </c>
      <c r="L6" s="1111"/>
      <c r="M6" s="1112"/>
      <c r="N6" s="1112"/>
      <c r="O6" s="1112"/>
      <c r="P6" s="1818"/>
      <c r="Q6" s="1819"/>
      <c r="R6" s="1799"/>
      <c r="S6" s="1800"/>
      <c r="T6" s="1801"/>
      <c r="U6" s="1802"/>
      <c r="V6" s="1789"/>
      <c r="W6" s="1789"/>
      <c r="X6" s="1114"/>
      <c r="Y6" s="1801"/>
      <c r="Z6" s="1802"/>
      <c r="AA6" s="1809"/>
      <c r="AB6" s="1809"/>
      <c r="AC6" s="1809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5" t="s">
        <v>99</v>
      </c>
      <c r="Q7" s="1803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5" t="s">
        <v>99</v>
      </c>
      <c r="Z7" s="1796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5" t="s">
        <v>125</v>
      </c>
      <c r="Q8" s="1796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5" t="s">
        <v>125</v>
      </c>
      <c r="Z8" s="1796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88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06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88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06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1.5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88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06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88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06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88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06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88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06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04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04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05"/>
      <c r="Q16" s="1145"/>
      <c r="R16" s="1192"/>
      <c r="S16" s="1193"/>
      <c r="T16" s="1192"/>
      <c r="U16" s="1193"/>
      <c r="V16" s="1192"/>
      <c r="W16" s="1193"/>
      <c r="X16" s="1114"/>
      <c r="Y16" s="1805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05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05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05"/>
      <c r="Q18" s="1145"/>
      <c r="R18" s="1192"/>
      <c r="S18" s="1193"/>
      <c r="T18" s="1192"/>
      <c r="U18" s="1193"/>
      <c r="V18" s="1192"/>
      <c r="W18" s="1193"/>
      <c r="X18" s="1114"/>
      <c r="Y18" s="1805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05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05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05"/>
      <c r="Q20" s="1145"/>
      <c r="R20" s="1192"/>
      <c r="S20" s="1193"/>
      <c r="T20" s="1192"/>
      <c r="U20" s="1193"/>
      <c r="V20" s="1192"/>
      <c r="W20" s="1193"/>
      <c r="X20" s="1114"/>
      <c r="Y20" s="1805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05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05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05"/>
      <c r="Q22" s="1145"/>
      <c r="R22" s="1192"/>
      <c r="S22" s="1193"/>
      <c r="T22" s="1192"/>
      <c r="U22" s="1193"/>
      <c r="V22" s="1192"/>
      <c r="W22" s="1193"/>
      <c r="X22" s="1114"/>
      <c r="Y22" s="1805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05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05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05"/>
      <c r="Q24" s="1145"/>
      <c r="R24" s="1192"/>
      <c r="S24" s="1193"/>
      <c r="T24" s="1192"/>
      <c r="U24" s="1193"/>
      <c r="V24" s="1192"/>
      <c r="W24" s="1193"/>
      <c r="X24" s="1114"/>
      <c r="Y24" s="1805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05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05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05"/>
      <c r="Q26" s="1145"/>
      <c r="R26" s="1192"/>
      <c r="S26" s="1193"/>
      <c r="T26" s="1192"/>
      <c r="U26" s="1193"/>
      <c r="V26" s="1192"/>
      <c r="W26" s="1193"/>
      <c r="X26" s="1114"/>
      <c r="Y26" s="1805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05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05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05"/>
      <c r="Q28" s="1146"/>
      <c r="R28" s="1130"/>
      <c r="S28" s="1131"/>
      <c r="T28" s="1130"/>
      <c r="U28" s="1131"/>
      <c r="V28" s="1130"/>
      <c r="W28" s="1131"/>
      <c r="X28" s="1132"/>
      <c r="Y28" s="1805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05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05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05"/>
      <c r="Q30" s="1146"/>
      <c r="R30" s="1130"/>
      <c r="S30" s="1131"/>
      <c r="T30" s="1130"/>
      <c r="U30" s="1131"/>
      <c r="V30" s="1130"/>
      <c r="W30" s="1131"/>
      <c r="X30" s="1132"/>
      <c r="Y30" s="1805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05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05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05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05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05"/>
      <c r="Q33" s="1145"/>
      <c r="R33" s="1192"/>
      <c r="S33" s="1193"/>
      <c r="T33" s="1192"/>
      <c r="U33" s="1193"/>
      <c r="V33" s="1192"/>
      <c r="W33" s="1193"/>
      <c r="X33" s="1114"/>
      <c r="Y33" s="1805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05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05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05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05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793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794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794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794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794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794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794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794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794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794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794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794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794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794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794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794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794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794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794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794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88" t="str">
        <f>A46</f>
        <v>成交单价</v>
      </c>
      <c r="Q46" s="1788"/>
      <c r="R46" s="1789">
        <f>E46</f>
        <v>0</v>
      </c>
      <c r="S46" s="1789"/>
      <c r="T46" s="1789">
        <f>G46</f>
        <v>0</v>
      </c>
      <c r="U46" s="1789"/>
      <c r="V46" s="1789">
        <f>I46</f>
        <v>0</v>
      </c>
      <c r="W46" s="1789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88" t="str">
        <f>A47</f>
        <v>比较价值（元/平方米）</v>
      </c>
      <c r="Q47" s="1788"/>
      <c r="R47" s="1789" t="e">
        <f>ROUND(PRODUCT(R46,AA7:AA45),0)</f>
        <v>#DIV/0!</v>
      </c>
      <c r="S47" s="1789"/>
      <c r="T47" s="1789" t="e">
        <f>ROUND(PRODUCT(T46,AB7:AB45),0)</f>
        <v>#DIV/0!</v>
      </c>
      <c r="U47" s="1789"/>
      <c r="V47" s="1789" t="e">
        <f>ROUND(PRODUCT(V46,AC7:AC45),0)</f>
        <v>#DIV/0!</v>
      </c>
      <c r="W47" s="1789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790" t="str">
        <f>A48</f>
        <v>估价对象比较价值（单价内涵，元/平方米）</v>
      </c>
      <c r="Q48" s="1791"/>
      <c r="R48" s="1792" t="e">
        <f>ROUND(AVERAGE(R47:V47),0)</f>
        <v>#DIV/0!</v>
      </c>
      <c r="S48" s="1792"/>
      <c r="T48" s="1792"/>
      <c r="U48" s="1792"/>
      <c r="V48" s="1792"/>
      <c r="W48" s="1792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6" t="s">
        <v>1637</v>
      </c>
      <c r="H2" s="1836"/>
      <c r="I2" s="1836"/>
      <c r="J2" s="1836"/>
      <c r="K2" s="1836"/>
      <c r="L2" s="1836"/>
      <c r="N2" s="1831" t="s">
        <v>1638</v>
      </c>
      <c r="O2" s="1831"/>
      <c r="P2" s="1831"/>
      <c r="Q2" s="1831"/>
      <c r="S2" s="1831" t="s">
        <v>1639</v>
      </c>
      <c r="T2" s="1831"/>
      <c r="U2" s="1831"/>
      <c r="V2" s="1831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29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29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29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7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2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29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29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7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2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29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29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0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8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29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29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0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8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29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29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0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4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4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5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8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29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29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0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8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29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29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0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8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29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29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0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8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29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29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0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8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29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29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0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8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29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29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0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8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29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29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0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8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29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29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0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8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29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29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0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8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29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29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0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8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29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29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0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8461.0928000000004</v>
      </c>
      <c r="C11" s="907">
        <f ca="1">结果表!B18</f>
        <v>3228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05" t="s">
        <v>1353</v>
      </c>
      <c r="B2" s="1705"/>
      <c r="C2" s="1705"/>
      <c r="D2" s="1705"/>
      <c r="E2" s="1705"/>
      <c r="F2" s="1705"/>
      <c r="G2" s="1705"/>
      <c r="H2" s="1050"/>
      <c r="I2" s="1046"/>
      <c r="X2" s="1048"/>
      <c r="AG2" s="1049"/>
    </row>
    <row r="3" spans="1:33" ht="13.5">
      <c r="A3" s="1706" t="s">
        <v>1354</v>
      </c>
      <c r="B3" s="1707"/>
      <c r="C3" s="1708"/>
      <c r="D3" s="1709" t="s">
        <v>1355</v>
      </c>
      <c r="E3" s="1707"/>
      <c r="F3" s="1707"/>
      <c r="G3" s="1710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11" t="s">
        <v>1356</v>
      </c>
      <c r="E4" s="1712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13" t="s">
        <v>1360</v>
      </c>
      <c r="B5" s="1714">
        <f>主表!F5</f>
        <v>360</v>
      </c>
      <c r="C5" s="1715" t="s">
        <v>1361</v>
      </c>
      <c r="D5" s="1712" t="s">
        <v>1362</v>
      </c>
      <c r="E5" s="1716"/>
      <c r="F5" s="1055">
        <f>SUM(F6:F10)</f>
        <v>2408</v>
      </c>
      <c r="G5" s="1057" t="s">
        <v>1635</v>
      </c>
      <c r="H5" s="1050"/>
      <c r="I5" s="1046"/>
      <c r="X5" s="1048"/>
      <c r="AG5" s="1049"/>
    </row>
    <row r="6" spans="1:33" ht="27">
      <c r="A6" s="1713"/>
      <c r="B6" s="1714"/>
      <c r="C6" s="1715"/>
      <c r="D6" s="1717" t="s">
        <v>1383</v>
      </c>
      <c r="E6" s="1055" t="s">
        <v>1363</v>
      </c>
      <c r="F6" s="1055">
        <f>主表!F14</f>
        <v>2150</v>
      </c>
      <c r="G6" s="1057" t="s">
        <v>1364</v>
      </c>
      <c r="H6" s="1050"/>
      <c r="I6" s="1046"/>
      <c r="X6" s="1048"/>
      <c r="AG6" s="1049"/>
    </row>
    <row r="7" spans="1:33" ht="13.5">
      <c r="A7" s="1713"/>
      <c r="B7" s="1714"/>
      <c r="C7" s="1715"/>
      <c r="D7" s="1717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13"/>
      <c r="B8" s="1714"/>
      <c r="C8" s="1715"/>
      <c r="D8" s="1718" t="s">
        <v>1384</v>
      </c>
      <c r="E8" s="1719"/>
      <c r="F8" s="1055">
        <f>主表!F16</f>
        <v>129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13"/>
      <c r="B9" s="1714"/>
      <c r="C9" s="1715"/>
      <c r="D9" s="1718" t="s">
        <v>1385</v>
      </c>
      <c r="E9" s="1719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13"/>
      <c r="B10" s="1714"/>
      <c r="C10" s="1715"/>
      <c r="D10" s="1718" t="s">
        <v>1386</v>
      </c>
      <c r="E10" s="1719"/>
      <c r="F10" s="1055">
        <f>主表!F19</f>
        <v>129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7</v>
      </c>
      <c r="C11" s="1056" t="str">
        <f>"按前期开发成本的"&amp;TEXT(主表!G8,"0.0%")&amp;"计取"</f>
        <v>按前期开发成本的2.0%计取</v>
      </c>
      <c r="D11" s="1712" t="s">
        <v>1367</v>
      </c>
      <c r="E11" s="1716"/>
      <c r="F11" s="1055">
        <f>主表!F20</f>
        <v>72</v>
      </c>
      <c r="G11" s="1057" t="str">
        <f>"按房屋建设成本的"&amp;主表!G20&amp;"计取"</f>
        <v>按房屋建设成本的0.03计取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10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2" t="s">
        <v>1369</v>
      </c>
      <c r="E12" s="1716"/>
      <c r="F12" s="1055">
        <f ca="1">主表!F21</f>
        <v>45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73</v>
      </c>
      <c r="C13" s="1056" t="str">
        <f>"按前期开发成本及其管理费用的"&amp;TEXT(主表!G10,"0%")&amp;"计取"</f>
        <v>按前期开发成本及其管理费用的20%计取</v>
      </c>
      <c r="D13" s="1712" t="s">
        <v>1370</v>
      </c>
      <c r="E13" s="1716"/>
      <c r="F13" s="1055">
        <f>主表!F22</f>
        <v>496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450</v>
      </c>
      <c r="C14" s="1056" t="s">
        <v>1372</v>
      </c>
      <c r="D14" s="1712" t="s">
        <v>1371</v>
      </c>
      <c r="E14" s="1716"/>
      <c r="F14" s="1055">
        <f ca="1">F5+F11+F12+F13</f>
        <v>3021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14">
        <f ca="1">主表!F24</f>
        <v>3471</v>
      </c>
      <c r="C15" s="1720"/>
      <c r="D15" s="1718" t="s">
        <v>1374</v>
      </c>
      <c r="E15" s="1719"/>
      <c r="F15" s="1719"/>
      <c r="G15" s="1721"/>
      <c r="H15" s="1050"/>
      <c r="I15" s="1046"/>
      <c r="X15" s="1048"/>
      <c r="AG15" s="1049"/>
    </row>
    <row r="16" spans="1:33" ht="27.75" thickBot="1">
      <c r="A16" s="1051" t="s">
        <v>1375</v>
      </c>
      <c r="B16" s="1714">
        <f ca="1">主表!F25</f>
        <v>9097.9491999999991</v>
      </c>
      <c r="C16" s="1720"/>
      <c r="D16" s="1718" t="s">
        <v>1376</v>
      </c>
      <c r="E16" s="1719"/>
      <c r="F16" s="1719"/>
      <c r="G16" s="1721"/>
      <c r="H16" s="1058" t="str">
        <f ca="1">NUMBERSTRING(INT(B16*10000),2)&amp;"元整"</f>
        <v>玖仟零玖拾柒万玖仟肆佰玖拾贰元整</v>
      </c>
      <c r="I16" s="1059"/>
      <c r="X16" s="1048"/>
      <c r="AG16" s="1049"/>
    </row>
    <row r="17" spans="1:33" ht="13.5">
      <c r="A17" s="1051" t="s">
        <v>1377</v>
      </c>
      <c r="B17" s="1714">
        <f>主表!F33</f>
        <v>0.93</v>
      </c>
      <c r="C17" s="1720"/>
      <c r="D17" s="1718" t="s">
        <v>1378</v>
      </c>
      <c r="E17" s="1719"/>
      <c r="F17" s="1719"/>
      <c r="G17" s="1721"/>
      <c r="H17" s="1050"/>
      <c r="I17" s="1046"/>
      <c r="X17" s="1048"/>
      <c r="AG17" s="1049"/>
    </row>
    <row r="18" spans="1:33" ht="27.75" thickBot="1">
      <c r="A18" s="1051" t="s">
        <v>1379</v>
      </c>
      <c r="B18" s="1714">
        <f ca="1">主表!F35</f>
        <v>3228</v>
      </c>
      <c r="C18" s="1720"/>
      <c r="D18" s="1718" t="s">
        <v>1380</v>
      </c>
      <c r="E18" s="1719"/>
      <c r="F18" s="1719"/>
      <c r="G18" s="1721"/>
      <c r="H18" s="1050"/>
      <c r="I18" s="1046"/>
      <c r="X18" s="1048"/>
      <c r="AG18" s="1049"/>
    </row>
    <row r="19" spans="1:33" ht="27.75" thickBot="1">
      <c r="A19" s="1060" t="s">
        <v>1381</v>
      </c>
      <c r="B19" s="1722">
        <f ca="1">主表!F36</f>
        <v>8461.0928000000004</v>
      </c>
      <c r="C19" s="1723"/>
      <c r="D19" s="1724" t="s">
        <v>1382</v>
      </c>
      <c r="E19" s="1725"/>
      <c r="F19" s="1725"/>
      <c r="G19" s="1726"/>
      <c r="H19" s="1058" t="str">
        <f ca="1">NUMBERSTRING(INT(B19*10000),2)&amp;"元整"</f>
        <v>捌仟肆佰陆拾壹万零玖佰贰拾捌元整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10" zoomScale="90" zoomScaleNormal="90" workbookViewId="0">
      <selection activeCell="F25" sqref="F25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2" t="s">
        <v>1275</v>
      </c>
      <c r="E2" s="1733"/>
      <c r="F2" s="1733"/>
      <c r="G2" s="1733"/>
      <c r="H2" s="1734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450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360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f>IF(B4&lt;DATE(2002,12,10),'1993基准地价'!B3,IF(B4&gt;=DATE(2014,8,28),'2014基准地价'!B3,'2002基准地价'!B3))</f>
        <v>478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f>IF(B4&lt;DATE(2002,12,10),'1993基准地价'!C14,IF(B4&gt;=DATE(2014,8,28),'2014基准地价'!B4,IF(H7="采用比较法计算",比较法!B3,IF(H7="扣毛地价",'2002基准地价'!B4,'2002基准地价'!B5))))</f>
        <v>118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ROUND((289.15+B7)/B6,2)</f>
        <v>1.5</v>
      </c>
      <c r="C8" s="937"/>
      <c r="D8" s="973">
        <v>2</v>
      </c>
      <c r="E8" s="948" t="s">
        <v>1227</v>
      </c>
      <c r="F8" s="974">
        <f>ROUND(F5*G8,0)</f>
        <v>7</v>
      </c>
      <c r="G8" s="975">
        <v>0.02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10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73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F12+F20+F21+F22</f>
        <v>3021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2408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2150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v>2150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959">
        <f>ROUND(F13*G16,0)</f>
        <v>129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129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ROUND(F13*G19,0)</f>
        <v>129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ROUND(F12*G20,0)</f>
        <v>72</v>
      </c>
      <c r="G20" s="975">
        <v>0.03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ROUND((F12+F20)*(POWER((1+G21),B23/2)-1),0)</f>
        <v>45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ROUND((F12+F20)*G22,0)</f>
        <v>496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ROUND(F4+F11,0)</f>
        <v>3471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/>
      <c r="C25" s="933"/>
      <c r="D25" s="1011">
        <v>2</v>
      </c>
      <c r="E25" s="1012" t="s">
        <v>1246</v>
      </c>
      <c r="F25" s="1013">
        <f ca="1">ROUND(F24*B7/10000,4)</f>
        <v>9097.9491999999991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701"/>
      <c r="B26" s="933"/>
      <c r="C26" s="933"/>
      <c r="D26" s="1735" t="s">
        <v>1277</v>
      </c>
      <c r="E26" s="1736"/>
      <c r="F26" s="1736"/>
      <c r="G26" s="1736"/>
      <c r="H26" s="1737"/>
      <c r="I26" s="954"/>
      <c r="J26" s="938"/>
      <c r="K26" s="933"/>
      <c r="L26" s="933"/>
    </row>
    <row r="27" spans="1:18" ht="15.75" customHeight="1">
      <c r="A27" s="1010"/>
      <c r="B27" s="933">
        <f>289.15+B7</f>
        <v>26500.470000000005</v>
      </c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7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7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7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5" t="s">
        <v>1280</v>
      </c>
      <c r="E34" s="1736"/>
      <c r="F34" s="1736"/>
      <c r="G34" s="1736"/>
      <c r="H34" s="1737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3228</v>
      </c>
      <c r="G35" s="1728" t="s">
        <v>1257</v>
      </c>
      <c r="H35" s="1729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8461.0928000000004</v>
      </c>
      <c r="G36" s="1730" t="s">
        <v>1259</v>
      </c>
      <c r="H36" s="1731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3123.9</v>
      </c>
    </row>
    <row r="39" spans="1:18" ht="15.75" customHeight="1">
      <c r="A39" s="1010"/>
      <c r="B39" s="933"/>
      <c r="E39" s="934" t="s">
        <v>1823</v>
      </c>
      <c r="F39" s="934">
        <f ca="1">ROUND(F11*F38,0)</f>
        <v>1722</v>
      </c>
      <c r="H39" s="934">
        <f ca="1">ROUND(F25*0.9,4)</f>
        <v>8188.1543000000001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F4+F39</f>
        <v>2172</v>
      </c>
    </row>
    <row r="42" spans="1:18" ht="15.75" customHeight="1">
      <c r="E42" s="934" t="s">
        <v>1826</v>
      </c>
      <c r="F42" s="934">
        <f ca="1">ROUND(F41*B7/10000,4)</f>
        <v>5693.0986999999996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4578.4980999999998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0.8</v>
      </c>
    </row>
    <row r="48" spans="1:18" ht="15.75" customHeight="1">
      <c r="E48" s="934" t="s">
        <v>1830</v>
      </c>
      <c r="F48" s="934">
        <f ca="1">ROUND(F46*0.3,4)</f>
        <v>1373.5494000000001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J7" sqref="J7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9" t="s">
        <v>1221</v>
      </c>
      <c r="B2" s="1739" t="s">
        <v>1799</v>
      </c>
      <c r="C2" s="1739" t="s">
        <v>1794</v>
      </c>
      <c r="D2" s="1739"/>
      <c r="E2" s="1739" t="s">
        <v>1798</v>
      </c>
      <c r="F2" s="1739"/>
      <c r="G2" s="1739" t="s">
        <v>1801</v>
      </c>
      <c r="H2" s="1739"/>
    </row>
    <row r="3" spans="1:16">
      <c r="A3" s="1739"/>
      <c r="B3" s="1739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8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8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8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8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8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K93"/>
  <sheetViews>
    <sheetView topLeftCell="A16" zoomScale="90" zoomScaleNormal="90" zoomScaleSheetLayoutView="89" workbookViewId="0">
      <selection activeCell="G83" sqref="G83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1.5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 t="s">
        <v>1834</v>
      </c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1.5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1.5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40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1"/>
      <c r="B19" s="1557" t="s">
        <v>1328</v>
      </c>
      <c r="C19" s="1516">
        <f>ROUND(C7*C9*C10*C11*C15*C16*G3,0)</f>
        <v>717</v>
      </c>
      <c r="D19" s="1516">
        <f>J1</f>
        <v>17627.400000000001</v>
      </c>
      <c r="E19" s="1552">
        <f>ROUND(C19*D19,0)</f>
        <v>12638846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2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2"/>
      <c r="B21" s="1563" t="s">
        <v>1327</v>
      </c>
      <c r="C21" s="1564">
        <f>ROUND(IF(G3&lt;I3,C8*C9*C10*C15,C8*C9*C10*C15*G3),0)</f>
        <v>294</v>
      </c>
      <c r="D21" s="1564">
        <f>J1</f>
        <v>17627.400000000001</v>
      </c>
      <c r="E21" s="1565">
        <f t="shared" ref="E21" si="0">ROUND(C21*D21,0)</f>
        <v>5182456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1.5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0.83609999999999995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0.96530000000000005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0.98519999999999996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0.71250000000000002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95" fitToHeight="0" orientation="landscape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61</vt:i4>
      </vt:variant>
    </vt:vector>
  </HeadingPairs>
  <TitlesOfParts>
    <vt:vector size="83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'2002基准地价'!Print_Area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2024-01-26T10:43:45Z</cp:lastPrinted>
  <dcterms:created xsi:type="dcterms:W3CDTF">2015-07-13T07:17:23Z</dcterms:created>
  <dcterms:modified xsi:type="dcterms:W3CDTF">2024-01-29T02:23:33Z</dcterms:modified>
</cp:coreProperties>
</file>