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11" activeTab="24"/>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数据-基础表" sheetId="9" r:id="rId9"/>
    <sheet name="抵押物清单（分楼）" sheetId="10" state="hidden" r:id="rId10"/>
    <sheet name="数据-汇总表" sheetId="11" r:id="rId11"/>
    <sheet name="数据-取费表" sheetId="12" r:id="rId12"/>
    <sheet name="估价对象房地状况" sheetId="13" state="hidden" r:id="rId13"/>
    <sheet name="系统读取表" sheetId="38" r:id="rId14"/>
    <sheet name="结果表" sheetId="14" r:id="rId15"/>
    <sheet name="剩余法-现房" sheetId="16" state="hidden" r:id="rId16"/>
    <sheet name="比较法-住宅、综合" sheetId="17"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state="hidden"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state="hidden" r:id="rId34"/>
    <sheet name="不动产比较法-仓储" sheetId="34" state="hidden" r:id="rId35"/>
    <sheet name="典型户型修正" sheetId="35" state="hidden" r:id="rId36"/>
    <sheet name="Sheet1" sheetId="37" r:id="rId37"/>
  </sheets>
  <definedNames>
    <definedName name="_xlnm._FilterDatabase" localSheetId="17" hidden="1">'比较法-工业'!$A$1:$L$45</definedName>
    <definedName name="_xlnm._FilterDatabase" localSheetId="16"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8" hidden="1">'数据-基础表'!$A$12:$AT$572</definedName>
    <definedName name="_xlnm._FilterDatabase" localSheetId="7" hidden="1">项目基本情况!$A$46:$N$46</definedName>
    <definedName name="_xlnm.Print_Area" localSheetId="16">'比较法-住宅、综合'!$A$1:$N$68</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0">'数据-汇总表'!$A$1:$I$32</definedName>
    <definedName name="_xlnm.Print_Area" localSheetId="8">'数据-基础表'!$A$1:$BT$20</definedName>
    <definedName name="_xlnm.Print_Area" localSheetId="11">'数据-取费表'!$A$1:$AM$63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3" i="38"/>
  <c r="F23"/>
  <c r="E23"/>
  <c r="F22"/>
  <c r="E22"/>
  <c r="F21"/>
  <c r="E21"/>
  <c r="F20"/>
  <c r="E20"/>
  <c r="F19"/>
  <c r="E19"/>
  <c r="F18"/>
  <c r="E18"/>
  <c r="F17"/>
  <c r="E17"/>
  <c r="F16"/>
  <c r="E16"/>
  <c r="F15"/>
  <c r="E15"/>
  <c r="B8"/>
  <c r="B7"/>
  <c r="I47" i="28"/>
  <c r="G47"/>
  <c r="E47"/>
  <c r="E10" i="37"/>
  <c r="E9"/>
  <c r="I13" i="9"/>
  <c r="C10" i="8"/>
  <c r="D3"/>
  <c r="C40" i="17" l="1"/>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D108"/>
  <c r="E108" s="1"/>
  <c r="F108" s="1"/>
  <c r="G108" s="1"/>
  <c r="H108" s="1"/>
  <c r="I108" s="1"/>
  <c r="J108" s="1"/>
  <c r="K108" s="1"/>
  <c r="L108" s="1"/>
  <c r="M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30"/>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s="1"/>
  <c r="BT13"/>
  <c r="BS13"/>
  <c r="BR13"/>
  <c r="BQ13"/>
  <c r="BQ5" s="1"/>
  <c r="BP13"/>
  <c r="BO13"/>
  <c r="BN13"/>
  <c r="BM13"/>
  <c r="BM5" s="1"/>
  <c r="BK13"/>
  <c r="BJ13"/>
  <c r="BI13"/>
  <c r="BH13"/>
  <c r="BH5" s="1"/>
  <c r="BG13"/>
  <c r="BF13"/>
  <c r="BE13"/>
  <c r="BD13"/>
  <c r="BD5" s="1"/>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L23"/>
  <c r="L22"/>
  <c r="F21"/>
  <c r="I17"/>
  <c r="H17"/>
  <c r="G17"/>
  <c r="F17"/>
  <c r="E17"/>
  <c r="F7" i="12" s="1"/>
  <c r="AP7" s="1"/>
  <c r="D17" i="8"/>
  <c r="U14"/>
  <c r="S14"/>
  <c r="T14" s="1"/>
  <c r="Q14"/>
  <c r="R14" s="1"/>
  <c r="O14"/>
  <c r="M14"/>
  <c r="K14"/>
  <c r="D13"/>
  <c r="K4"/>
  <c r="B46" i="1" s="1"/>
  <c r="I4" i="8"/>
  <c r="G4"/>
  <c r="K2"/>
  <c r="K1"/>
  <c r="B1"/>
  <c r="C57" i="7"/>
  <c r="C56"/>
  <c r="C55"/>
  <c r="C54"/>
  <c r="D51"/>
  <c r="B51"/>
  <c r="B2" i="5"/>
  <c r="E22" s="1"/>
  <c r="A15" i="4"/>
  <c r="A16" s="1"/>
  <c r="A4"/>
  <c r="A2"/>
  <c r="M5" i="3"/>
  <c r="G5"/>
  <c r="E5"/>
  <c r="A5"/>
  <c r="N3"/>
  <c r="R2"/>
  <c r="K2"/>
  <c r="A33" i="2"/>
  <c r="A31"/>
  <c r="A30"/>
  <c r="A29"/>
  <c r="A26"/>
  <c r="A19"/>
  <c r="A18"/>
  <c r="A14"/>
  <c r="A4"/>
  <c r="A3"/>
  <c r="B49" i="1"/>
  <c r="B40"/>
  <c r="B37"/>
  <c r="E119" i="28" l="1"/>
  <c r="F119" s="1"/>
  <c r="G119" s="1"/>
  <c r="H119" s="1"/>
  <c r="I119" s="1"/>
  <c r="J119" s="1"/>
  <c r="K119" s="1"/>
  <c r="L119" s="1"/>
  <c r="M119" s="1"/>
  <c r="H5" i="9"/>
  <c r="BO5"/>
  <c r="BP5"/>
  <c r="A11" i="4"/>
  <c r="A11" i="2"/>
  <c r="C24" i="14"/>
  <c r="U27" i="33"/>
  <c r="W13"/>
  <c r="F13"/>
  <c r="AA13" s="1"/>
  <c r="H25"/>
  <c r="AB25" s="1"/>
  <c r="J25"/>
  <c r="W23"/>
  <c r="W30"/>
  <c r="T39" i="8"/>
  <c r="K5" i="3"/>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U32" s="1"/>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J105"/>
  <c r="N106"/>
  <c r="H7" i="21"/>
  <c r="H11"/>
  <c r="G1" i="25"/>
  <c r="J51"/>
  <c r="AA8" i="28"/>
  <c r="U9"/>
  <c r="W10"/>
  <c r="S12"/>
  <c r="U13"/>
  <c r="W14"/>
  <c r="S15"/>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W17" i="17"/>
  <c r="C17"/>
  <c r="S11"/>
  <c r="S9"/>
  <c r="B5" i="5"/>
  <c r="B7"/>
  <c r="B9"/>
  <c r="B11"/>
  <c r="B15"/>
  <c r="B17"/>
  <c r="B20"/>
  <c r="B23"/>
  <c r="B4"/>
  <c r="B6"/>
  <c r="B8"/>
  <c r="B10"/>
  <c r="B13"/>
  <c r="B16"/>
  <c r="E18"/>
  <c r="B22"/>
  <c r="E4"/>
  <c r="E5"/>
  <c r="E6"/>
  <c r="E7"/>
  <c r="E4" i="8" s="1"/>
  <c r="E8" i="5"/>
  <c r="E9"/>
  <c r="E10"/>
  <c r="E11"/>
  <c r="B14"/>
  <c r="E15"/>
  <c r="E16"/>
  <c r="B18"/>
  <c r="B19"/>
  <c r="E21"/>
  <c r="C4" i="8" l="1"/>
  <c r="W17" i="28"/>
  <c r="U19" i="17"/>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E391"/>
  <c r="E437"/>
  <c r="E439"/>
  <c r="E535"/>
  <c r="E326"/>
  <c r="E485"/>
  <c r="E415"/>
  <c r="E502"/>
  <c r="E448"/>
  <c r="BL5"/>
  <c r="F88" i="18"/>
  <c r="H19"/>
  <c r="W39" i="17"/>
  <c r="S15"/>
  <c r="S12" i="33"/>
  <c r="W29" i="32"/>
  <c r="S11" i="31"/>
  <c r="S19" i="17"/>
  <c r="J34"/>
  <c r="AC34" s="1"/>
  <c r="D22" i="19"/>
  <c r="C21" s="1"/>
  <c r="K15" i="8"/>
  <c r="A25" i="2" s="1"/>
  <c r="J107" i="19"/>
  <c r="J109"/>
  <c r="AC23" i="28"/>
  <c r="W23"/>
  <c r="E568" i="9"/>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3" i="9"/>
  <c r="E277"/>
  <c r="E261"/>
  <c r="E245"/>
  <c r="E229"/>
  <c r="E213"/>
  <c r="E202"/>
  <c r="E194"/>
  <c r="E186"/>
  <c r="E178"/>
  <c r="E170"/>
  <c r="E162"/>
  <c r="E154"/>
  <c r="E146"/>
  <c r="E138"/>
  <c r="E130"/>
  <c r="E74"/>
  <c r="E58"/>
  <c r="AS6"/>
  <c r="AA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F45" i="24"/>
  <c r="M22" i="25"/>
  <c r="M6"/>
  <c r="J17" i="24"/>
  <c r="M8" i="25"/>
  <c r="M11" i="24"/>
  <c r="F46"/>
  <c r="J15" i="25"/>
  <c r="M26"/>
  <c r="M23" i="24"/>
  <c r="M23" i="25"/>
  <c r="M24"/>
  <c r="F42"/>
  <c r="M26" i="24"/>
  <c r="F16" i="25"/>
  <c r="F28" i="24"/>
  <c r="F39"/>
  <c r="F37" i="25"/>
  <c r="M28"/>
  <c r="C35" i="24"/>
  <c r="F7" i="25"/>
  <c r="L48"/>
  <c r="F43" i="24"/>
  <c r="F40" i="25"/>
  <c r="F43"/>
  <c r="J36"/>
  <c r="M27"/>
  <c r="C16" i="24"/>
  <c r="M9" i="25"/>
  <c r="F38"/>
  <c r="F9"/>
  <c r="M29"/>
  <c r="M30" i="24"/>
  <c r="L47" i="25"/>
  <c r="F6"/>
  <c r="F26"/>
  <c r="F8" i="24"/>
  <c r="F37"/>
  <c r="C19"/>
  <c r="M25"/>
  <c r="F8" i="25"/>
  <c r="F11" i="24"/>
  <c r="M10"/>
  <c r="F38"/>
  <c r="F10"/>
  <c r="M28"/>
  <c r="F18"/>
  <c r="M31"/>
  <c r="M8"/>
  <c r="M29"/>
  <c r="M24"/>
  <c r="F40"/>
  <c r="F36" i="25"/>
  <c r="F9" i="24"/>
  <c r="F13" i="25"/>
  <c r="S6" i="9" l="1"/>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B14" i="38" s="1"/>
  <c r="B1" s="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C7" i="38" l="1"/>
  <c r="C8"/>
  <c r="V42" i="32"/>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C17" i="25"/>
  <c r="F41"/>
  <c r="E68" i="17" l="1"/>
  <c r="C14" i="38"/>
  <c r="B2" s="1"/>
  <c r="R45" i="18"/>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D7" i="38" l="1"/>
  <c r="D8"/>
  <c r="J24" i="24"/>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F35" i="25"/>
  <c r="M21"/>
  <c r="C14"/>
  <c r="C27" i="15" l="1"/>
  <c r="C25" s="1"/>
  <c r="B3" i="24"/>
  <c r="D31" i="11"/>
  <c r="I6" s="1"/>
  <c r="B4" i="24"/>
  <c r="F62" i="25"/>
  <c r="C61" s="1"/>
  <c r="C34"/>
  <c r="J20"/>
  <c r="R19" i="11"/>
  <c r="R27" s="1"/>
  <c r="B3" i="16"/>
  <c r="B5"/>
  <c r="B4"/>
  <c r="C18" i="25"/>
  <c r="C15"/>
  <c r="R6" i="12"/>
  <c r="R16" s="1"/>
  <c r="T16"/>
  <c r="I5" i="11"/>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L43" i="14"/>
  <c r="B5" i="17"/>
  <c r="B3"/>
  <c r="B4"/>
  <c r="C21" i="14"/>
  <c r="C20"/>
  <c r="C29" i="15" l="1"/>
  <c r="C28" s="1"/>
  <c r="C32" s="1"/>
  <c r="C31" s="1"/>
  <c r="C37" s="1"/>
  <c r="B2" s="1"/>
  <c r="B3" s="1"/>
  <c r="D20" i="14"/>
  <c r="D19"/>
  <c r="B5" i="15" l="1"/>
  <c r="B4"/>
  <c r="D22" i="14"/>
  <c r="L44"/>
  <c r="G19"/>
  <c r="D14" i="38" s="1"/>
  <c r="G20" i="14"/>
  <c r="D21"/>
  <c r="N43" l="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 r="F14" i="38" l="1"/>
  <c r="B5"/>
  <c r="G14"/>
  <c r="B6" s="1"/>
  <c r="E14"/>
  <c r="C6" l="1"/>
  <c r="D6"/>
  <c r="D5"/>
  <c r="C5"/>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<sst xmlns="http://schemas.openxmlformats.org/spreadsheetml/2006/main" count="7359" uniqueCount="2362">
  <si>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</si>
  <si>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</si>
  <si>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</si>
  <si>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</si>
  <si>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</si>
  <si>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</si>
  <si>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</si>
  <si>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</si>
  <si>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</si>
  <si>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</si>
  <si>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</si>
  <si>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</si>
  <si>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</si>
  <si>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</si>
  <si>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</si>
  <si>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</si>
  <si>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</si>
  <si>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</si>
  <si>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</si>
  <si>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</si>
  <si>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</si>
  <si>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</si>
  <si>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</si>
  <si>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</si>
  <si>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</si>
  <si>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</si>
  <si>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</si>
  <si>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</si>
  <si>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</si>
  <si>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</si>
  <si>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</si>
  <si>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</si>
  <si>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</si>
  <si>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</si>
  <si>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</si>
  <si>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</si>
  <si>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</si>
  <si>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</si>
  <si>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</si>
  <si>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</si>
  <si>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</si>
  <si>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</si>
  <si>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</si>
  <si>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</si>
  <si>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</si>
  <si>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</si>
  <si>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</si>
  <si>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</si>
  <si>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</si>
  <si>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</si>
  <si>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</si>
  <si>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</si>
  <si>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</si>
  <si>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</si>
  <si>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</si>
  <si>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</si>
  <si>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</si>
  <si>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</si>
  <si>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</si>
  <si>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</si>
  <si>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</si>
  <si>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</si>
  <si>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</si>
  <si>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</si>
  <si>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</si>
  <si>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</si>
  <si>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</si>
  <si>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</si>
  <si>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</si>
  <si>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</si>
  <si>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</si>
  <si>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</si>
  <si>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</si>
  <si>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</si>
  <si>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</si>
  <si>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</si>
  <si>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</si>
  <si>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</si>
  <si>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</si>
  <si>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</si>
  <si>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</si>
  <si>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</si>
  <si>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</si>
  <si>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</si>
  <si>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</si>
  <si>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</si>
  <si>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</si>
  <si>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</si>
  <si>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</si>
  <si>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</si>
  <si>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</si>
  <si>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</si>
  <si>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</si>
  <si>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</si>
  <si>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</si>
  <si>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</si>
  <si>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</si>
  <si>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</si>
  <si>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</si>
  <si>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</si>
  <si>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</si>
  <si>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</si>
  <si>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</si>
  <si>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</si>
  <si>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</si>
  <si>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</si>
  <si>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</si>
  <si>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</si>
  <si>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</si>
  <si>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</si>
  <si>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</si>
  <si>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</si>
  <si>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</si>
  <si>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</si>
  <si>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</si>
  <si>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</si>
  <si>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</si>
  <si>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</si>
  <si>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</si>
  <si>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</si>
  <si>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</si>
  <si>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</si>
  <si>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</si>
  <si>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</si>
  <si>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</si>
  <si>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</si>
  <si>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</si>
  <si>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</si>
  <si>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</si>
  <si>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</si>
  <si>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</si>
  <si>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</si>
  <si>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</si>
  <si>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</si>
  <si>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</si>
  <si>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</si>
  <si>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</si>
  <si>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</si>
  <si>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</si>
  <si>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</si>
  <si>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</si>
  <si>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</si>
  <si>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</si>
  <si>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</si>
  <si>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</si>
  <si>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</si>
  <si>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</si>
  <si>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</si>
  <si>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</si>
  <si>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</si>
  <si>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</si>
  <si>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</si>
  <si>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</si>
  <si>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</si>
  <si>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</si>
  <si>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</si>
  <si>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</si>
  <si>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</si>
  <si>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</si>
  <si>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</si>
  <si>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</si>
  <si>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</si>
  <si>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</si>
  <si>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</si>
  <si>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</si>
  <si>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</si>
  <si>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</si>
  <si>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</si>
  <si>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</si>
  <si>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</si>
  <si>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</si>
  <si>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</si>
  <si>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</si>
  <si>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</si>
  <si>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</si>
  <si>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</si>
  <si>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</si>
  <si>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</si>
  <si>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</si>
  <si>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</si>
  <si>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</si>
  <si>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</si>
  <si>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</si>
  <si>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</si>
  <si>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</si>
  <si>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</si>
  <si>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</si>
  <si>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</si>
  <si>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</si>
  <si>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</si>
  <si>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</si>
  <si>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</si>
  <si>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</si>
  <si>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</si>
  <si>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</si>
  <si>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</si>
  <si>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</si>
  <si>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</si>
  <si>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</si>
  <si>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</si>
  <si>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</si>
  <si>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</si>
  <si>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</si>
  <si>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</si>
  <si>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</si>
  <si>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</si>
  <si>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</si>
  <si>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</si>
  <si>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</si>
  <si>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</si>
  <si>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</si>
  <si>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</si>
  <si>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</si>
  <si>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</si>
  <si>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</si>
  <si>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</si>
  <si>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</si>
  <si>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</si>
  <si>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</si>
  <si>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</si>
  <si>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</si>
  <si>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</si>
  <si>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</si>
  <si>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</si>
  <si>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</si>
  <si>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</si>
  <si>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</si>
  <si>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</si>
  <si>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</si>
  <si>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</si>
  <si>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</si>
  <si>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</si>
  <si>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</si>
  <si>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</si>
  <si>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</si>
  <si>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</si>
  <si>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</si>
  <si>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</si>
  <si>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</si>
  <si>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</si>
  <si>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</si>
  <si>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</si>
  <si>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</si>
  <si>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</si>
  <si>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</si>
  <si>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</si>
  <si>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</si>
  <si>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</si>
  <si>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</si>
  <si>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</si>
  <si>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</si>
  <si>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</si>
  <si>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</si>
  <si>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</si>
  <si>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</si>
  <si>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</si>
  <si>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</si>
  <si>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</si>
  <si>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</si>
  <si>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</si>
  <si>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</si>
  <si>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</si>
  <si>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</si>
  <si>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</si>
  <si>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</si>
  <si>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</si>
  <si>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</si>
  <si>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</si>
  <si>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</si>
  <si>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</si>
  <si>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</si>
  <si>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</si>
  <si>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</si>
  <si>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</si>
  <si>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</si>
  <si>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</si>
  <si>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</si>
  <si>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</si>
  <si>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</si>
  <si>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</si>
  <si>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</si>
  <si>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</si>
  <si>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</si>
  <si>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</si>
  <si>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</si>
  <si>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</si>
  <si>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</si>
  <si>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</si>
  <si>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</si>
  <si>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</si>
  <si>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</si>
  <si>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</si>
  <si>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</si>
  <si>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</si>
  <si>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</si>
  <si>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</si>
  <si>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</si>
  <si>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</si>
  <si>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</si>
  <si>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</si>
  <si>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</si>
  <si>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</si>
  <si>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</si>
  <si>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</si>
  <si>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</si>
  <si>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</si>
  <si>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</si>
  <si>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</si>
  <si>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</si>
  <si>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</si>
  <si>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</si>
  <si>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</si>
  <si>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</si>
  <si>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</si>
  <si>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</si>
  <si>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</si>
  <si>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</si>
  <si>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</si>
  <si>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</si>
  <si>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</si>
  <si>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</si>
  <si>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</si>
  <si>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</si>
  <si>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</si>
  <si>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</si>
  <si>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</si>
  <si>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</si>
  <si>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</si>
  <si>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</si>
  <si>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</si>
  <si>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</si>
  <si>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</si>
  <si>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</si>
  <si>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</si>
  <si>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</si>
  <si>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</si>
  <si>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</si>
  <si>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</si>
  <si>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</si>
  <si>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</si>
  <si>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</si>
  <si>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</si>
  <si>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</si>
  <si>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</si>
  <si>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</si>
  <si>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</si>
  <si>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</si>
  <si>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</si>
  <si>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</si>
  <si>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</si>
  <si>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</si>
  <si>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</si>
  <si>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</si>
  <si>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</si>
  <si>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</si>
  <si>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</si>
  <si>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</si>
  <si>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</si>
  <si>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</si>
  <si>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</si>
  <si>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</si>
  <si>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</si>
  <si>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</si>
  <si>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</si>
  <si>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</si>
  <si>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</si>
  <si>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</si>
  <si>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</si>
  <si>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</si>
  <si>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</si>
  <si>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</si>
  <si>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</si>
  <si>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</si>
  <si>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</si>
  <si>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</si>
  <si>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</si>
  <si>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</si>
  <si>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</si>
  <si>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</si>
  <si>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</si>
  <si>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</si>
  <si>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</si>
  <si>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</si>
  <si>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</si>
  <si>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</si>
  <si>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</si>
  <si>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</si>
  <si>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</si>
  <si>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</si>
  <si>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</si>
  <si>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</si>
  <si>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</si>
  <si>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</si>
  <si>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</si>
  <si>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</si>
  <si>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</si>
  <si>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</si>
  <si>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</si>
  <si>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</si>
  <si>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</si>
  <si>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</si>
  <si>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</si>
  <si>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</si>
  <si>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</si>
  <si>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</si>
  <si>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</si>
  <si>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</si>
  <si>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</si>
  <si>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</si>
  <si>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</si>
  <si>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</si>
  <si>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</si>
  <si>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</si>
  <si>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</si>
  <si>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</si>
  <si>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</si>
  <si>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</si>
  <si>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</si>
  <si>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</si>
  <si>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</si>
  <si>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</si>
  <si>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</si>
  <si>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</si>
  <si>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</si>
  <si>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</si>
  <si>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</si>
  <si>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</si>
  <si>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</si>
  <si>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</si>
  <si>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</si>
  <si>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</si>
  <si>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</si>
  <si>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</si>
  <si>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</si>
  <si>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</si>
  <si>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</si>
  <si>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</si>
  <si>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</si>
  <si>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</si>
  <si>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</si>
  <si>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</si>
  <si>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</si>
  <si>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</si>
  <si>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</si>
  <si>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</si>
  <si>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</si>
  <si>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</si>
  <si>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</si>
  <si>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</si>
  <si>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</si>
  <si>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</si>
  <si>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</si>
  <si>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</si>
  <si>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</si>
  <si>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</si>
  <si>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</si>
  <si>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</si>
  <si>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</si>
  <si>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</si>
  <si>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</si>
  <si>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</si>
  <si>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</si>
  <si>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</si>
  <si>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</si>
  <si>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</si>
  <si>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</si>
  <si>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</si>
  <si>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</si>
  <si>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</si>
  <si>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</si>
  <si>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</si>
  <si>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</si>
  <si>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</si>
  <si>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</si>
  <si>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</si>
  <si>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</si>
  <si>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</si>
  <si>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</si>
  <si>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</si>
  <si>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</si>
  <si>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</si>
  <si>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</si>
  <si>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</si>
  <si>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</si>
  <si>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</si>
  <si>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</si>
  <si>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</si>
  <si>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</si>
  <si>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</si>
  <si>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</si>
  <si>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</si>
  <si>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</si>
  <si>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</si>
  <si>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</si>
  <si>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</si>
  <si>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</si>
  <si>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</si>
  <si>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</si>
  <si>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</si>
  <si>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</si>
  <si>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</si>
  <si>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</si>
  <si>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</si>
  <si>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</si>
  <si>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</si>
  <si>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</si>
  <si>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</si>
  <si>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</si>
  <si>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</si>
  <si>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</si>
  <si>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</si>
  <si>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</si>
  <si>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</si>
  <si>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</si>
  <si>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</si>
  <si>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</si>
  <si>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</si>
  <si>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</si>
  <si>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</si>
  <si>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</si>
  <si>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</si>
  <si>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</si>
  <si>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</si>
  <si>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</si>
  <si>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</si>
  <si>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</si>
  <si>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</si>
  <si>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</si>
  <si>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</si>
  <si>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</si>
  <si>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</si>
  <si>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</si>
  <si>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</si>
  <si>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</si>
  <si>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</si>
  <si>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</si>
  <si>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</si>
  <si>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</si>
  <si>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</si>
  <si>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</si>
  <si>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</si>
  <si>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</si>
  <si>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</si>
  <si>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</si>
  <si>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</si>
  <si>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</si>
  <si>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</si>
  <si>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</si>
  <si>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</si>
  <si>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</si>
  <si>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</si>
  <si>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</si>
  <si>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</si>
  <si>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</si>
  <si>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</si>
  <si>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</si>
  <si>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</si>
  <si>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</si>
  <si>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</si>
  <si>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</si>
  <si>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</si>
  <si>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</si>
  <si>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</si>
  <si>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</si>
  <si>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</si>
  <si>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</si>
  <si>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</si>
  <si>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</si>
  <si>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</si>
  <si>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</si>
  <si>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</si>
  <si>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</si>
  <si>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</si>
  <si>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</si>
  <si>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</si>
  <si>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</si>
  <si>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</si>
  <si>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</si>
  <si>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</si>
  <si>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</si>
  <si>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</si>
  <si>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</si>
  <si>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</si>
  <si>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</si>
  <si>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</si>
  <si>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</si>
  <si>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</si>
  <si>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</si>
  <si>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</si>
  <si>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</si>
  <si>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</si>
  <si>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</si>
  <si>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</si>
  <si>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</si>
  <si>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</si>
  <si>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</si>
  <si>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</si>
  <si>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</si>
  <si>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</si>
  <si>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</si>
  <si>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</si>
  <si>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</si>
  <si>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</si>
  <si>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</si>
  <si>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</si>
  <si>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</si>
  <si>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</si>
  <si>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</si>
  <si>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</si>
  <si>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</si>
  <si>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</si>
  <si>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</si>
  <si>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</si>
  <si>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</si>
  <si>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</si>
  <si>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</si>
  <si>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</si>
  <si>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</si>
  <si>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</si>
  <si>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</si>
  <si>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</si>
  <si>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</si>
  <si>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</si>
  <si>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</si>
  <si>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</si>
  <si>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</si>
  <si>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</si>
  <si>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</si>
  <si>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</si>
  <si>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</si>
  <si>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</si>
  <si>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</si>
  <si>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</si>
  <si>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</si>
  <si>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</si>
  <si>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</si>
  <si>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</si>
  <si>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</si>
  <si>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</si>
  <si>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</si>
  <si>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</si>
  <si>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</si>
  <si>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</si>
  <si>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</si>
  <si>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</si>
  <si>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</si>
  <si>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</si>
  <si>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</si>
  <si>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</si>
  <si>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</si>
  <si>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</si>
  <si>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</si>
  <si>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</si>
  <si>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</si>
  <si>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</si>
  <si>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</si>
  <si>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</si>
  <si>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</si>
  <si>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</si>
  <si>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</si>
  <si>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</si>
  <si>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</si>
  <si>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</si>
  <si>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</si>
  <si>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</si>
  <si>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</si>
  <si>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</si>
  <si>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</si>
  <si>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</si>
  <si>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</si>
  <si>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</si>
  <si>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</si>
  <si>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</si>
  <si>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</si>
  <si>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</si>
  <si>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</si>
  <si>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</si>
  <si>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</si>
  <si>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</si>
  <si>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</si>
  <si>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</si>
  <si>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</si>
  <si>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</si>
  <si>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</si>
  <si>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</si>
  <si>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</si>
  <si>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</si>
  <si>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</si>
  <si>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</si>
  <si>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</si>
  <si>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</si>
  <si>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</si>
  <si>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</si>
  <si>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</si>
  <si>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</si>
  <si>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</si>
  <si>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</si>
  <si>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</si>
  <si>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</si>
  <si>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</si>
  <si>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</si>
  <si>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</si>
  <si>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</si>
  <si>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</si>
  <si>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</si>
  <si>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</si>
  <si>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</si>
  <si>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</si>
  <si>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</si>
  <si>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</si>
  <si>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</si>
  <si>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</si>
  <si>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</si>
  <si>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</si>
  <si>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</si>
  <si>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</si>
  <si>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</si>
  <si>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</si>
  <si>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</si>
  <si>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</si>
  <si>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</si>
  <si>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</si>
  <si>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</si>
  <si>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</si>
  <si>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</si>
  <si>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</si>
  <si>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</si>
  <si>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</si>
  <si>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</si>
  <si>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</si>
  <si>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</si>
  <si>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</si>
  <si>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</si>
  <si>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</si>
  <si>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</si>
  <si>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</si>
  <si>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</si>
  <si>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</si>
  <si>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</si>
  <si>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</si>
  <si>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</si>
  <si>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</si>
  <si>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</si>
  <si>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</si>
  <si>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</si>
  <si>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</si>
  <si>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</si>
  <si>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</si>
  <si>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</si>
  <si>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</si>
  <si>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</si>
  <si>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</si>
  <si>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</si>
  <si>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</si>
  <si>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</si>
  <si>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</si>
  <si>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</si>
  <si>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</si>
  <si>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</si>
  <si>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</si>
  <si>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</si>
  <si>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</si>
  <si>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</si>
  <si>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</si>
  <si>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</si>
  <si>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</si>
  <si>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</si>
  <si>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</si>
  <si>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</si>
  <si>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</si>
  <si>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</si>
  <si>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</si>
  <si>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</si>
  <si>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</si>
  <si>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</si>
  <si>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</si>
  <si>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</si>
  <si>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</si>
  <si>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</si>
  <si>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</si>
  <si>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</si>
  <si>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</si>
  <si>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</si>
  <si>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</si>
  <si>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</si>
  <si>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</si>
  <si>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</si>
  <si>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</si>
  <si>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</si>
  <si>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</si>
  <si>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</si>
  <si>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</si>
  <si>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</si>
  <si>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</si>
  <si>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</si>
  <si>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</si>
  <si>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</si>
  <si>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</si>
  <si>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</si>
  <si>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</si>
  <si>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</si>
  <si>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</si>
  <si>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</si>
  <si>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</si>
  <si>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</si>
  <si>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</si>
  <si>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</si>
  <si>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</si>
  <si>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</si>
  <si>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</si>
  <si>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</si>
  <si>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</si>
  <si>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</si>
  <si>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</si>
  <si>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</si>
  <si>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</si>
  <si>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</si>
  <si>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</si>
  <si>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</si>
  <si>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</si>
  <si>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</si>
  <si>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</si>
  <si>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</si>
  <si>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</si>
  <si>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</si>
  <si>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</si>
  <si>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</si>
  <si>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</si>
  <si>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</si>
  <si>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</si>
  <si>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</si>
  <si>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</si>
  <si>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</si>
  <si>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</si>
  <si>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</si>
  <si>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</si>
  <si>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</si>
  <si>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</si>
  <si>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</si>
  <si>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</si>
  <si>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</si>
  <si>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</si>
  <si>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</si>
  <si>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</si>
  <si>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</si>
  <si>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</si>
  <si>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</si>
  <si>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</si>
  <si>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</si>
  <si>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</si>
  <si>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</si>
  <si>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</si>
  <si>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</si>
  <si>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</si>
  <si>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</si>
  <si>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</si>
  <si>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</si>
  <si>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</si>
  <si>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</si>
  <si>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</si>
  <si>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</si>
  <si>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</si>
  <si>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</si>
  <si>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</si>
  <si>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</si>
  <si>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</si>
  <si>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</si>
  <si>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</si>
  <si>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</si>
  <si>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</si>
  <si>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</si>
  <si>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</si>
  <si>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</si>
  <si>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</si>
  <si>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</si>
  <si>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</si>
  <si>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</si>
  <si>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</si>
  <si>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</si>
  <si>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</si>
  <si>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</si>
  <si>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</si>
  <si>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</si>
  <si>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</si>
  <si>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</si>
  <si>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</si>
  <si>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</si>
  <si>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</si>
  <si>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</si>
  <si>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</si>
  <si>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</si>
  <si>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</si>
  <si>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</si>
  <si>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</si>
  <si>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</si>
  <si>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</si>
  <si>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</si>
  <si>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</si>
  <si>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</si>
  <si>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</si>
  <si>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</si>
  <si>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</si>
  <si>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</si>
  <si>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</si>
  <si>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</si>
  <si>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</si>
  <si>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</si>
  <si>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</si>
  <si>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</si>
  <si>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</si>
  <si>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</si>
  <si>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</si>
  <si>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</si>
  <si>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</si>
  <si>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</si>
  <si>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</si>
  <si>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</si>
  <si>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</si>
  <si>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</si>
  <si>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</si>
  <si>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</si>
  <si>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</si>
  <si>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</si>
  <si>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</si>
  <si>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</si>
  <si>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</si>
  <si>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</si>
  <si>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</si>
  <si>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</si>
  <si>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</si>
  <si>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</si>
  <si>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</si>
  <si>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</si>
  <si>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</si>
  <si>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</si>
  <si>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</si>
  <si>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</si>
  <si>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</si>
  <si>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</si>
  <si>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</si>
  <si>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</si>
  <si>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</si>
  <si>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</si>
  <si>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</si>
  <si>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</si>
  <si>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</si>
  <si>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</si>
  <si>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</si>
  <si>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</si>
  <si>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</si>
  <si>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</si>
  <si>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</si>
  <si>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</si>
  <si>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</si>
  <si>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</si>
  <si>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</si>
  <si>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</si>
  <si>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</si>
  <si>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</si>
  <si>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</si>
  <si>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</si>
  <si>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</si>
  <si>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</si>
  <si>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</si>
  <si>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</si>
  <si>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</si>
  <si>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</si>
  <si>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</si>
  <si>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</si>
  <si>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</si>
  <si>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</si>
  <si>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</si>
  <si>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</si>
  <si>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</si>
  <si>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</si>
  <si>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</si>
  <si>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</si>
  <si>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</si>
  <si>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</si>
  <si>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</si>
  <si>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</si>
  <si>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</si>
  <si>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</si>
  <si>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</si>
  <si>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</si>
  <si>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</si>
  <si>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</si>
  <si>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</si>
  <si>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</si>
  <si>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</si>
  <si>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</si>
  <si>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</si>
  <si>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</si>
  <si>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</si>
  <si>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</si>
  <si>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</si>
  <si>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</si>
  <si>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</si>
  <si>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</si>
  <si>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</si>
  <si>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</si>
  <si>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</si>
  <si>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</si>
  <si>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</si>
  <si>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</si>
  <si>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</si>
  <si>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</si>
  <si>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</si>
  <si>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</si>
  <si>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</si>
  <si>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</si>
  <si>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</si>
  <si>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</si>
  <si>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</si>
  <si>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</si>
  <si>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</si>
  <si>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</si>
  <si>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</si>
  <si>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</si>
  <si>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</si>
  <si>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</si>
  <si>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</si>
  <si>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</si>
  <si>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</si>
  <si>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</si>
  <si>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</si>
  <si>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</si>
  <si>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</si>
  <si>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</si>
  <si>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</si>
  <si>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</si>
  <si>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</si>
  <si>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</si>
  <si>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</si>
  <si>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</si>
  <si>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</si>
  <si>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</si>
  <si>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</si>
  <si>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</si>
  <si>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</si>
  <si>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</si>
  <si>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</si>
  <si>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</si>
  <si>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</si>
  <si>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</si>
  <si>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</si>
  <si>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</si>
  <si>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</si>
  <si>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</si>
  <si>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</si>
  <si>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</si>
  <si>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</si>
  <si>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</si>
  <si>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</si>
  <si>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</si>
  <si>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</si>
  <si>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</si>
  <si>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</si>
  <si>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</si>
  <si>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</si>
  <si>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</si>
  <si>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</si>
  <si>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</si>
  <si>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</si>
  <si>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</si>
  <si>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</si>
  <si>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</si>
  <si>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</si>
  <si>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</si>
  <si>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</si>
  <si>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</si>
  <si>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</si>
  <si>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</si>
  <si>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</si>
  <si>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</si>
  <si>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</si>
  <si>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</si>
  <si>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</si>
  <si>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</si>
  <si>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</si>
  <si>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</si>
  <si>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</si>
  <si>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</si>
  <si>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</si>
  <si>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</si>
  <si>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</si>
  <si>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</si>
  <si>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</si>
  <si>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</si>
  <si>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</si>
  <si>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</si>
  <si>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</si>
  <si>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</si>
  <si>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</si>
  <si>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</si>
  <si>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</si>
  <si>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</si>
  <si>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</si>
  <si>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</si>
  <si>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</si>
  <si>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</si>
  <si>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</si>
  <si>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</si>
  <si>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</si>
  <si>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</si>
  <si>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</si>
  <si>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</si>
  <si>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</si>
  <si>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</si>
  <si>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</si>
  <si>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</si>
  <si>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</si>
  <si>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</si>
  <si>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</si>
  <si>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</si>
  <si>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</si>
  <si>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</si>
  <si>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</si>
  <si>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</si>
  <si>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</si>
  <si>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</si>
  <si>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</si>
  <si>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</si>
  <si>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</si>
  <si>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</si>
  <si>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</si>
  <si>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</si>
  <si>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</si>
  <si>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</si>
  <si>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</si>
  <si>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</si>
  <si>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</si>
  <si>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</si>
  <si>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</si>
  <si>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</si>
  <si>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</si>
  <si>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</si>
  <si>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</si>
  <si>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</si>
  <si>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</si>
  <si>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</si>
  <si>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</si>
  <si>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</si>
  <si>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</si>
  <si>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</si>
  <si>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</si>
  <si>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</si>
  <si>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</si>
  <si>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</si>
  <si>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</si>
  <si>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</si>
  <si>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</si>
  <si>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</si>
  <si>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</si>
  <si>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</si>
  <si>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</si>
  <si>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</si>
  <si>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</si>
  <si>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</si>
  <si>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</si>
  <si>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</si>
  <si>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</si>
  <si>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</si>
  <si>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</si>
  <si>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</si>
  <si>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</si>
  <si>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</si>
  <si>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</si>
  <si>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</si>
  <si>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</si>
  <si>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</si>
  <si>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</si>
  <si>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</si>
  <si>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</si>
  <si>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</si>
  <si>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</si>
  <si>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</si>
  <si>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</si>
  <si>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</si>
  <si>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</si>
  <si>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</si>
  <si>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</si>
  <si>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</si>
  <si>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</si>
  <si>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</si>
  <si>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</si>
  <si>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</si>
  <si>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</si>
  <si>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</si>
  <si>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</si>
  <si>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</si>
  <si>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</si>
  <si>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</si>
  <si>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</si>
  <si>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</si>
  <si>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</si>
  <si>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</si>
  <si>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</si>
  <si>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</si>
  <si>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</si>
  <si>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</si>
  <si>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</si>
  <si>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</si>
  <si>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</si>
  <si>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</si>
  <si>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</si>
  <si>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</si>
  <si>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</si>
  <si>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</si>
  <si>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</si>
  <si>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</si>
  <si>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</si>
  <si>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</si>
  <si>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</si>
  <si>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</si>
  <si>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</si>
  <si>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</si>
  <si>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</si>
  <si>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</si>
  <si>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</si>
  <si>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</si>
  <si>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</si>
  <si>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</si>
  <si>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</si>
  <si>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</si>
  <si>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</si>
  <si>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</si>
  <si>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</si>
  <si>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</si>
  <si>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</si>
  <si>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</si>
  <si>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</si>
  <si>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</si>
  <si>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</si>
  <si>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</si>
  <si>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</si>
  <si>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</si>
  <si>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</si>
  <si>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</si>
  <si>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</si>
  <si>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</si>
  <si>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</si>
  <si>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</si>
  <si>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</si>
  <si>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</si>
  <si>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</si>
  <si>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</si>
  <si>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</si>
  <si>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</si>
  <si>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</si>
  <si>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</si>
  <si>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</si>
  <si>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</si>
  <si>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</si>
  <si>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</si>
  <si>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</si>
  <si>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</si>
  <si>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</si>
  <si>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</si>
  <si>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</si>
  <si>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</si>
  <si>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</si>
  <si>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</si>
  <si>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</si>
  <si>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</si>
  <si>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</si>
  <si>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</si>
  <si>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</si>
  <si>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</si>
  <si>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</si>
  <si>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</si>
  <si>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</si>
  <si>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</si>
  <si>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</si>
  <si>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</si>
  <si>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</si>
  <si>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</si>
  <si>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</si>
  <si>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</si>
  <si>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</si>
  <si>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</si>
  <si>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</si>
  <si>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</si>
  <si>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</si>
  <si>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</si>
  <si>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</si>
  <si>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</si>
  <si>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</si>
  <si>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</si>
  <si>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</si>
  <si>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</si>
  <si>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</si>
  <si>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</si>
  <si>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</si>
  <si>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</si>
  <si>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</si>
  <si>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</si>
  <si>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</si>
  <si>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</si>
  <si>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</si>
  <si>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</si>
  <si>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</si>
  <si>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</si>
  <si>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</si>
  <si>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</si>
  <si>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</si>
  <si>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</si>
  <si>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</si>
  <si>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</si>
  <si>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</si>
  <si>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</si>
  <si>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</si>
  <si>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</si>
  <si>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</si>
  <si>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</si>
  <si>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</si>
  <si>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</si>
  <si>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</si>
  <si>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</si>
  <si>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</si>
  <si>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</si>
  <si>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</si>
  <si>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</si>
  <si>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</si>
  <si>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</si>
  <si>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</si>
  <si>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</si>
  <si>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</si>
  <si>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</si>
  <si>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</si>
  <si>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</si>
  <si>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</si>
  <si>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</si>
  <si>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</si>
  <si>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</si>
  <si>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</si>
  <si>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</si>
  <si>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</si>
  <si>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</si>
  <si>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</si>
  <si>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</si>
  <si>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</si>
  <si>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</si>
  <si>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</si>
  <si>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</si>
  <si>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</si>
  <si>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</si>
  <si>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</si>
  <si>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</si>
  <si>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</si>
  <si>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</si>
  <si>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</si>
  <si>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</si>
  <si>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</si>
  <si>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</si>
  <si>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</si>
  <si>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</si>
  <si>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</si>
  <si>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</si>
  <si>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</si>
  <si>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</si>
  <si>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</si>
  <si>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</si>
  <si>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</si>
  <si>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</si>
  <si>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</si>
  <si>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</si>
  <si>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</si>
  <si>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</si>
  <si>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</si>
  <si>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</si>
  <si>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</si>
  <si>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</si>
  <si>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</si>
  <si>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</si>
  <si>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</si>
  <si>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</si>
  <si>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</si>
  <si>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</si>
  <si>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</si>
  <si>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</si>
  <si>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</si>
  <si>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</si>
  <si>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</si>
  <si>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</si>
  <si>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</si>
  <si>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</si>
  <si>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</si>
  <si>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</si>
  <si>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</si>
  <si>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</si>
  <si>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</si>
  <si>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</si>
  <si>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</si>
  <si>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</si>
  <si>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</si>
  <si>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</si>
  <si>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</si>
  <si>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</si>
  <si>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</si>
  <si>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</si>
  <si>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</si>
  <si>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</si>
  <si>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</si>
  <si>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</si>
  <si>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</si>
  <si>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</si>
  <si>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</si>
  <si>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</si>
  <si>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</si>
  <si>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</si>
  <si>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</si>
  <si>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</si>
  <si>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</si>
  <si>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</si>
  <si>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</si>
  <si>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</si>
  <si>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</si>
  <si>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</si>
  <si>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</si>
  <si>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</si>
  <si>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</si>
  <si>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</si>
  <si>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</si>
  <si>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</si>
  <si>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</si>
  <si>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</si>
  <si>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</si>
  <si>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</si>
  <si>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</si>
  <si>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</si>
  <si>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</si>
  <si>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</si>
  <si>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</si>
  <si>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</si>
  <si>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</si>
  <si>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</si>
  <si>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</si>
  <si>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</si>
  <si>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</si>
  <si>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</si>
  <si>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</si>
  <si>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</si>
  <si>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</si>
  <si>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</si>
  <si>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</si>
  <si>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</si>
  <si>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</si>
  <si>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</si>
  <si>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</si>
  <si>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</si>
  <si>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</si>
  <si>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</si>
  <si>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</si>
  <si>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</si>
  <si>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</si>
  <si>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</si>
  <si>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</si>
  <si>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</si>
  <si>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</si>
  <si>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</si>
  <si>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</si>
  <si>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</si>
  <si>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</si>
  <si>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</si>
  <si>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</si>
  <si>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</si>
  <si>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</si>
  <si>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</si>
  <si>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</si>
  <si>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</si>
  <si>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</si>
  <si>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</si>
  <si>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</si>
  <si>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</si>
  <si>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</si>
  <si>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</si>
  <si>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</si>
  <si>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</si>
  <si>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</si>
  <si>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</si>
  <si>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</si>
  <si>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</si>
  <si>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</si>
  <si>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</si>
  <si>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</si>
  <si>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</si>
  <si>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</si>
  <si>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</si>
  <si>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</si>
  <si>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</si>
  <si>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</si>
  <si>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</si>
  <si>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</si>
  <si>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</si>
  <si>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</si>
  <si>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</si>
  <si>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</si>
  <si>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</si>
  <si>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</si>
  <si>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</si>
  <si>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</si>
  <si>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</si>
  <si>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</si>
  <si>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</si>
  <si>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</si>
  <si>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</si>
  <si>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</si>
  <si>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</si>
  <si>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</si>
  <si>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</si>
  <si>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</si>
  <si>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</si>
  <si>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</si>
  <si>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</si>
  <si>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</si>
  <si>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</si>
  <si>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</si>
  <si>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</si>
  <si>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</si>
  <si>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</si>
  <si>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</si>
  <si>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</si>
  <si>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</si>
  <si>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</si>
  <si>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</si>
  <si>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</si>
  <si>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</si>
  <si>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</si>
  <si>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</si>
  <si>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</si>
  <si>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</si>
  <si>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</si>
  <si>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</si>
  <si>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</si>
  <si>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</si>
  <si>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</si>
  <si>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</si>
  <si>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</si>
  <si>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</si>
  <si>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</si>
  <si>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</si>
  <si>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</si>
  <si>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</si>
  <si>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</si>
  <si>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</si>
  <si>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</si>
  <si>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</si>
  <si>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</si>
  <si>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</si>
  <si>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</si>
  <si>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</si>
  <si>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</si>
  <si>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</si>
  <si>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</si>
  <si>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</si>
  <si>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</si>
  <si>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</si>
  <si>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</si>
  <si>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</si>
  <si>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</si>
  <si>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</si>
  <si>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</si>
  <si>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</si>
  <si>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</si>
  <si>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</si>
  <si>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</si>
  <si>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</si>
  <si>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</si>
  <si>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</si>
  <si>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</si>
  <si>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</si>
  <si>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</si>
  <si>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</si>
  <si>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</si>
  <si>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</si>
  <si>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</si>
  <si>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</si>
  <si>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</si>
  <si>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</si>
  <si>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</si>
  <si>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</si>
  <si>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</si>
  <si>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</si>
  <si>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</si>
  <si>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</si>
  <si>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</si>
  <si>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</si>
  <si>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</si>
  <si>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</si>
  <si>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</si>
  <si>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</si>
  <si>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</si>
  <si>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</si>
  <si>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</si>
  <si>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</si>
  <si>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</si>
  <si>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</si>
  <si>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</si>
  <si>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</si>
  <si>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</si>
  <si>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</si>
  <si>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</si>
  <si>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</si>
  <si>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</si>
  <si>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</si>
  <si>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</si>
  <si>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</si>
  <si>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</si>
  <si>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</si>
  <si>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</si>
  <si>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</si>
  <si>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</si>
  <si>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</si>
  <si>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</si>
  <si>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</si>
  <si>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</si>
  <si>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</si>
  <si>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</si>
  <si>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</si>
  <si>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</si>
  <si>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</si>
  <si>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</si>
  <si>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</si>
  <si>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</si>
  <si>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</si>
  <si>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</si>
  <si>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</si>
  <si>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</si>
  <si>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</si>
  <si>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</si>
  <si>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</si>
  <si>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</si>
  <si>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</si>
  <si>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</si>
  <si>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</si>
  <si>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</si>
  <si>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</si>
  <si>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</si>
  <si>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</si>
  <si>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</si>
  <si>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</si>
  <si>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</si>
  <si>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</si>
  <si>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</si>
  <si>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</si>
  <si>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</si>
  <si>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</si>
  <si>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</si>
  <si>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</si>
  <si>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</si>
  <si>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</si>
  <si>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</si>
  <si>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</si>
  <si>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</si>
  <si>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</si>
  <si>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</si>
  <si>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</si>
  <si>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</si>
  <si>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</si>
  <si>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</si>
  <si>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</si>
  <si>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</si>
  <si>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</si>
  <si>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</si>
  <si>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</si>
  <si>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</si>
  <si>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</si>
  <si>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</si>
  <si>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</si>
  <si>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</si>
  <si>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</si>
  <si>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</si>
  <si>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</si>
  <si>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</si>
  <si>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</si>
  <si>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</si>
  <si>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</si>
  <si>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</si>
  <si>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</si>
  <si>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</si>
  <si>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</si>
  <si>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</si>
  <si>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</si>
  <si>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</si>
  <si>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</si>
  <si>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</si>
  <si>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</si>
  <si>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</si>
  <si>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</si>
  <si>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</si>
  <si>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</si>
  <si>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</si>
  <si>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</si>
  <si>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</si>
  <si>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</si>
  <si>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</si>
  <si>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</si>
  <si>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</si>
  <si>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</si>
  <si>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</si>
  <si>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</si>
  <si>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</si>
  <si>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</si>
  <si>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</si>
  <si>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</si>
  <si>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</si>
  <si>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</si>
  <si>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</si>
  <si>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</si>
  <si>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</si>
  <si>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</si>
  <si>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</si>
  <si>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</si>
  <si>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</si>
  <si>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</si>
  <si>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</si>
  <si>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</si>
  <si>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</si>
  <si>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</si>
  <si>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</si>
  <si>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</si>
  <si>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</si>
  <si>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</si>
  <si>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</si>
  <si>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</si>
  <si>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</si>
  <si>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</si>
  <si>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</si>
  <si>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</si>
  <si>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</si>
  <si>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</si>
  <si>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</si>
  <si>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</si>
  <si>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</si>
  <si>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</si>
  <si>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</si>
  <si>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</si>
  <si>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</si>
  <si>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</si>
  <si>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</si>
  <si>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</si>
  <si>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</si>
  <si>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</si>
  <si>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</si>
  <si>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</si>
  <si>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</si>
  <si>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</si>
  <si>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</si>
  <si>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</si>
  <si>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</si>
  <si>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</si>
  <si>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</si>
  <si>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</si>
  <si>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</si>
  <si>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</si>
  <si>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</si>
  <si>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</si>
  <si>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</si>
  <si>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</si>
  <si>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</si>
  <si>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</si>
  <si>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</si>
  <si>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</si>
  <si>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</si>
  <si>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</si>
  <si>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</si>
  <si>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</si>
  <si>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</si>
  <si>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</si>
  <si>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</si>
  <si>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</si>
  <si>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</si>
  <si>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</si>
  <si>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</si>
  <si>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</si>
  <si>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</si>
  <si>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</si>
  <si>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</si>
  <si>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</si>
  <si>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</si>
  <si>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</si>
  <si>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</si>
  <si>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</si>
  <si>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</si>
  <si>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</si>
  <si>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</si>
  <si>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</si>
  <si>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</si>
  <si>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</si>
  <si>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</si>
  <si>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</si>
  <si>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</si>
  <si>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</si>
  <si>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</si>
  <si>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</si>
  <si>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</si>
  <si>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</si>
  <si>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</si>
  <si>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</si>
  <si>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</si>
  <si>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</si>
  <si>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</si>
  <si>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</si>
  <si>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</si>
  <si>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</si>
  <si>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</si>
  <si>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</si>
  <si>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</si>
  <si>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</si>
  <si>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</si>
  <si>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</si>
  <si>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</si>
  <si>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</si>
  <si>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</si>
  <si>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</si>
  <si>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</si>
  <si>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</si>
  <si>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</si>
  <si>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</si>
  <si>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</si>
  <si>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</si>
  <si>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</si>
  <si>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</si>
  <si>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</si>
  <si>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</si>
  <si>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</si>
  <si>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</si>
  <si>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</si>
  <si>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</si>
  <si>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</si>
  <si>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</si>
  <si>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</si>
  <si>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</si>
  <si>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</si>
  <si>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</si>
  <si>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</si>
  <si>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</si>
  <si>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</si>
  <si>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</si>
  <si>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</si>
  <si>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</si>
  <si>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</si>
  <si>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</si>
  <si>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</si>
  <si>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</si>
  <si>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</si>
  <si>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</si>
  <si>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</si>
  <si>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</si>
  <si>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</si>
  <si>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</si>
  <si>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</si>
  <si>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</si>
  <si>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</si>
  <si>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</si>
  <si>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</si>
  <si>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</si>
  <si>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</si>
  <si>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</si>
  <si>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</si>
  <si>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</si>
  <si>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</si>
  <si>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</si>
  <si>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</si>
  <si>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</si>
  <si>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</si>
  <si>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</si>
  <si>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</si>
  <si>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</si>
  <si>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</si>
  <si>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</si>
  <si>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</si>
  <si>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</si>
  <si>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</si>
  <si>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</si>
  <si>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</si>
  <si>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</si>
  <si>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</si>
  <si>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</si>
  <si>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</si>
  <si>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</si>
  <si>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</si>
  <si>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</si>
  <si>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</si>
  <si>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</si>
  <si>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</si>
  <si>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</si>
  <si>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</si>
  <si>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</si>
  <si>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</si>
  <si>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</si>
  <si>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</si>
  <si>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</si>
  <si>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</si>
  <si>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</si>
  <si>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</si>
  <si>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</si>
  <si>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</si>
  <si>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</si>
  <si>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</si>
  <si>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</si>
  <si>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</si>
  <si>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</si>
  <si>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</si>
  <si>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</si>
  <si>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</si>
  <si>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</si>
  <si>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</si>
  <si>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</si>
  <si>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</si>
  <si>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</si>
  <si>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</si>
  <si>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</si>
  <si>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</si>
  <si>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</si>
  <si>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</si>
  <si>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</si>
  <si>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</si>
  <si>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</si>
  <si>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</si>
  <si>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</si>
  <si>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</si>
  <si>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</si>
  <si>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</si>
  <si>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</si>
  <si>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</si>
  <si>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</si>
  <si>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</si>
  <si>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</si>
  <si>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</si>
  <si>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</si>
  <si>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</si>
  <si>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</si>
  <si>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</si>
  <si>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</si>
  <si>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</si>
  <si>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</si>
  <si>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</si>
  <si>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</si>
  <si>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</si>
  <si>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</si>
  <si>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</si>
  <si>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</si>
  <si>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</si>
  <si>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</si>
  <si>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</si>
  <si>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</si>
  <si>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</si>
  <si>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</si>
  <si>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</si>
  <si>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</si>
  <si>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</si>
  <si>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</si>
  <si>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</si>
  <si>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</si>
  <si>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</si>
  <si>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</si>
  <si>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</si>
  <si>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</si>
  <si>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</si>
  <si>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</si>
  <si>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</si>
  <si>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</si>
  <si>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</si>
  <si>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</si>
  <si>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</si>
  <si>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</si>
  <si>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</si>
  <si>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</si>
  <si>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</si>
  <si>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</si>
  <si>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</si>
  <si>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</si>
  <si>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</si>
  <si>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</si>
  <si>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</si>
  <si>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</si>
  <si>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</si>
  <si>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</si>
  <si>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</si>
  <si>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</si>
  <si>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</si>
  <si>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</si>
  <si>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</si>
  <si>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</si>
  <si>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</si>
  <si>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</si>
  <si>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</si>
  <si>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</si>
  <si>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</si>
  <si>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</si>
  <si>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</si>
  <si>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</si>
  <si>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</si>
  <si>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</si>
  <si>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</si>
  <si>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</si>
  <si>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</si>
  <si>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</si>
  <si>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</si>
  <si>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</si>
  <si>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</si>
  <si>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</si>
  <si>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</si>
  <si>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</si>
  <si>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</si>
  <si>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</si>
  <si>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</si>
  <si>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</si>
  <si>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</si>
  <si>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</si>
  <si>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</si>
  <si>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</si>
  <si>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</si>
  <si>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</si>
  <si>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</si>
  <si>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</si>
  <si>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</si>
  <si>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</si>
  <si>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</si>
  <si>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</si>
  <si>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</si>
  <si>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</si>
  <si>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</si>
  <si>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</si>
  <si>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</si>
  <si>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</si>
  <si>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</si>
  <si>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</si>
  <si>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</si>
  <si>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</si>
  <si>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</si>
  <si>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</si>
  <si>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</si>
  <si>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</si>
  <si>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</si>
  <si>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</si>
  <si>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</si>
  <si>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</si>
  <si>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</si>
  <si>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</si>
  <si>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</si>
  <si>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</si>
  <si>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</si>
  <si>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</si>
  <si>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</si>
  <si>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</si>
  <si>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</si>
  <si>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</si>
  <si>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</si>
  <si>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</si>
  <si>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</si>
  <si>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</si>
  <si>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</si>
  <si>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</si>
  <si>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</si>
  <si>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</si>
  <si>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</si>
  <si>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</si>
  <si>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</si>
  <si>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</si>
  <si>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</si>
  <si>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</si>
  <si>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</si>
  <si>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</si>
  <si>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</si>
  <si>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</si>
  <si>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</si>
  <si>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</si>
  <si>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</si>
  <si>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</si>
  <si>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</si>
  <si>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</si>
  <si>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</si>
  <si>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</si>
  <si>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</si>
  <si>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</si>
  <si>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</si>
  <si>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</si>
  <si>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</si>
  <si>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</si>
  <si>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</si>
  <si>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</si>
  <si>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</si>
  <si>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</si>
  <si>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</si>
  <si>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</si>
  <si>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</si>
  <si>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</si>
  <si>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</si>
  <si>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</si>
  <si>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</si>
  <si>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</si>
  <si>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</si>
  <si>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</si>
  <si>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</si>
  <si>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</si>
  <si>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</si>
  <si>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</si>
  <si>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</si>
  <si>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</si>
  <si>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</si>
  <si>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</si>
  <si>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</si>
  <si>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</si>
  <si>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</si>
  <si>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</si>
  <si>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</si>
  <si>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</si>
  <si>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</si>
  <si>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</si>
  <si>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</si>
  <si>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</si>
  <si>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</si>
  <si>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</si>
  <si>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</si>
  <si>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</si>
  <si>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</si>
  <si>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</si>
  <si>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</si>
  <si>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</si>
  <si>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</si>
  <si>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</si>
  <si>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</si>
  <si>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</si>
  <si>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</si>
  <si>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</si>
  <si>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</si>
  <si>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</si>
  <si>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</si>
  <si>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</si>
  <si>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</si>
  <si>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</si>
  <si>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</si>
  <si>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</si>
  <si>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</si>
  <si>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</si>
  <si>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</si>
  <si>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</si>
  <si>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</si>
  <si>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</si>
  <si>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</si>
  <si>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</si>
  <si>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</si>
  <si>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</si>
  <si>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</si>
  <si>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</si>
  <si>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</si>
  <si>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</si>
  <si>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</si>
  <si>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</si>
  <si>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</si>
  <si>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</si>
  <si>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</si>
  <si>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</si>
  <si>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</si>
  <si>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</si>
  <si>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</si>
  <si>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</si>
  <si>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</si>
  <si>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</si>
  <si>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</si>
  <si>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</si>
  <si>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</si>
  <si>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</si>
  <si>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</si>
  <si>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</si>
  <si>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</si>
  <si>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</si>
  <si>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</si>
  <si>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</si>
  <si>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</si>
  <si>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</si>
  <si>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</si>
  <si>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</si>
  <si>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</si>
  <si>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</si>
  <si>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</si>
  <si>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</si>
  <si>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</si>
  <si>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</si>
  <si>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</si>
  <si>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</si>
  <si>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</si>
  <si>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</si>
  <si>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</si>
  <si>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</si>
  <si>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</si>
  <si>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</si>
  <si>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</si>
  <si>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</si>
  <si>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</si>
  <si>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</si>
  <si>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</si>
  <si>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</si>
  <si>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</si>
  <si>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</si>
  <si>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</si>
  <si>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</si>
  <si>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</si>
  <si>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</si>
  <si>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</si>
  <si>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</si>
  <si>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</si>
  <si>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</si>
  <si>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</si>
  <si>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</si>
  <si>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</si>
  <si>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</si>
  <si>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</si>
  <si>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</si>
  <si>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</si>
  <si>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</si>
  <si>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</si>
  <si>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</si>
  <si>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</si>
  <si>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</si>
  <si>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</si>
  <si>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</si>
  <si>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</si>
  <si>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</si>
  <si>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</si>
  <si>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</si>
  <si>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</si>
  <si>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</si>
  <si>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</si>
  <si>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</si>
  <si>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</si>
  <si>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</si>
  <si>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</si>
  <si>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</si>
  <si>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</si>
  <si>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</si>
  <si>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</si>
  <si>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</si>
  <si>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</si>
  <si>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</si>
  <si>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</si>
  <si>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</si>
  <si>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</si>
  <si>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</si>
  <si>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</si>
  <si>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</si>
  <si>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</si>
  <si>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</si>
  <si>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</si>
  <si>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</si>
  <si>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</si>
  <si>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</si>
  <si>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</si>
  <si>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</si>
  <si>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</si>
  <si>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</si>
  <si>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</si>
  <si>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</si>
  <si>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</si>
  <si>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</si>
  <si>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</si>
  <si>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</si>
  <si>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</si>
  <si>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</si>
  <si>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</si>
  <si>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</si>
  <si>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</si>
  <si>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</si>
  <si>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</si>
  <si>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</si>
  <si>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</si>
  <si>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</si>
  <si>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</si>
  <si>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</si>
  <si>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</si>
  <si>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凯城·上东区</t>
    <phoneticPr fontId="197" type="noConversion"/>
  </si>
  <si>
    <t>霸州市胜芳镇迎宾东道三小东侧</t>
    <phoneticPr fontId="197" type="noConversion"/>
  </si>
  <si>
    <t>主</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</si>
  <si>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</si>
  <si>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</si>
  <si>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</si>
  <si>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</si>
  <si>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</si>
  <si>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</si>
  <si>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</si>
  <si>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</si>
  <si>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</si>
  <si>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</si>
  <si>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青岛福瀛房地产开发有限公司</t>
    <phoneticPr fontId="197" type="noConversion"/>
  </si>
  <si>
    <t>住宅</t>
    <phoneticPr fontId="197" type="noConversion"/>
  </si>
  <si>
    <t>居住用地</t>
  </si>
  <si>
    <t>居住用地</t>
    <phoneticPr fontId="197" type="noConversion"/>
  </si>
  <si>
    <t>《房地产权证》[青房地权市字第201575118号]</t>
  </si>
  <si>
    <t>《房地产权证》[青房地权市字第201575118号]</t>
    <phoneticPr fontId="197" type="noConversion"/>
  </si>
  <si>
    <t>《建设工程规划许可证》[建字第370200201717150号]</t>
  </si>
  <si>
    <t>《建设工程规划许可证》[建字第370200201717150号]</t>
    <phoneticPr fontId="197" type="noConversion"/>
  </si>
  <si>
    <t>出让</t>
  </si>
  <si>
    <t>住宅33.64年</t>
    <phoneticPr fontId="197" type="noConversion"/>
  </si>
  <si>
    <t>原件</t>
  </si>
  <si>
    <t>请录依据文件名称（非北京）：青岛市黄岛区人民政府关于调整城镇土地使用税征收范围的通知 青黄政发〔2013〕42号</t>
    <phoneticPr fontId="197" type="noConversion"/>
  </si>
  <si>
    <t>黄岛区一级</t>
  </si>
  <si>
    <t>黄岛区一级</t>
    <phoneticPr fontId="197" type="noConversion"/>
  </si>
  <si>
    <t>黄岛区前湾港路北、毛家村西</t>
    <phoneticPr fontId="195" type="noConversion"/>
  </si>
  <si>
    <t>居住用地</t>
    <phoneticPr fontId="195" type="noConversion"/>
  </si>
  <si>
    <t>商业服务业设施用地兼容二类住宅用地</t>
    <phoneticPr fontId="195" type="noConversion"/>
  </si>
  <si>
    <t>中低价位、中小套型普通商品住房用地</t>
  </si>
  <si>
    <t>中低价位、中小套型普通商品住房用地</t>
    <phoneticPr fontId="195" type="noConversion"/>
  </si>
  <si>
    <t>70</t>
    <phoneticPr fontId="195" type="noConversion"/>
  </si>
  <si>
    <t>次干道</t>
  </si>
  <si>
    <t>2017-4</t>
    <phoneticPr fontId="195" type="noConversion"/>
  </si>
  <si>
    <t>青岛监测指标情况一览表</t>
  </si>
  <si>
    <t>时间</t>
  </si>
  <si>
    <t>水平值</t>
  </si>
  <si>
    <t>环比增长率</t>
  </si>
  <si>
    <t>指数</t>
  </si>
  <si>
    <t>黄岛区滨海大道南、名人岛西</t>
    <phoneticPr fontId="195" type="noConversion"/>
  </si>
  <si>
    <t>黄岛区开拓路东、前湾港路北</t>
    <phoneticPr fontId="195" type="noConversion"/>
  </si>
  <si>
    <t>30-40（含）</t>
  </si>
  <si>
    <t>40-50（含）</t>
  </si>
  <si>
    <t>120-200</t>
    <phoneticPr fontId="197" type="noConversion"/>
  </si>
  <si>
    <t>精装修</t>
  </si>
  <si>
    <t>主</t>
    <phoneticPr fontId="197" type="noConversion"/>
  </si>
  <si>
    <t>75-145</t>
    <phoneticPr fontId="197" type="noConversion"/>
  </si>
  <si>
    <t>山东省青岛市</t>
    <phoneticPr fontId="197" type="noConversion"/>
  </si>
  <si>
    <t>黄岛区滨海大道以南、石雀滩路北B地块1宗住宅用途</t>
    <phoneticPr fontId="197" type="noConversion"/>
  </si>
  <si>
    <t>恒大金沙滩</t>
    <phoneticPr fontId="197" type="noConversion"/>
  </si>
  <si>
    <t>黄岛区罗浮山路228号(滨海大道南)</t>
    <phoneticPr fontId="197" type="noConversion"/>
  </si>
  <si>
    <t>毛坯</t>
  </si>
  <si>
    <t>联排</t>
  </si>
  <si>
    <t>青岛海上嘉年华</t>
    <phoneticPr fontId="197" type="noConversion"/>
  </si>
  <si>
    <t>黄岛区漓江西路1166号内（唐岛湾北侧，滨海大道南侧）</t>
    <phoneticPr fontId="197" type="noConversion"/>
  </si>
  <si>
    <t>150-300</t>
    <phoneticPr fontId="197" type="noConversion"/>
  </si>
  <si>
    <t>150-300</t>
    <phoneticPr fontId="197" type="noConversion"/>
  </si>
  <si>
    <t>隆海东方华庭</t>
    <phoneticPr fontId="197" type="noConversion"/>
  </si>
  <si>
    <t>黄岛区海港路7号（滨海大道与海港路交界处）</t>
    <phoneticPr fontId="197" type="noConversion"/>
  </si>
  <si>
    <t>高档</t>
  </si>
  <si>
    <t>宏信证券有限责任公司</t>
    <phoneticPr fontId="19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</si>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</sst>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2">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2">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3" fillId="0" borderId="0"/>
    <xf numFmtId="0" fontId="208" fillId="0" borderId="0"/>
  </cellStyleXfs>
  <cellXfs count="3323">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4" fillId="6" borderId="21" xfId="0" applyNumberFormat="1" applyFont="1" applyFill="1" applyBorder="1" applyAlignment="1" applyProtection="1">
      <alignment horizontal="center" vertical="center" wrapText="1"/>
      <protection locked="0"/>
    </xf>
    <xf numFmtId="0" fontId="204" fillId="6" borderId="1" xfId="5" applyFont="1" applyFill="1" applyBorder="1" applyAlignment="1" applyProtection="1">
      <alignment horizontal="center"/>
    </xf>
    <xf numFmtId="0" fontId="204" fillId="6" borderId="1" xfId="0" applyFont="1" applyFill="1" applyBorder="1" applyAlignment="1" applyProtection="1">
      <alignment horizontal="center" vertical="center" wrapText="1"/>
    </xf>
    <xf numFmtId="9" fontId="204" fillId="6" borderId="1" xfId="0" applyNumberFormat="1" applyFont="1" applyFill="1" applyBorder="1" applyAlignment="1" applyProtection="1">
      <alignment horizontal="center" vertical="center"/>
      <protection locked="0"/>
    </xf>
    <xf numFmtId="186" fontId="204" fillId="6" borderId="1" xfId="5" applyNumberFormat="1" applyFont="1" applyFill="1" applyBorder="1" applyAlignment="1" applyProtection="1">
      <alignment horizontal="center"/>
    </xf>
    <xf numFmtId="185" fontId="204"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74" fillId="2" borderId="0" xfId="0" applyFont="1" applyFill="1" applyAlignment="1" applyProtection="1">
      <alignment vertical="center"/>
      <protection locked="0"/>
    </xf>
    <xf numFmtId="0" fontId="29" fillId="0" borderId="8" xfId="0" applyNumberFormat="1" applyFont="1" applyFill="1" applyBorder="1" applyAlignment="1" applyProtection="1">
      <alignment horizontal="center" vertical="center" wrapText="1"/>
      <protection locked="0"/>
    </xf>
    <xf numFmtId="0" fontId="206" fillId="0" borderId="0" xfId="0" applyFont="1" applyAlignment="1">
      <alignment horizontal="center" vertical="center"/>
    </xf>
    <xf numFmtId="0" fontId="207" fillId="13" borderId="120" xfId="0" applyFont="1" applyFill="1" applyBorder="1" applyAlignment="1">
      <alignment horizontal="center"/>
    </xf>
    <xf numFmtId="0" fontId="207"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5" fillId="15" borderId="0" xfId="0" applyFont="1" applyFill="1" applyAlignment="1">
      <alignment horizontal="left" vertical="center" wrapText="1"/>
    </xf>
    <xf numFmtId="0" fontId="205" fillId="15" borderId="122" xfId="0" applyFont="1" applyFill="1" applyBorder="1" applyAlignment="1">
      <alignment horizontal="right" vertical="center" wrapText="1"/>
    </xf>
    <xf numFmtId="0" fontId="209" fillId="2" borderId="1" xfId="11" applyFont="1" applyFill="1" applyBorder="1" applyAlignment="1">
      <alignment horizontal="center" vertical="center" wrapText="1"/>
    </xf>
    <xf numFmtId="0" fontId="209" fillId="0" borderId="0" xfId="11" applyFont="1" applyBorder="1" applyAlignment="1">
      <alignment horizontal="left" vertical="center" wrapText="1"/>
    </xf>
    <xf numFmtId="0" fontId="208" fillId="0" borderId="0" xfId="11" applyBorder="1"/>
    <xf numFmtId="0" fontId="208" fillId="0" borderId="0" xfId="11"/>
    <xf numFmtId="14" fontId="209" fillId="2" borderId="1" xfId="11" applyNumberFormat="1" applyFont="1" applyFill="1" applyBorder="1" applyAlignment="1">
      <alignment horizontal="center" vertical="center" wrapText="1"/>
    </xf>
    <xf numFmtId="0" fontId="209" fillId="15" borderId="1" xfId="11" applyFont="1" applyFill="1" applyBorder="1" applyAlignment="1" applyProtection="1">
      <alignment horizontal="center" vertical="center" wrapText="1"/>
      <protection locked="0"/>
    </xf>
    <xf numFmtId="0" fontId="208" fillId="2" borderId="1" xfId="11" applyFill="1" applyBorder="1" applyAlignment="1">
      <alignment vertical="center"/>
    </xf>
    <xf numFmtId="0" fontId="209" fillId="2" borderId="13" xfId="11" applyFont="1" applyFill="1" applyBorder="1" applyAlignment="1">
      <alignment horizontal="center" vertical="center" wrapText="1"/>
    </xf>
    <xf numFmtId="0" fontId="170" fillId="2" borderId="1" xfId="11" applyFont="1" applyFill="1" applyBorder="1"/>
    <xf numFmtId="0" fontId="208" fillId="0" borderId="1" xfId="11" applyBorder="1" applyProtection="1">
      <protection locked="0"/>
    </xf>
    <xf numFmtId="0" fontId="209" fillId="0" borderId="1" xfId="11" applyFont="1" applyBorder="1" applyAlignment="1" applyProtection="1">
      <alignment horizontal="left" vertical="center" wrapText="1"/>
      <protection locked="0"/>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cellXfs>
  <cellStyles count="12">
    <cellStyle name="3232" xfId="10"/>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常规 9" xfId="11"/>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25" workbookViewId="0">
      <selection activeCell="B37" sqref="B37:I37"/>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63" t="str">
        <f>项目基本情况!B1</f>
        <v>山东省青岛市黄岛区滨海大道以南、石雀滩路北B地块1宗住宅用途出让国有建设用地使用权抵押价格预评估</v>
      </c>
      <c r="C37" s="3063"/>
      <c r="D37" s="3063"/>
      <c r="E37" s="3063"/>
      <c r="F37" s="3063"/>
      <c r="G37" s="3063"/>
      <c r="H37" s="3063"/>
      <c r="I37" s="3063"/>
    </row>
    <row r="38" spans="1:9">
      <c r="A38" s="2804"/>
      <c r="B38" s="2804"/>
    </row>
    <row r="39" spans="1:9">
      <c r="A39" s="2802" t="s">
        <v>0</v>
      </c>
      <c r="B39" s="2802" t="s">
        <v>2</v>
      </c>
    </row>
    <row r="40" spans="1:9">
      <c r="A40" s="2802"/>
      <c r="B40" s="2802" t="str">
        <f>项目基本情况!B5</f>
        <v>青岛福瀛房地产开发有限公司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王鹏、郑燚</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26" t="s">
        <v>411</v>
      </c>
      <c r="B1" s="3126" t="s">
        <v>412</v>
      </c>
      <c r="C1" s="3126" t="s">
        <v>352</v>
      </c>
      <c r="D1" s="3125" t="s">
        <v>413</v>
      </c>
      <c r="E1" s="3125" t="s">
        <v>302</v>
      </c>
      <c r="F1" s="3125"/>
      <c r="G1" s="3125"/>
      <c r="H1" s="3125"/>
      <c r="I1" s="3125"/>
      <c r="J1" s="3125"/>
      <c r="K1" s="3125"/>
      <c r="L1" s="3125"/>
      <c r="M1" s="3125"/>
    </row>
    <row r="2" spans="1:13" ht="27" customHeight="1">
      <c r="A2" s="3126"/>
      <c r="B2" s="3126"/>
      <c r="C2" s="3126"/>
      <c r="D2" s="3125"/>
      <c r="E2" s="3125" t="s">
        <v>414</v>
      </c>
      <c r="F2" s="3125" t="s">
        <v>415</v>
      </c>
      <c r="G2" s="3125"/>
      <c r="H2" s="3125"/>
      <c r="I2" s="3125"/>
      <c r="J2" s="3125" t="s">
        <v>416</v>
      </c>
      <c r="K2" s="3125"/>
      <c r="L2" s="3125"/>
      <c r="M2" s="3125"/>
    </row>
    <row r="3" spans="1:13" ht="28.5">
      <c r="A3" s="3126"/>
      <c r="B3" s="3126"/>
      <c r="C3" s="3126"/>
      <c r="D3" s="3125"/>
      <c r="E3" s="3125"/>
      <c r="F3" s="2435" t="s">
        <v>417</v>
      </c>
      <c r="G3" s="2435" t="s">
        <v>418</v>
      </c>
      <c r="H3" s="2435" t="s">
        <v>419</v>
      </c>
      <c r="I3" s="2435" t="s">
        <v>420</v>
      </c>
      <c r="J3" s="2435" t="s">
        <v>417</v>
      </c>
      <c r="K3" s="2435" t="s">
        <v>421</v>
      </c>
      <c r="L3" s="2435" t="s">
        <v>422</v>
      </c>
      <c r="M3" s="2435" t="s">
        <v>423</v>
      </c>
    </row>
    <row r="4" spans="1:13" ht="42.75">
      <c r="A4" s="2435" t="s">
        <v>424</v>
      </c>
      <c r="B4" s="2435" t="s">
        <v>425</v>
      </c>
      <c r="C4" s="2435" t="s">
        <v>426</v>
      </c>
      <c r="D4" s="2434">
        <v>3807.94</v>
      </c>
      <c r="E4" s="2434">
        <v>20666.91</v>
      </c>
      <c r="F4" s="2434">
        <v>19673</v>
      </c>
      <c r="G4" s="2434">
        <v>0</v>
      </c>
      <c r="H4" s="2434">
        <v>19673</v>
      </c>
      <c r="I4" s="2434">
        <v>0</v>
      </c>
      <c r="J4" s="2434">
        <v>993.91</v>
      </c>
      <c r="K4" s="2434">
        <v>0</v>
      </c>
      <c r="L4" s="2434">
        <v>0</v>
      </c>
      <c r="M4" s="2434">
        <v>993.91</v>
      </c>
    </row>
    <row r="5" spans="1:13" ht="42.75">
      <c r="A5" s="2435" t="s">
        <v>424</v>
      </c>
      <c r="B5" s="2435" t="s">
        <v>427</v>
      </c>
      <c r="C5" s="2435" t="s">
        <v>428</v>
      </c>
      <c r="D5" s="2434">
        <v>3667.86</v>
      </c>
      <c r="E5" s="2434">
        <v>19906.61</v>
      </c>
      <c r="F5" s="2434">
        <v>18792.87</v>
      </c>
      <c r="G5" s="2434">
        <v>18792.87</v>
      </c>
      <c r="H5" s="2434">
        <v>0</v>
      </c>
      <c r="I5" s="2434">
        <v>0</v>
      </c>
      <c r="J5" s="2434">
        <v>1113.74</v>
      </c>
      <c r="K5" s="2434">
        <v>55.59</v>
      </c>
      <c r="L5" s="2434">
        <v>0</v>
      </c>
      <c r="M5" s="2434">
        <v>1058.1500000000001</v>
      </c>
    </row>
    <row r="6" spans="1:13" ht="42.75">
      <c r="A6" s="2435" t="s">
        <v>424</v>
      </c>
      <c r="B6" s="2435" t="s">
        <v>427</v>
      </c>
      <c r="C6" s="2435" t="s">
        <v>429</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424</v>
      </c>
      <c r="B7" s="2435" t="s">
        <v>427</v>
      </c>
      <c r="C7" s="2435" t="s">
        <v>430</v>
      </c>
      <c r="D7" s="2434">
        <v>8.18</v>
      </c>
      <c r="E7" s="2434">
        <v>44.41</v>
      </c>
      <c r="F7" s="2434">
        <v>0</v>
      </c>
      <c r="G7" s="2434">
        <v>0</v>
      </c>
      <c r="H7" s="2434">
        <v>0</v>
      </c>
      <c r="I7" s="2434">
        <v>0</v>
      </c>
      <c r="J7" s="2434">
        <v>44.41</v>
      </c>
      <c r="K7" s="2434">
        <v>44.41</v>
      </c>
      <c r="L7" s="2434">
        <v>0</v>
      </c>
      <c r="M7" s="2434">
        <v>0</v>
      </c>
    </row>
    <row r="8" spans="1:13" ht="42.75">
      <c r="A8" s="2435" t="s">
        <v>424</v>
      </c>
      <c r="B8" s="2435" t="s">
        <v>427</v>
      </c>
      <c r="C8" s="2435" t="s">
        <v>420</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25" t="s">
        <v>431</v>
      </c>
      <c r="B9" s="3125"/>
      <c r="C9" s="3125"/>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L9" sqref="L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36" t="s">
        <v>433</v>
      </c>
      <c r="B2" s="3136"/>
      <c r="C2" s="3136"/>
      <c r="D2" s="1757" t="s">
        <v>434</v>
      </c>
      <c r="E2" s="2347" t="s">
        <v>435</v>
      </c>
      <c r="F2" s="2346"/>
      <c r="G2" s="2348"/>
      <c r="H2" s="2349"/>
      <c r="I2" s="2407" t="s">
        <v>436</v>
      </c>
      <c r="J2" s="2346"/>
      <c r="K2" s="2346"/>
      <c r="L2" s="2346"/>
    </row>
    <row r="3" spans="1:16" ht="15">
      <c r="A3" s="3137" t="s">
        <v>437</v>
      </c>
      <c r="B3" s="3137"/>
      <c r="C3" s="3137"/>
      <c r="D3" s="2350">
        <f>'数据-基础表'!AY6</f>
        <v>17111</v>
      </c>
      <c r="E3" s="2350">
        <f>'数据-基础表'!AZ5</f>
        <v>36595.409999999996</v>
      </c>
      <c r="F3" s="2346"/>
      <c r="G3" s="1792" t="s">
        <v>438</v>
      </c>
      <c r="H3" s="1787" t="s">
        <v>439</v>
      </c>
      <c r="I3" s="392">
        <f>ROUND('数据-基础表'!B3/'数据-基础表'!A3,2)</f>
        <v>2.14</v>
      </c>
      <c r="J3" s="2346"/>
      <c r="K3" s="2346"/>
      <c r="L3" s="2346"/>
    </row>
    <row r="4" spans="1:16" ht="15">
      <c r="A4" s="3138"/>
      <c r="B4" s="3139"/>
      <c r="C4" s="3140"/>
      <c r="D4" s="2351" t="s">
        <v>434</v>
      </c>
      <c r="E4" s="2352" t="s">
        <v>435</v>
      </c>
      <c r="F4" s="2346"/>
      <c r="G4" s="2353"/>
      <c r="H4" s="1787" t="s">
        <v>440</v>
      </c>
      <c r="I4" s="392">
        <f>ROUND(SUMIF('数据-基础表'!I9:AS9,"地上",'数据-基础表'!I5:AS5)/'数据-基础表'!A3,2)</f>
        <v>1.27</v>
      </c>
      <c r="J4" s="2346"/>
      <c r="K4" s="2346"/>
      <c r="L4" s="2346"/>
    </row>
    <row r="5" spans="1:16">
      <c r="A5" s="2354" t="s">
        <v>441</v>
      </c>
      <c r="B5" s="3141" t="s">
        <v>164</v>
      </c>
      <c r="C5" s="3141"/>
      <c r="D5" s="2355">
        <f>ROUND($D$3*E5/$E$3,2)</f>
        <v>10088.5</v>
      </c>
      <c r="E5" s="2356">
        <f>SUMIF('数据-基础表'!$11:$11,"住宅",'数据-基础表'!$5:$5)</f>
        <v>21576.35</v>
      </c>
      <c r="F5" s="2346"/>
      <c r="G5" s="1792" t="s">
        <v>442</v>
      </c>
      <c r="H5" s="1787" t="s">
        <v>439</v>
      </c>
      <c r="I5" s="392">
        <f>ROUND(E31/D31,2)</f>
        <v>2.14</v>
      </c>
      <c r="J5" s="2346"/>
      <c r="K5" s="2346"/>
      <c r="L5" s="2346"/>
    </row>
    <row r="6" spans="1:16">
      <c r="A6" s="2357"/>
      <c r="B6" s="3141" t="s">
        <v>443</v>
      </c>
      <c r="C6" s="3141"/>
      <c r="D6" s="2355">
        <f>ROUND($D$3*E6/$E$3,2)</f>
        <v>7022.5</v>
      </c>
      <c r="E6" s="2356">
        <f>E3-E5</f>
        <v>15019.059999999998</v>
      </c>
      <c r="F6" s="2346"/>
      <c r="G6" s="2353"/>
      <c r="H6" s="1787" t="s">
        <v>440</v>
      </c>
      <c r="I6" s="392">
        <f>ROUND(F31/D31,2)</f>
        <v>1.27</v>
      </c>
      <c r="J6" s="2346"/>
      <c r="K6" s="2346"/>
      <c r="L6" s="2346"/>
    </row>
    <row r="7" spans="1:16" ht="15">
      <c r="A7" s="3127"/>
      <c r="B7" s="3128"/>
      <c r="C7" s="3129"/>
      <c r="D7" s="2351" t="s">
        <v>434</v>
      </c>
      <c r="E7" s="2358" t="s">
        <v>444</v>
      </c>
      <c r="F7" s="2346"/>
      <c r="G7" s="2359" t="s">
        <v>445</v>
      </c>
      <c r="H7" s="2360"/>
      <c r="I7" s="2408"/>
      <c r="J7" s="2346"/>
      <c r="K7" s="2346"/>
      <c r="L7" s="2346"/>
    </row>
    <row r="8" spans="1:16">
      <c r="A8" s="2354" t="s">
        <v>446</v>
      </c>
      <c r="B8" s="2361" t="s">
        <v>447</v>
      </c>
      <c r="C8" s="2355" t="s">
        <v>448</v>
      </c>
      <c r="D8" s="2355">
        <f t="shared" ref="D8:D15" si="0">ROUND($D$3*E8/$E$3,2)</f>
        <v>10088.5</v>
      </c>
      <c r="E8" s="2362">
        <f>SUMIF('数据-基础表'!BB10:BK10,"地上",'数据-基础表'!BB5:BK5)</f>
        <v>21576.35</v>
      </c>
      <c r="F8" s="2346"/>
      <c r="G8" s="2363"/>
      <c r="H8" s="2363"/>
      <c r="I8" s="2346"/>
      <c r="J8" s="2346"/>
      <c r="K8" s="2346"/>
      <c r="L8" s="2346"/>
    </row>
    <row r="9" spans="1:16">
      <c r="A9" s="2364"/>
      <c r="B9" s="2365"/>
      <c r="C9" s="2355" t="s">
        <v>449</v>
      </c>
      <c r="D9" s="2355">
        <f t="shared" si="0"/>
        <v>0</v>
      </c>
      <c r="E9" s="2366"/>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451</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10088.5</v>
      </c>
      <c r="E16" s="2368">
        <f>SUM(E8:E15)</f>
        <v>21576.35</v>
      </c>
      <c r="F16" s="2346"/>
      <c r="G16" s="2363"/>
      <c r="H16" s="2369" t="s">
        <v>457</v>
      </c>
      <c r="I16" s="2409"/>
      <c r="J16" s="2346"/>
      <c r="K16" s="3130" t="s">
        <v>458</v>
      </c>
      <c r="L16" s="3131"/>
      <c r="M16" s="3131"/>
      <c r="N16" s="3131"/>
      <c r="O16" s="3131"/>
      <c r="P16" s="3132"/>
    </row>
    <row r="17" spans="1:19" ht="15">
      <c r="A17" s="2313" t="s">
        <v>459</v>
      </c>
      <c r="B17" s="2370" t="s">
        <v>144</v>
      </c>
      <c r="C17" s="2371" t="s">
        <v>319</v>
      </c>
      <c r="D17" s="2351" t="s">
        <v>434</v>
      </c>
      <c r="E17" s="2372" t="s">
        <v>435</v>
      </c>
      <c r="F17" s="2373"/>
      <c r="G17" s="2374"/>
      <c r="H17" s="2375" t="s">
        <v>460</v>
      </c>
      <c r="I17" s="2410" t="s">
        <v>461</v>
      </c>
      <c r="J17" s="2346"/>
      <c r="K17" s="3133" t="s">
        <v>462</v>
      </c>
      <c r="L17" s="3134"/>
      <c r="M17" s="3135"/>
      <c r="N17" s="3133" t="s">
        <v>463</v>
      </c>
      <c r="O17" s="3134"/>
      <c r="P17" s="3135"/>
      <c r="R17" s="2429" t="s">
        <v>464</v>
      </c>
      <c r="S17" s="1776"/>
    </row>
    <row r="18" spans="1:19" ht="15">
      <c r="A18" s="2364"/>
      <c r="B18" s="2376"/>
      <c r="C18" s="2377"/>
      <c r="D18" s="1757"/>
      <c r="E18" s="2378" t="s">
        <v>465</v>
      </c>
      <c r="F18" s="2379" t="s">
        <v>163</v>
      </c>
      <c r="G18" s="2380" t="s">
        <v>189</v>
      </c>
      <c r="H18" s="2320" t="s">
        <v>466</v>
      </c>
      <c r="I18" s="2411" t="s">
        <v>467</v>
      </c>
      <c r="J18" s="2346"/>
      <c r="K18" s="2412" t="s">
        <v>468</v>
      </c>
      <c r="L18" s="2413" t="s">
        <v>469</v>
      </c>
      <c r="M18" s="2414" t="s">
        <v>470</v>
      </c>
      <c r="N18" s="2412" t="s">
        <v>468</v>
      </c>
      <c r="O18" s="2413" t="s">
        <v>469</v>
      </c>
      <c r="P18" s="2414" t="s">
        <v>470</v>
      </c>
      <c r="R18" s="2430" t="s">
        <v>305</v>
      </c>
      <c r="S18" s="2430" t="s">
        <v>302</v>
      </c>
    </row>
    <row r="19" spans="1:19">
      <c r="A19" s="2381"/>
      <c r="B19" s="2361" t="s">
        <v>166</v>
      </c>
      <c r="C19" s="2382" t="s">
        <v>292</v>
      </c>
      <c r="D19" s="2355">
        <f t="shared" ref="D19:D26" si="1">ROUND($D$3*E19/$E$3,2)</f>
        <v>10088.5</v>
      </c>
      <c r="E19" s="2383">
        <f t="shared" ref="E19:E26" si="2">SUM(F19:G19)</f>
        <v>21576.35</v>
      </c>
      <c r="F19" s="2384">
        <f>'数据-基础表'!I13</f>
        <v>21576.35</v>
      </c>
      <c r="G19" s="2385"/>
      <c r="H19" s="2303">
        <f>ROUND($D$3*I19/$E$3,2)</f>
        <v>7022.5</v>
      </c>
      <c r="I19" s="2362">
        <f>IF($I$17="自定义",P19,M19)</f>
        <v>15019.06</v>
      </c>
      <c r="J19" s="2346"/>
      <c r="K19" s="2415">
        <f t="shared" ref="K19:K26" si="3">ROUND(E$28*E19/E$27,2)</f>
        <v>14799.4</v>
      </c>
      <c r="L19" s="1787">
        <f t="shared" ref="L19:L26" si="4">ROUND(IF(COUNTIF(C19,"*住宅*")&gt;0,E$29*E19/E$32,0),2)</f>
        <v>219.66</v>
      </c>
      <c r="M19" s="2416">
        <f>K19+L19</f>
        <v>15019.06</v>
      </c>
      <c r="N19" s="2417"/>
      <c r="O19" s="2418"/>
      <c r="P19" s="2419">
        <f>N19+O19</f>
        <v>0</v>
      </c>
      <c r="R19" s="1787">
        <f t="shared" ref="R19:S26" si="5">D19+H19</f>
        <v>17111</v>
      </c>
      <c r="S19" s="2431">
        <f t="shared" si="5"/>
        <v>36595.409999999996</v>
      </c>
    </row>
    <row r="20" spans="1:19">
      <c r="A20" s="2386"/>
      <c r="B20" s="2361" t="s">
        <v>166</v>
      </c>
      <c r="C20" s="2382"/>
      <c r="D20" s="2355">
        <f t="shared" si="1"/>
        <v>0</v>
      </c>
      <c r="E20" s="2383">
        <f t="shared" si="2"/>
        <v>0</v>
      </c>
      <c r="F20" s="2384"/>
      <c r="G20" s="2385"/>
      <c r="H20" s="2303">
        <f t="shared" ref="H20:H26" si="6">ROUND($D$3*I20/$E$3,2)</f>
        <v>0</v>
      </c>
      <c r="I20" s="2362">
        <f t="shared" ref="I20:I26" si="7">IF($I$17="自定义",P20,M20)</f>
        <v>0</v>
      </c>
      <c r="J20" s="2346"/>
      <c r="K20" s="2415">
        <f t="shared" si="3"/>
        <v>0</v>
      </c>
      <c r="L20" s="1787">
        <f t="shared" si="4"/>
        <v>0</v>
      </c>
      <c r="M20" s="2416">
        <f t="shared" ref="M20:M26" si="8">K20+L20</f>
        <v>0</v>
      </c>
      <c r="N20" s="2417"/>
      <c r="O20" s="2418"/>
      <c r="P20" s="2419">
        <f t="shared" ref="P20:P26" si="9">N20+O20</f>
        <v>0</v>
      </c>
      <c r="R20" s="1787">
        <f t="shared" si="5"/>
        <v>0</v>
      </c>
      <c r="S20" s="2431">
        <f t="shared" si="5"/>
        <v>0</v>
      </c>
    </row>
    <row r="21" spans="1:19">
      <c r="A21" s="2386"/>
      <c r="B21" s="2361" t="s">
        <v>166</v>
      </c>
      <c r="C21" s="2387"/>
      <c r="D21" s="2355">
        <f t="shared" si="1"/>
        <v>0</v>
      </c>
      <c r="E21" s="2383">
        <f t="shared" si="2"/>
        <v>0</v>
      </c>
      <c r="F21" s="2384"/>
      <c r="G21" s="2385"/>
      <c r="H21" s="2303">
        <f t="shared" si="6"/>
        <v>0</v>
      </c>
      <c r="I21" s="2362">
        <f t="shared" si="7"/>
        <v>0</v>
      </c>
      <c r="J21" s="2346"/>
      <c r="K21" s="2415">
        <f t="shared" si="3"/>
        <v>0</v>
      </c>
      <c r="L21" s="1787">
        <f t="shared" si="4"/>
        <v>0</v>
      </c>
      <c r="M21" s="2416">
        <f t="shared" si="8"/>
        <v>0</v>
      </c>
      <c r="N21" s="2417"/>
      <c r="O21" s="2418"/>
      <c r="P21" s="2419">
        <f t="shared" si="9"/>
        <v>0</v>
      </c>
      <c r="R21" s="1787">
        <f t="shared" si="5"/>
        <v>0</v>
      </c>
      <c r="S21" s="2431">
        <f t="shared" si="5"/>
        <v>0</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456</v>
      </c>
      <c r="D27" s="2383">
        <f t="shared" ref="D27:I27" si="10">SUM(D19:D26)</f>
        <v>10088.5</v>
      </c>
      <c r="E27" s="2393">
        <f>IF(SUM(E19:E26)='数据-基础表'!BA5,SUM(E19:E26),IF(F27="地上面积有误","面积有误","地下面积有误"))</f>
        <v>21576.35</v>
      </c>
      <c r="F27" s="2383">
        <f>IF(SUM(F19:F26)=E8,SUM(F19:F26),"地上面积有误")</f>
        <v>21576.35</v>
      </c>
      <c r="G27" s="2356">
        <f t="shared" si="10"/>
        <v>0</v>
      </c>
      <c r="H27" s="2394">
        <f t="shared" si="10"/>
        <v>7022.5</v>
      </c>
      <c r="I27" s="2424">
        <f t="shared" si="10"/>
        <v>15019.06</v>
      </c>
      <c r="J27" s="2346"/>
      <c r="K27" s="2425">
        <f t="shared" ref="K27:P27" si="11">SUM(K19:K26)</f>
        <v>14799.4</v>
      </c>
      <c r="L27" s="2426">
        <f t="shared" si="11"/>
        <v>219.66</v>
      </c>
      <c r="M27" s="2427">
        <f t="shared" si="11"/>
        <v>15019.06</v>
      </c>
      <c r="N27" s="2425">
        <f t="shared" si="11"/>
        <v>0</v>
      </c>
      <c r="O27" s="2426">
        <f t="shared" si="11"/>
        <v>0</v>
      </c>
      <c r="P27" s="2428">
        <f t="shared" si="11"/>
        <v>0</v>
      </c>
      <c r="R27" s="2432">
        <f>IF(SUM(R19:R26)=$D$3,SUM(R19:R26),SUM(R19:R26)&amp;"误差"&amp;ROUND(SUM(R19:R26)-$D$3,2))</f>
        <v>17111</v>
      </c>
      <c r="S27" s="1787">
        <f>IF(SUM(S19:S26)=$E$3,SUM(S19:S26),SUM(S19:S26)&amp;"误差"&amp;ROUND(SUM(S19:S26)-E3,2))</f>
        <v>36595.409999999996</v>
      </c>
    </row>
    <row r="28" spans="1:19">
      <c r="A28" s="2386"/>
      <c r="B28" s="2361" t="s">
        <v>179</v>
      </c>
      <c r="C28" s="2323" t="s">
        <v>471</v>
      </c>
      <c r="D28" s="2355">
        <f>ROUND($D$3*E28/$E$3,2)</f>
        <v>6919.79</v>
      </c>
      <c r="E28" s="2383">
        <f>SUM(F28:G28)</f>
        <v>14799.4</v>
      </c>
      <c r="F28" s="1776">
        <f>'数据-基础表'!BQ5+'数据-基础表'!BS5</f>
        <v>0</v>
      </c>
      <c r="G28" s="2395">
        <f>'数据-基础表'!BR5+'数据-基础表'!BT5</f>
        <v>14799.4</v>
      </c>
      <c r="H28" s="2346"/>
      <c r="I28" s="2346"/>
      <c r="J28" s="2346"/>
      <c r="K28" s="2346"/>
      <c r="L28" s="2346"/>
    </row>
    <row r="29" spans="1:19">
      <c r="A29" s="2386"/>
      <c r="B29" s="2361" t="s">
        <v>179</v>
      </c>
      <c r="C29" s="2396" t="s">
        <v>472</v>
      </c>
      <c r="D29" s="2355">
        <f>ROUND($D$3*E29/$E$3,2)</f>
        <v>102.71</v>
      </c>
      <c r="E29" s="2383">
        <f>SUM(F29:G29)</f>
        <v>219.66</v>
      </c>
      <c r="F29" s="1776">
        <f>'数据-基础表'!BM5+'数据-基础表'!BO5</f>
        <v>219.66</v>
      </c>
      <c r="G29" s="2397">
        <f>'数据-基础表'!BN5+'数据-基础表'!BP5</f>
        <v>0</v>
      </c>
      <c r="H29" s="2346"/>
      <c r="I29" s="2346"/>
      <c r="J29" s="2346"/>
      <c r="K29" s="2346"/>
      <c r="L29" s="2346"/>
    </row>
    <row r="30" spans="1:19">
      <c r="A30" s="2386"/>
      <c r="B30" s="2355"/>
      <c r="C30" s="2398" t="s">
        <v>456</v>
      </c>
      <c r="D30" s="2383">
        <f>SUM(D28:D29)</f>
        <v>7022.5</v>
      </c>
      <c r="E30" s="2383">
        <f>SUM(E28:E29)</f>
        <v>15019.06</v>
      </c>
      <c r="F30" s="2383">
        <f>SUM(F28:F29)</f>
        <v>219.66</v>
      </c>
      <c r="G30" s="2356">
        <f>SUM(G28:G29)</f>
        <v>14799.4</v>
      </c>
      <c r="H30" s="2346"/>
      <c r="I30" s="2346"/>
      <c r="J30" s="2346"/>
      <c r="K30" s="2346"/>
      <c r="L30" s="2346"/>
    </row>
    <row r="31" spans="1:19" ht="32.25" customHeight="1">
      <c r="A31" s="2399"/>
      <c r="B31" s="2400" t="s">
        <v>473</v>
      </c>
      <c r="C31" s="2401" t="s">
        <v>474</v>
      </c>
      <c r="D31" s="2402">
        <f>D27+D30</f>
        <v>17111</v>
      </c>
      <c r="E31" s="2402">
        <f>E27+E30</f>
        <v>36595.409999999996</v>
      </c>
      <c r="F31" s="2403">
        <f>F27+F30</f>
        <v>21796.01</v>
      </c>
      <c r="G31" s="2404">
        <f>G27+G30</f>
        <v>14799.4</v>
      </c>
      <c r="H31" s="2346"/>
      <c r="I31" s="2346"/>
      <c r="J31" s="2346"/>
      <c r="K31" s="2346"/>
      <c r="L31" s="2346"/>
    </row>
    <row r="32" spans="1:19">
      <c r="A32" s="2346"/>
      <c r="B32" s="2346"/>
      <c r="C32" s="2405" t="s">
        <v>475</v>
      </c>
      <c r="D32" s="2353"/>
      <c r="E32" s="2353">
        <f>SUMIF(C19:C26,"*住宅*",E19:E26)</f>
        <v>21576.35</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I6" activePane="bottomRight" state="frozen"/>
      <selection pane="topRight"/>
      <selection pane="bottomLeft"/>
      <selection pane="bottomRight" activeCell="Q6" sqref="Q6"/>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43041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50</v>
      </c>
      <c r="E6" s="2194">
        <f>IF(B6="","",SUMIF(项目基本情况!D$14:I$14,C6,项目基本情况!D$15:I$15))</f>
        <v>55321</v>
      </c>
      <c r="F6" s="2195">
        <f>SUMIF(项目基本情况!D$14:I$14,C6,项目基本情况!D$17:I$17)</f>
        <v>33.64</v>
      </c>
      <c r="G6" s="2196">
        <f>IF(ISERROR(ROUND(POWER(1+H6,D6-F6)*(POWER(1+H6,F6)-1)/(POWER(1+H6,D6)-1),3)),0,ROUND(POWER(1+H6,D6-F6)*(POWER(1+H6,F6)-1)/(POWER(1+H6,D6)-1),3))</f>
        <v>0.85299999999999998</v>
      </c>
      <c r="H6" s="2819">
        <v>0.04</v>
      </c>
      <c r="I6" s="2819">
        <v>4.4999999999999998E-2</v>
      </c>
      <c r="J6" s="2820">
        <v>8.5000000000000006E-2</v>
      </c>
      <c r="K6" s="2275">
        <f>SUMIF('数据-汇总表'!C$19:C$33,'数据-取费表'!A6,'数据-汇总表'!E$19:E$33)</f>
        <v>21576.35</v>
      </c>
      <c r="L6" s="2822">
        <v>4200</v>
      </c>
      <c r="M6" s="2277">
        <f t="shared" ref="M6:M14" si="0">ROUND(K6*L6/10000,0)</f>
        <v>9062</v>
      </c>
      <c r="N6" s="2278">
        <v>0</v>
      </c>
      <c r="O6" s="2277">
        <f>IF($N$5="成新度","——",ROUND(M6*N6,0))</f>
        <v>0</v>
      </c>
      <c r="P6" s="2279">
        <f>IF($N$5="成新度","——",M6-O6)</f>
        <v>9062</v>
      </c>
      <c r="Q6" s="2821">
        <v>0.3</v>
      </c>
      <c r="R6" s="2275">
        <f>SUMIF('数据-汇总表'!C$19:C$33,A6,'数据-汇总表'!R$19:R$33)</f>
        <v>17111</v>
      </c>
      <c r="S6" s="2294">
        <f>IF('数据-汇总表'!$I$17="按面积比例",SUMIF('数据-汇总表'!C$19:C$33,A6,'数据-汇总表'!K$19:K$33),SUMIF('数据-汇总表'!C$19:C$33,A6,'数据-汇总表'!N$19:N$33))</f>
        <v>14799.4</v>
      </c>
      <c r="T6" s="2295">
        <f>IF($T$4="按面积比例",IF(ISERROR(ROUND($M$14*S6/S$16,0)),"0",ROUND($M$14*S6/S$16,0)),"需自行计算录入")</f>
        <v>3552</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0.73299999999999998</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9"/>
      <c r="I7" s="2819"/>
      <c r="J7" s="2820"/>
      <c r="K7" s="2275">
        <f>SUMIF('数据-汇总表'!C$19:C$33,'数据-取费表'!A7,'数据-汇总表'!E$19:E$33)</f>
        <v>0</v>
      </c>
      <c r="L7" s="2822"/>
      <c r="M7" s="2277">
        <f t="shared" si="0"/>
        <v>0</v>
      </c>
      <c r="N7" s="2278">
        <v>0</v>
      </c>
      <c r="O7" s="2277">
        <f t="shared" ref="O7:O14" si="3">IF($N$5="成新度","——",ROUND(M7*N7,0))</f>
        <v>0</v>
      </c>
      <c r="P7" s="2279">
        <f t="shared" ref="P7:P14" si="4">IF($N$5="成新度","——",M7-O7)</f>
        <v>0</v>
      </c>
      <c r="Q7" s="2821"/>
      <c r="R7" s="2275">
        <f>SUMIF('数据-汇总表'!C$19:C$33,A7,'数据-汇总表'!R$19:R$33)</f>
        <v>0</v>
      </c>
      <c r="S7" s="2294">
        <f>IF('数据-汇总表'!$I$17="按面积比例",SUMIF('数据-汇总表'!C$19:C$33,A7,'数据-汇总表'!K$19:K$33),SUMIF('数据-汇总表'!C$19:C$33,A7,'数据-汇总表'!N$19:N$33))</f>
        <v>0</v>
      </c>
      <c r="T7" s="2295">
        <f t="shared" ref="T7:T13" si="5">IF($T$4="按面积比例",IF(ISERROR(ROUND($M$14*S7/S$16,0)),"0",ROUND($M$14*S7/S$16,0)),"需自行计算录入")</f>
        <v>0</v>
      </c>
      <c r="U7" s="2884"/>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9"/>
      <c r="I8" s="2819"/>
      <c r="J8" s="2820"/>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9"/>
      <c r="I9" s="2819"/>
      <c r="J9" s="2820"/>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14799.4</v>
      </c>
      <c r="L14" s="2276">
        <v>2400</v>
      </c>
      <c r="M14" s="2277">
        <f t="shared" si="0"/>
        <v>3552</v>
      </c>
      <c r="N14" s="2278">
        <v>0</v>
      </c>
      <c r="O14" s="2277">
        <f t="shared" si="3"/>
        <v>0</v>
      </c>
      <c r="P14" s="2279">
        <f t="shared" si="4"/>
        <v>3552</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219.66</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0.85299999999999998</v>
      </c>
      <c r="H16" s="2208">
        <f>ROUND(SUMPRODUCT(H6:H13,K6:K13)/SUMPRODUCT((H6:H13&gt;0)*(K6:K13)),3)</f>
        <v>0.04</v>
      </c>
      <c r="I16" s="2282"/>
      <c r="J16" s="2282"/>
      <c r="K16" s="2283">
        <f>SUM(K6:K15)</f>
        <v>36595.410000000003</v>
      </c>
      <c r="L16" s="2284">
        <f>ROUND(M16*10000/SUM(K6:K14),0)</f>
        <v>3468</v>
      </c>
      <c r="M16" s="2284">
        <f>SUM(M6:M14)</f>
        <v>12614</v>
      </c>
      <c r="N16" s="2285">
        <f>ROUND(SUMPRODUCT(M6:M14,N6:N14)/M16,3)</f>
        <v>0</v>
      </c>
      <c r="O16" s="2284">
        <f>SUM(O6:O14)</f>
        <v>0</v>
      </c>
      <c r="P16" s="2284">
        <f>SUM(P6:P14)</f>
        <v>12614</v>
      </c>
      <c r="Q16" s="2305">
        <f>ROUND(SUMPRODUCT(Q6:Q13,K6:K13)/SUMPRODUCT((Q6:Q13&gt;0)*(K6:K13)),2)</f>
        <v>0.3</v>
      </c>
      <c r="R16" s="2306">
        <f>SUM(R6:R13)</f>
        <v>17111</v>
      </c>
      <c r="S16" s="2307">
        <f>SUM(S6:S13)</f>
        <v>14799.4</v>
      </c>
      <c r="T16" s="2308">
        <f>IF(SUMIF(T6:T13,"&lt;9E307")=M14,SUMIF(T6:T13,"&lt;9E307"),"有误，请检查")</f>
        <v>3552</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0.73299999999999998</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2</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2</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2</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400</v>
      </c>
      <c r="C27" s="2223" t="s">
        <v>534</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400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200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1.4999999999999999E-2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2.5000000000000001E-2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10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569</v>
      </c>
      <c r="B53" s="2258" t="s">
        <v>2298</v>
      </c>
      <c r="C53" s="3039" t="s">
        <v>2297</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2299</v>
      </c>
      <c r="B60" s="2261">
        <v>10</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42" t="s">
        <v>576</v>
      </c>
      <c r="B1" s="3143"/>
      <c r="C1" s="3143"/>
      <c r="D1" s="3143"/>
      <c r="E1" s="3143"/>
      <c r="F1" s="3143"/>
      <c r="G1" s="3143"/>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5" t="s">
        <v>2242</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8" t="s">
        <v>2244</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1" t="s">
        <v>2246</v>
      </c>
      <c r="D6" s="2105"/>
      <c r="E6" s="2110"/>
      <c r="F6" s="2109" t="s">
        <v>152</v>
      </c>
      <c r="G6" s="2114" t="s">
        <v>587</v>
      </c>
      <c r="H6" s="2091"/>
      <c r="I6" s="2091"/>
      <c r="J6" s="2091"/>
      <c r="K6" s="2091"/>
      <c r="L6" s="2091"/>
      <c r="M6" s="2091"/>
      <c r="N6" s="2091"/>
      <c r="O6" s="2091"/>
      <c r="P6" s="2091"/>
      <c r="Q6" s="2091"/>
      <c r="R6" s="2091"/>
    </row>
    <row r="7" spans="1:18" ht="135">
      <c r="A7" s="2106"/>
      <c r="B7" s="2109" t="s">
        <v>151</v>
      </c>
      <c r="C7" s="2813" t="s">
        <v>2249</v>
      </c>
      <c r="D7" s="2115"/>
      <c r="E7" s="2116"/>
      <c r="F7" s="2117" t="s">
        <v>588</v>
      </c>
      <c r="G7" s="2118" t="s">
        <v>589</v>
      </c>
      <c r="H7" s="2091"/>
      <c r="I7" s="2091"/>
      <c r="J7" s="2091"/>
      <c r="K7" s="2091"/>
      <c r="L7" s="2091"/>
      <c r="M7" s="2091"/>
      <c r="N7" s="2091"/>
      <c r="O7" s="2091"/>
      <c r="P7" s="2091"/>
      <c r="Q7" s="2091"/>
      <c r="R7" s="2091"/>
    </row>
    <row r="8" spans="1:18" ht="27">
      <c r="A8" s="2106"/>
      <c r="B8" s="2109" t="s">
        <v>152</v>
      </c>
      <c r="C8" s="2813" t="s">
        <v>2252</v>
      </c>
      <c r="D8" s="2115"/>
      <c r="E8" s="2115"/>
      <c r="F8" s="2119"/>
      <c r="G8" s="2119"/>
      <c r="H8" s="2091"/>
      <c r="I8" s="2091"/>
      <c r="J8" s="2091"/>
      <c r="K8" s="2091"/>
      <c r="L8" s="2091"/>
      <c r="M8" s="2091"/>
      <c r="N8" s="2091"/>
      <c r="O8" s="2091"/>
      <c r="P8" s="2091"/>
      <c r="Q8" s="2091"/>
      <c r="R8" s="2091"/>
    </row>
    <row r="9" spans="1:18" ht="135">
      <c r="A9" s="2106"/>
      <c r="B9" s="2109" t="s">
        <v>590</v>
      </c>
      <c r="C9" s="2812" t="s">
        <v>2247</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J23"/>
  <sheetViews>
    <sheetView workbookViewId="0">
      <selection activeCell="E4" sqref="E4"/>
    </sheetView>
  </sheetViews>
  <sheetFormatPr defaultRowHeight="13.5"/>
  <cols>
    <col min="1" max="1" width="23.375" style="3055" customWidth="1"/>
    <col min="2" max="9" width="15.75" style="3055" customWidth="1"/>
    <col min="10" max="16384" width="9" style="3055"/>
  </cols>
  <sheetData>
    <row r="1" spans="1:10" ht="16.5">
      <c r="A1" s="3052" t="s">
        <v>2335</v>
      </c>
      <c r="B1" s="3052">
        <f>SUM(B14:B23)</f>
        <v>36595.409999999996</v>
      </c>
      <c r="C1" s="3053"/>
      <c r="D1" s="3053"/>
      <c r="E1" s="3053"/>
      <c r="F1" s="3053"/>
      <c r="G1" s="3054"/>
    </row>
    <row r="2" spans="1:10" ht="16.5">
      <c r="A2" s="3052" t="s">
        <v>2336</v>
      </c>
      <c r="B2" s="3052">
        <f>SUM(C14:C23)</f>
        <v>17111</v>
      </c>
      <c r="C2" s="3053"/>
      <c r="D2" s="3053"/>
      <c r="E2" s="3053"/>
      <c r="F2" s="3053"/>
      <c r="G2" s="3054"/>
    </row>
    <row r="3" spans="1:10" ht="16.5">
      <c r="A3" s="3052" t="s">
        <v>2337</v>
      </c>
      <c r="B3" s="3056">
        <f>项目基本情况!D3</f>
        <v>43041</v>
      </c>
      <c r="C3" s="3053"/>
      <c r="D3" s="3053"/>
      <c r="E3" s="3053"/>
      <c r="F3" s="3053"/>
      <c r="G3" s="3054"/>
    </row>
    <row r="4" spans="1:10" ht="33">
      <c r="A4" s="3052" t="s">
        <v>279</v>
      </c>
      <c r="B4" s="3052" t="s">
        <v>2338</v>
      </c>
      <c r="C4" s="3052" t="s">
        <v>2339</v>
      </c>
      <c r="D4" s="3052" t="s">
        <v>2340</v>
      </c>
      <c r="E4" s="3053"/>
      <c r="F4" s="3054"/>
      <c r="G4" s="3054"/>
    </row>
    <row r="5" spans="1:10" ht="16.5">
      <c r="A5" s="3052" t="s">
        <v>2341</v>
      </c>
      <c r="B5" s="3052">
        <f ca="1">SUM(D14:D23)</f>
        <v>13901</v>
      </c>
      <c r="C5" s="3052">
        <f ca="1">ROUND(B5*10000/$B$1,0)</f>
        <v>3799</v>
      </c>
      <c r="D5" s="3052">
        <f ca="1">ROUND(B5*10000/$B$2,0)</f>
        <v>8124</v>
      </c>
      <c r="E5" s="3053"/>
      <c r="F5" s="3054"/>
      <c r="G5" s="3054"/>
    </row>
    <row r="6" spans="1:10" ht="16.5">
      <c r="A6" s="3052" t="s">
        <v>2342</v>
      </c>
      <c r="B6" s="3052">
        <f ca="1">SUM(G14:G23)</f>
        <v>13901</v>
      </c>
      <c r="C6" s="3052">
        <f ca="1">ROUND(B6*10000/$B$1,0)</f>
        <v>3799</v>
      </c>
      <c r="D6" s="3052">
        <f ca="1">ROUND(B6*10000/$B$2,0)</f>
        <v>8124</v>
      </c>
      <c r="E6" s="3053"/>
      <c r="F6" s="3054"/>
      <c r="G6" s="3054"/>
    </row>
    <row r="7" spans="1:10" ht="16.5">
      <c r="A7" s="3052" t="s">
        <v>2343</v>
      </c>
      <c r="B7" s="3052">
        <f>SUM(H14:H23)</f>
        <v>0</v>
      </c>
      <c r="C7" s="3052">
        <f>ROUND(B7*10000/$B$1,0)</f>
        <v>0</v>
      </c>
      <c r="D7" s="3052">
        <f>ROUND(B7*10000/$B$2,0)</f>
        <v>0</v>
      </c>
      <c r="E7" s="3053"/>
      <c r="F7" s="3054"/>
      <c r="G7" s="3054"/>
    </row>
    <row r="8" spans="1:10" ht="16.5">
      <c r="A8" s="3052" t="s">
        <v>265</v>
      </c>
      <c r="B8" s="3052">
        <f>SUM(I14:I23)</f>
        <v>0</v>
      </c>
      <c r="C8" s="3052">
        <f>ROUND(B8*10000/$B$1,0)</f>
        <v>0</v>
      </c>
      <c r="D8" s="3052">
        <f>ROUND(B8*10000/$B$2,0)</f>
        <v>0</v>
      </c>
      <c r="E8" s="3053"/>
      <c r="F8" s="3054"/>
      <c r="G8" s="3054"/>
    </row>
    <row r="9" spans="1:10" ht="16.5">
      <c r="A9" s="3052" t="s">
        <v>2344</v>
      </c>
      <c r="B9" s="3057"/>
      <c r="C9" s="3053"/>
      <c r="D9" s="3053"/>
      <c r="E9" s="3053"/>
      <c r="F9" s="3054"/>
      <c r="G9" s="3054"/>
    </row>
    <row r="10" spans="1:10" ht="16.5">
      <c r="A10" s="3052" t="s">
        <v>2345</v>
      </c>
      <c r="B10" s="3057"/>
      <c r="C10" s="3053"/>
      <c r="D10" s="3053"/>
      <c r="E10" s="3053"/>
      <c r="F10" s="3054"/>
      <c r="G10" s="3054"/>
    </row>
    <row r="11" spans="1:10" ht="16.5">
      <c r="A11" s="3052" t="s">
        <v>2346</v>
      </c>
      <c r="B11" s="3057"/>
      <c r="C11" s="3053"/>
      <c r="D11" s="3053"/>
      <c r="E11" s="3053"/>
      <c r="F11" s="3054"/>
      <c r="G11" s="3054"/>
    </row>
    <row r="12" spans="1:10" ht="16.5">
      <c r="A12" s="3053"/>
      <c r="B12" s="3053"/>
      <c r="C12" s="3053"/>
      <c r="D12" s="3053"/>
      <c r="E12" s="3053"/>
      <c r="F12" s="3054"/>
      <c r="G12" s="3054"/>
    </row>
    <row r="13" spans="1:10" ht="33">
      <c r="A13" s="3058" t="s">
        <v>2347</v>
      </c>
      <c r="B13" s="3059" t="s">
        <v>2335</v>
      </c>
      <c r="C13" s="3059" t="s">
        <v>2336</v>
      </c>
      <c r="D13" s="3059" t="s">
        <v>2348</v>
      </c>
      <c r="E13" s="3052" t="s">
        <v>2339</v>
      </c>
      <c r="F13" s="3052" t="s">
        <v>2340</v>
      </c>
      <c r="G13" s="3059" t="s">
        <v>2349</v>
      </c>
      <c r="H13" s="3059" t="s">
        <v>2350</v>
      </c>
      <c r="I13" s="3059" t="s">
        <v>2351</v>
      </c>
      <c r="J13" s="3054"/>
    </row>
    <row r="14" spans="1:10" ht="16.5">
      <c r="A14" s="3060" t="s">
        <v>2352</v>
      </c>
      <c r="B14" s="3059">
        <f>'数据-汇总表'!E3</f>
        <v>36595.409999999996</v>
      </c>
      <c r="C14" s="3059">
        <f>'数据-汇总表'!D3</f>
        <v>17111</v>
      </c>
      <c r="D14" s="3059">
        <f ca="1">结果表!G19</f>
        <v>13901</v>
      </c>
      <c r="E14" s="3059">
        <f ca="1">ROUND(D14*10000/B14,0)</f>
        <v>3799</v>
      </c>
      <c r="F14" s="3059">
        <f ca="1">ROUND(D14*10000/C14,0)</f>
        <v>8124</v>
      </c>
      <c r="G14" s="3059">
        <f ca="1">D14</f>
        <v>13901</v>
      </c>
      <c r="H14" s="3059"/>
      <c r="I14" s="3059"/>
      <c r="J14" s="3054"/>
    </row>
    <row r="15" spans="1:10" ht="16.5">
      <c r="A15" s="3060" t="s">
        <v>2353</v>
      </c>
      <c r="B15" s="3061"/>
      <c r="C15" s="3061"/>
      <c r="D15" s="3061"/>
      <c r="E15" s="3059" t="e">
        <f t="shared" ref="E15:E23" si="0">ROUND(D15*10000/B15,0)</f>
        <v>#DIV/0!</v>
      </c>
      <c r="F15" s="3059" t="e">
        <f t="shared" ref="F15:F23" si="1">ROUND(D15*10000/C15,0)</f>
        <v>#DIV/0!</v>
      </c>
      <c r="G15" s="3062"/>
      <c r="H15" s="3062"/>
      <c r="I15" s="3061"/>
      <c r="J15" s="3054"/>
    </row>
    <row r="16" spans="1:10" ht="16.5">
      <c r="A16" s="3060" t="s">
        <v>2354</v>
      </c>
      <c r="B16" s="3061"/>
      <c r="C16" s="3061"/>
      <c r="D16" s="3061"/>
      <c r="E16" s="3059" t="e">
        <f t="shared" si="0"/>
        <v>#DIV/0!</v>
      </c>
      <c r="F16" s="3059" t="e">
        <f t="shared" si="1"/>
        <v>#DIV/0!</v>
      </c>
      <c r="G16" s="3062"/>
      <c r="H16" s="3062"/>
      <c r="I16" s="3061"/>
    </row>
    <row r="17" spans="1:9" ht="16.5">
      <c r="A17" s="3060" t="s">
        <v>2355</v>
      </c>
      <c r="B17" s="3061"/>
      <c r="C17" s="3061"/>
      <c r="D17" s="3061"/>
      <c r="E17" s="3059" t="e">
        <f t="shared" si="0"/>
        <v>#DIV/0!</v>
      </c>
      <c r="F17" s="3059" t="e">
        <f t="shared" si="1"/>
        <v>#DIV/0!</v>
      </c>
      <c r="G17" s="3062"/>
      <c r="H17" s="3062"/>
      <c r="I17" s="3061"/>
    </row>
    <row r="18" spans="1:9" ht="16.5">
      <c r="A18" s="3060" t="s">
        <v>2356</v>
      </c>
      <c r="B18" s="3061"/>
      <c r="C18" s="3061"/>
      <c r="D18" s="3061"/>
      <c r="E18" s="3059" t="e">
        <f t="shared" si="0"/>
        <v>#DIV/0!</v>
      </c>
      <c r="F18" s="3059" t="e">
        <f t="shared" si="1"/>
        <v>#DIV/0!</v>
      </c>
      <c r="G18" s="3061"/>
      <c r="H18" s="3061"/>
      <c r="I18" s="3061"/>
    </row>
    <row r="19" spans="1:9" ht="16.5">
      <c r="A19" s="3060" t="s">
        <v>2357</v>
      </c>
      <c r="B19" s="3061"/>
      <c r="C19" s="3061"/>
      <c r="D19" s="3061"/>
      <c r="E19" s="3059" t="e">
        <f t="shared" si="0"/>
        <v>#DIV/0!</v>
      </c>
      <c r="F19" s="3059" t="e">
        <f t="shared" si="1"/>
        <v>#DIV/0!</v>
      </c>
      <c r="G19" s="3061"/>
      <c r="H19" s="3061"/>
      <c r="I19" s="3061"/>
    </row>
    <row r="20" spans="1:9" ht="16.5">
      <c r="A20" s="3060" t="s">
        <v>2358</v>
      </c>
      <c r="B20" s="3061"/>
      <c r="C20" s="3061"/>
      <c r="D20" s="3061"/>
      <c r="E20" s="3059" t="e">
        <f t="shared" si="0"/>
        <v>#DIV/0!</v>
      </c>
      <c r="F20" s="3059" t="e">
        <f t="shared" si="1"/>
        <v>#DIV/0!</v>
      </c>
      <c r="G20" s="3061"/>
      <c r="H20" s="3061"/>
      <c r="I20" s="3061"/>
    </row>
    <row r="21" spans="1:9" ht="16.5">
      <c r="A21" s="3060" t="s">
        <v>2359</v>
      </c>
      <c r="B21" s="3061"/>
      <c r="C21" s="3061"/>
      <c r="D21" s="3061"/>
      <c r="E21" s="3059" t="e">
        <f t="shared" si="0"/>
        <v>#DIV/0!</v>
      </c>
      <c r="F21" s="3059" t="e">
        <f t="shared" si="1"/>
        <v>#DIV/0!</v>
      </c>
      <c r="G21" s="3061"/>
      <c r="H21" s="3061"/>
      <c r="I21" s="3061"/>
    </row>
    <row r="22" spans="1:9" ht="16.5">
      <c r="A22" s="3060" t="s">
        <v>2360</v>
      </c>
      <c r="B22" s="3061"/>
      <c r="C22" s="3061"/>
      <c r="D22" s="3061"/>
      <c r="E22" s="3059" t="e">
        <f t="shared" si="0"/>
        <v>#DIV/0!</v>
      </c>
      <c r="F22" s="3059" t="e">
        <f t="shared" si="1"/>
        <v>#DIV/0!</v>
      </c>
      <c r="G22" s="3061"/>
      <c r="H22" s="3061"/>
      <c r="I22" s="3061"/>
    </row>
    <row r="23" spans="1:9" ht="16.5">
      <c r="A23" s="3060" t="s">
        <v>2361</v>
      </c>
      <c r="B23" s="3061"/>
      <c r="C23" s="3061"/>
      <c r="D23" s="3061"/>
      <c r="E23" s="3052" t="e">
        <f t="shared" si="0"/>
        <v>#DIV/0!</v>
      </c>
      <c r="F23" s="3052" t="e">
        <f t="shared" si="1"/>
        <v>#DIV/0!</v>
      </c>
      <c r="G23" s="3061"/>
      <c r="H23" s="3061"/>
      <c r="I23" s="3061"/>
    </row>
  </sheetData>
  <phoneticPr fontId="1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zoomScale="80" zoomScaleSheetLayoutView="80" workbookViewId="0">
      <selection activeCell="G19" sqref="G19"/>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144" t="str">
        <f>项目基本情况!K2</f>
        <v>山东省青岛市黄岛区滨海大道以南、石雀滩路北B地块1宗住宅用途出让国有建设用地使用权</v>
      </c>
      <c r="B2" s="3145"/>
      <c r="C2" s="3146"/>
      <c r="D2" s="3146"/>
      <c r="E2" s="3146"/>
      <c r="F2" s="3146"/>
      <c r="G2" s="3145"/>
      <c r="H2" s="3145"/>
      <c r="I2" s="3147"/>
      <c r="J2" s="1886"/>
      <c r="K2" s="112"/>
      <c r="L2" s="112"/>
      <c r="M2" s="112"/>
      <c r="N2" s="112"/>
      <c r="O2" s="112"/>
      <c r="P2" s="112"/>
      <c r="Q2" s="112"/>
      <c r="R2" s="112"/>
      <c r="S2" s="112"/>
      <c r="T2" s="112"/>
      <c r="U2" s="112"/>
      <c r="V2" s="112"/>
    </row>
    <row r="3" spans="1:22" ht="14.25">
      <c r="A3" s="3148" t="s">
        <v>605</v>
      </c>
      <c r="B3" s="3149"/>
      <c r="C3" s="3149"/>
      <c r="D3" s="3149"/>
      <c r="E3" s="3149"/>
      <c r="F3" s="3149"/>
      <c r="G3" s="3149"/>
      <c r="H3" s="3149"/>
      <c r="I3" s="3149"/>
      <c r="J3" s="1886"/>
      <c r="K3" s="112"/>
      <c r="L3" s="112"/>
      <c r="M3" s="112"/>
      <c r="N3" s="112"/>
      <c r="O3" s="112"/>
      <c r="P3" s="112"/>
      <c r="Q3" s="112"/>
      <c r="R3" s="112"/>
      <c r="S3" s="112"/>
      <c r="T3" s="112"/>
      <c r="U3" s="112"/>
      <c r="V3" s="112"/>
    </row>
    <row r="4" spans="1:22" ht="14.25">
      <c r="A4" s="1770" t="s">
        <v>606</v>
      </c>
      <c r="B4" s="1611" t="s">
        <v>607</v>
      </c>
      <c r="C4" s="1771" t="s">
        <v>608</v>
      </c>
      <c r="D4" s="1771" t="s">
        <v>609</v>
      </c>
      <c r="E4" s="3150" t="s">
        <v>610</v>
      </c>
      <c r="F4" s="3151"/>
      <c r="G4" s="3151"/>
      <c r="H4" s="3151"/>
      <c r="I4" s="3152"/>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99" t="s">
        <v>611</v>
      </c>
      <c r="B5" s="3201">
        <v>25</v>
      </c>
      <c r="C5" s="3155"/>
      <c r="D5" s="3158"/>
      <c r="E5" s="805" t="s">
        <v>612</v>
      </c>
      <c r="F5" s="1774"/>
      <c r="G5" s="1774"/>
      <c r="H5" s="1774"/>
      <c r="I5" s="1888"/>
      <c r="J5" s="1886"/>
      <c r="K5" s="112"/>
      <c r="L5" s="112"/>
      <c r="M5" s="112"/>
      <c r="N5" s="112"/>
      <c r="O5" s="112"/>
      <c r="P5" s="112"/>
      <c r="Q5" s="112"/>
      <c r="R5" s="112"/>
      <c r="S5" s="112"/>
      <c r="T5" s="112"/>
      <c r="U5" s="112"/>
      <c r="V5" s="112"/>
    </row>
    <row r="6" spans="1:22" ht="14.25">
      <c r="A6" s="3199"/>
      <c r="B6" s="3201"/>
      <c r="C6" s="3157"/>
      <c r="D6" s="3158"/>
      <c r="E6" s="805" t="s">
        <v>613</v>
      </c>
      <c r="F6" s="1774"/>
      <c r="G6" s="1774"/>
      <c r="H6" s="1774"/>
      <c r="I6" s="1888"/>
      <c r="J6" s="1886"/>
      <c r="K6" s="112"/>
      <c r="L6" s="112"/>
      <c r="M6" s="112"/>
      <c r="N6" s="112"/>
      <c r="O6" s="112"/>
      <c r="P6" s="112"/>
      <c r="Q6" s="112"/>
      <c r="R6" s="112"/>
      <c r="S6" s="112"/>
      <c r="T6" s="112"/>
      <c r="U6" s="112"/>
      <c r="V6" s="112"/>
    </row>
    <row r="7" spans="1:22" ht="14.25">
      <c r="A7" s="3199"/>
      <c r="B7" s="3201"/>
      <c r="C7" s="3156"/>
      <c r="D7" s="3158"/>
      <c r="E7" s="805" t="s">
        <v>614</v>
      </c>
      <c r="F7" s="1774"/>
      <c r="G7" s="1774"/>
      <c r="H7" s="1774"/>
      <c r="I7" s="1888"/>
      <c r="J7" s="1886"/>
      <c r="K7" s="112"/>
      <c r="L7" s="112"/>
      <c r="M7" s="112"/>
      <c r="N7" s="112"/>
      <c r="O7" s="112"/>
      <c r="P7" s="112"/>
      <c r="Q7" s="112"/>
      <c r="R7" s="112"/>
      <c r="S7" s="112"/>
      <c r="T7" s="112"/>
      <c r="U7" s="112"/>
      <c r="V7" s="112"/>
    </row>
    <row r="8" spans="1:22" ht="14.25">
      <c r="A8" s="3199" t="s">
        <v>615</v>
      </c>
      <c r="B8" s="3201">
        <v>15</v>
      </c>
      <c r="C8" s="3155"/>
      <c r="D8" s="3158"/>
      <c r="E8" s="805" t="s">
        <v>616</v>
      </c>
      <c r="F8" s="1774"/>
      <c r="G8" s="1774"/>
      <c r="H8" s="1774"/>
      <c r="I8" s="1888"/>
      <c r="J8" s="1886"/>
      <c r="K8" s="112"/>
      <c r="L8" s="112"/>
      <c r="M8" s="112"/>
      <c r="N8" s="112"/>
      <c r="O8" s="112"/>
      <c r="P8" s="112"/>
      <c r="Q8" s="112"/>
      <c r="R8" s="112"/>
      <c r="S8" s="112"/>
      <c r="T8" s="112"/>
      <c r="U8" s="112"/>
      <c r="V8" s="112"/>
    </row>
    <row r="9" spans="1:22" ht="14.25">
      <c r="A9" s="3199"/>
      <c r="B9" s="3201"/>
      <c r="C9" s="3156"/>
      <c r="D9" s="3158"/>
      <c r="E9" s="805" t="s">
        <v>617</v>
      </c>
      <c r="F9" s="1774"/>
      <c r="G9" s="1774"/>
      <c r="H9" s="1774"/>
      <c r="I9" s="1888"/>
      <c r="J9" s="1886"/>
      <c r="K9" s="112"/>
      <c r="L9" s="112"/>
      <c r="M9" s="112"/>
      <c r="N9" s="112"/>
      <c r="O9" s="112"/>
      <c r="P9" s="112"/>
      <c r="Q9" s="112"/>
      <c r="R9" s="112"/>
      <c r="S9" s="112"/>
      <c r="T9" s="112"/>
      <c r="U9" s="112"/>
      <c r="V9" s="112"/>
    </row>
    <row r="10" spans="1:22" ht="14.25">
      <c r="A10" s="3199" t="s">
        <v>618</v>
      </c>
      <c r="B10" s="3201">
        <v>15</v>
      </c>
      <c r="C10" s="3155"/>
      <c r="D10" s="3158"/>
      <c r="E10" s="805" t="s">
        <v>619</v>
      </c>
      <c r="F10" s="1774"/>
      <c r="G10" s="1774"/>
      <c r="H10" s="1774"/>
      <c r="I10" s="1888"/>
      <c r="J10" s="1886"/>
      <c r="K10" s="112"/>
      <c r="L10" s="112"/>
      <c r="M10" s="112"/>
      <c r="N10" s="112"/>
      <c r="O10" s="112"/>
      <c r="P10" s="112"/>
      <c r="Q10" s="112"/>
      <c r="R10" s="112"/>
      <c r="S10" s="112"/>
      <c r="T10" s="112"/>
      <c r="U10" s="112"/>
      <c r="V10" s="112"/>
    </row>
    <row r="11" spans="1:22" ht="14.25">
      <c r="A11" s="3199"/>
      <c r="B11" s="3201"/>
      <c r="C11" s="3156"/>
      <c r="D11" s="3158"/>
      <c r="E11" s="805" t="s">
        <v>620</v>
      </c>
      <c r="F11" s="1774"/>
      <c r="G11" s="1774"/>
      <c r="H11" s="1774"/>
      <c r="I11" s="1888"/>
      <c r="J11" s="1886"/>
      <c r="K11" s="112"/>
      <c r="L11" s="112"/>
      <c r="M11" s="112"/>
      <c r="N11" s="112"/>
      <c r="O11" s="112"/>
      <c r="P11" s="112"/>
      <c r="Q11" s="112"/>
      <c r="R11" s="112"/>
      <c r="S11" s="112"/>
      <c r="T11" s="112"/>
      <c r="U11" s="112"/>
      <c r="V11" s="112"/>
    </row>
    <row r="12" spans="1:22" ht="14.25">
      <c r="A12" s="3199" t="s">
        <v>621</v>
      </c>
      <c r="B12" s="3201">
        <v>15</v>
      </c>
      <c r="C12" s="3155"/>
      <c r="D12" s="3158"/>
      <c r="E12" s="805" t="s">
        <v>622</v>
      </c>
      <c r="F12" s="1774"/>
      <c r="G12" s="1774"/>
      <c r="H12" s="1774"/>
      <c r="I12" s="1888"/>
      <c r="J12" s="1886"/>
      <c r="K12" s="112"/>
      <c r="L12" s="112"/>
      <c r="M12" s="112"/>
      <c r="N12" s="112"/>
      <c r="O12" s="112"/>
      <c r="P12" s="112"/>
      <c r="Q12" s="112"/>
      <c r="R12" s="112"/>
      <c r="S12" s="112"/>
      <c r="T12" s="112"/>
      <c r="U12" s="112"/>
      <c r="V12" s="112"/>
    </row>
    <row r="13" spans="1:22" ht="14.25">
      <c r="A13" s="3199"/>
      <c r="B13" s="3201"/>
      <c r="C13" s="3156"/>
      <c r="D13" s="3158"/>
      <c r="E13" s="805" t="s">
        <v>623</v>
      </c>
      <c r="F13" s="1774"/>
      <c r="G13" s="1774"/>
      <c r="H13" s="1774"/>
      <c r="I13" s="1888"/>
      <c r="J13" s="1886"/>
      <c r="K13" s="112"/>
      <c r="L13" s="112"/>
      <c r="M13" s="112"/>
      <c r="N13" s="112"/>
      <c r="O13" s="112"/>
      <c r="P13" s="112"/>
      <c r="Q13" s="112"/>
      <c r="R13" s="112"/>
      <c r="S13" s="112"/>
      <c r="T13" s="112"/>
      <c r="U13" s="112"/>
      <c r="V13" s="112"/>
    </row>
    <row r="14" spans="1:22" ht="14.25">
      <c r="A14" s="3199" t="s">
        <v>624</v>
      </c>
      <c r="B14" s="3201">
        <v>30</v>
      </c>
      <c r="C14" s="3155">
        <v>6</v>
      </c>
      <c r="D14" s="3158">
        <v>4</v>
      </c>
      <c r="E14" s="805" t="s">
        <v>625</v>
      </c>
      <c r="F14" s="1774"/>
      <c r="G14" s="1774"/>
      <c r="H14" s="1774"/>
      <c r="I14" s="1888"/>
      <c r="J14" s="1886"/>
      <c r="K14" s="112"/>
      <c r="L14" s="112"/>
      <c r="M14" s="112"/>
      <c r="N14" s="112"/>
      <c r="O14" s="112"/>
      <c r="P14" s="112"/>
      <c r="Q14" s="112"/>
      <c r="R14" s="112"/>
      <c r="S14" s="112"/>
      <c r="T14" s="112"/>
      <c r="U14" s="112"/>
      <c r="V14" s="112"/>
    </row>
    <row r="15" spans="1:22" ht="14.25">
      <c r="A15" s="3199"/>
      <c r="B15" s="3201"/>
      <c r="C15" s="3157"/>
      <c r="D15" s="3158"/>
      <c r="E15" s="805" t="s">
        <v>626</v>
      </c>
      <c r="F15" s="1774"/>
      <c r="G15" s="1774"/>
      <c r="H15" s="1774"/>
      <c r="I15" s="1888"/>
      <c r="J15" s="1886"/>
      <c r="K15" s="112"/>
      <c r="L15" s="112"/>
      <c r="M15" s="112"/>
      <c r="N15" s="112"/>
      <c r="O15" s="112"/>
      <c r="P15" s="112"/>
      <c r="Q15" s="112"/>
      <c r="R15" s="112"/>
      <c r="S15" s="112"/>
      <c r="T15" s="112"/>
      <c r="U15" s="112"/>
      <c r="V15" s="112"/>
    </row>
    <row r="16" spans="1:22" ht="14.25">
      <c r="A16" s="3199"/>
      <c r="B16" s="3201"/>
      <c r="C16" s="3156"/>
      <c r="D16" s="3158"/>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5">
        <f ca="1">SUMIF(INDIRECT("'"&amp;C4&amp;"'"&amp;"!A:A"),结果表!B19,INDIRECT("'"&amp;C4&amp;"'"&amp;"!B:B"))</f>
        <v>8091</v>
      </c>
      <c r="D19" s="1783">
        <f ca="1">SUMIF(INDIRECT("'"&amp;D4&amp;"'"&amp;"!A:A"),结果表!B19,INDIRECT("'"&amp;D4&amp;"'"&amp;"!B:B"))</f>
        <v>22616</v>
      </c>
      <c r="E19" s="1781" t="s">
        <v>632</v>
      </c>
      <c r="F19" s="1782" t="s">
        <v>631</v>
      </c>
      <c r="G19" s="1784">
        <f ca="1">ROUND(C19*$C$18+D19*$D$18,0)</f>
        <v>13901</v>
      </c>
      <c r="H19" s="1785" t="s">
        <v>633</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2211</v>
      </c>
      <c r="D20" s="1789">
        <f ca="1">SUMIF(INDIRECT("'"&amp;D4&amp;"'"&amp;"!A:A"),结果表!B20,INDIRECT("'"&amp;D4&amp;"'"&amp;"!B:B"))</f>
        <v>6180</v>
      </c>
      <c r="E20" s="1786"/>
      <c r="F20" s="1787" t="s">
        <v>183</v>
      </c>
      <c r="G20" s="1790">
        <f ca="1">ROUND(C20*$C$18+D20*$D$18,0)</f>
        <v>3799</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4729</v>
      </c>
      <c r="D21" s="1794">
        <f ca="1">SUMIF(INDIRECT("'"&amp;D4&amp;"'"&amp;"!A:A"),结果表!B21,INDIRECT("'"&amp;D4&amp;"'"&amp;"!B:B"))</f>
        <v>13217</v>
      </c>
      <c r="E21" s="1786"/>
      <c r="F21" s="1792" t="s">
        <v>170</v>
      </c>
      <c r="G21" s="1795">
        <f ca="1">ROUND(C21*$C$18+D21*$D$18,0)</f>
        <v>8124</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1.7952045482635026</v>
      </c>
      <c r="E22" s="1801"/>
      <c r="F22" s="1802"/>
      <c r="G22" s="1803">
        <f ca="1">ROUND(G19/('数据-汇总表'!D3/666.67),0)</f>
        <v>542</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59" t="s">
        <v>637</v>
      </c>
      <c r="B24" s="1782" t="s">
        <v>631</v>
      </c>
      <c r="C24" s="1805">
        <f>IF(B30=0,0,D30)</f>
        <v>0</v>
      </c>
      <c r="D24" s="1806"/>
      <c r="E24" s="46"/>
      <c r="F24" s="46"/>
      <c r="G24" s="46"/>
      <c r="H24" s="46"/>
      <c r="I24" s="46"/>
      <c r="J24" s="112"/>
      <c r="K24" s="112"/>
      <c r="L24" s="112"/>
      <c r="M24" s="112"/>
      <c r="N24" s="112"/>
      <c r="O24" s="112"/>
      <c r="P24" s="112"/>
      <c r="Q24" s="112"/>
      <c r="R24" s="112"/>
      <c r="S24" s="112"/>
      <c r="T24" s="112"/>
      <c r="U24" s="112"/>
      <c r="V24" s="112"/>
    </row>
    <row r="25" spans="1:26" ht="18">
      <c r="A25" s="3200"/>
      <c r="B25" s="1807" t="s">
        <v>183</v>
      </c>
      <c r="C25" s="1808">
        <f>IF(B30=0,0,C30)</f>
        <v>0</v>
      </c>
      <c r="D25" s="1809"/>
      <c r="E25" s="46"/>
      <c r="F25" s="46"/>
      <c r="G25" s="46"/>
      <c r="H25" s="46"/>
      <c r="I25" s="46"/>
      <c r="J25" s="112"/>
      <c r="K25" s="1889" t="str">
        <f ca="1">"出让国有建设用地使用权价格："&amp;O38&amp;"万元"</f>
        <v>出让国有建设用地使用权价格：13901万元</v>
      </c>
      <c r="L25" s="1890"/>
      <c r="M25" s="1890"/>
      <c r="N25" s="1890"/>
      <c r="O25" s="1891"/>
      <c r="P25" s="112"/>
      <c r="Q25" s="112"/>
      <c r="R25" s="112"/>
      <c r="S25" s="112"/>
      <c r="T25" s="112"/>
      <c r="U25" s="112"/>
      <c r="V25" s="112"/>
    </row>
    <row r="26" spans="1:26" s="1763" customFormat="1" ht="18">
      <c r="A26" s="1810"/>
      <c r="B26" s="1811"/>
      <c r="C26" s="1811"/>
      <c r="D26" s="1812"/>
      <c r="E26" s="46"/>
      <c r="F26" s="46"/>
      <c r="G26" s="46"/>
      <c r="H26" s="46"/>
      <c r="I26" s="46"/>
      <c r="J26" s="112"/>
      <c r="K26" s="1892" t="str">
        <f ca="1">"大写金额：人民币"&amp;NUMBERSTRING(INT(O38*10000),2)&amp;"元整"</f>
        <v>大写金额：人民币壹亿叁仟玖佰零壹万元整</v>
      </c>
      <c r="L26" s="1798"/>
      <c r="M26" s="1798"/>
      <c r="N26" s="1798"/>
      <c r="O26" s="1796"/>
      <c r="P26" s="112"/>
      <c r="Q26" s="112"/>
      <c r="R26" s="112"/>
      <c r="S26" s="112"/>
      <c r="T26" s="112"/>
      <c r="U26" s="112"/>
      <c r="V26" s="112"/>
      <c r="W26" s="1840"/>
      <c r="X26" s="1840"/>
      <c r="Y26" s="1840"/>
      <c r="Z26" s="1840"/>
    </row>
    <row r="27" spans="1:26" ht="18">
      <c r="A27" s="3037"/>
      <c r="B27" s="1811"/>
      <c r="C27" s="1811"/>
      <c r="D27" s="1812"/>
      <c r="E27" s="46"/>
      <c r="F27" s="46"/>
      <c r="G27" s="46"/>
      <c r="H27" s="46"/>
      <c r="I27" s="46"/>
      <c r="J27" s="112"/>
      <c r="K27" s="1892" t="str">
        <f ca="1">"单位面积地价："&amp;M38&amp;"元/平方米"</f>
        <v>单位面积地价：8124元/平方米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楼面地价：3799元/平方米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出让国有建设用地使用权抵押价格：13901万元</v>
      </c>
      <c r="L29" s="1798"/>
      <c r="M29" s="1798"/>
      <c r="N29" s="1798"/>
      <c r="O29" s="1796"/>
      <c r="P29" s="112"/>
      <c r="V29" s="112"/>
    </row>
    <row r="30" spans="1:26" ht="18">
      <c r="A30" s="1813" t="s">
        <v>641</v>
      </c>
      <c r="B30" s="1814">
        <f>SUM(B27:B29)</f>
        <v>0</v>
      </c>
      <c r="C30" s="1814" t="e">
        <f>ROUND(D30*10000/B30,0)</f>
        <v>#DIV/0!</v>
      </c>
      <c r="D30" s="1815">
        <f>SUM(D27:D29)</f>
        <v>0</v>
      </c>
      <c r="E30" s="46"/>
      <c r="F30" s="46"/>
      <c r="G30" s="46"/>
      <c r="H30" s="46"/>
      <c r="I30" s="46"/>
      <c r="J30" s="112"/>
      <c r="K30" s="1892" t="str">
        <f ca="1">"大写金额：人民币"&amp;NUMBERSTRING(INT(O39*10000),2)&amp;"元整"</f>
        <v>大写金额：人民币壹亿叁仟玖佰零壹万元整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抵押担保权已注销时的出让国有建设用地使用权抵押价格：13901万元</v>
      </c>
      <c r="L31" s="1894"/>
      <c r="M31" s="1894"/>
      <c r="N31" s="1894"/>
      <c r="O31" s="1895"/>
      <c r="P31" s="112"/>
      <c r="V31" s="112"/>
    </row>
    <row r="32" spans="1:26" ht="18">
      <c r="A32" s="1781" t="s">
        <v>642</v>
      </c>
      <c r="B32" s="1816" t="s">
        <v>643</v>
      </c>
      <c r="C32" s="1817">
        <f ca="1">G19-C24</f>
        <v>13901</v>
      </c>
      <c r="D32" s="1818" t="s">
        <v>644</v>
      </c>
      <c r="E32" s="46"/>
      <c r="F32" s="46"/>
      <c r="G32" s="46"/>
      <c r="H32" s="46"/>
      <c r="I32" s="46"/>
      <c r="J32" s="112"/>
      <c r="K32" s="1896" t="str">
        <f ca="1">"大写金额：人民币"&amp;NUMBERSTRING(INT(O40*10000),2)&amp;"元整"</f>
        <v>大写金额：人民币壹亿叁仟玖佰零壹万元整</v>
      </c>
      <c r="L32" s="1897"/>
      <c r="M32" s="1897"/>
      <c r="N32" s="1897"/>
      <c r="O32" s="1898"/>
      <c r="P32" s="112"/>
      <c r="V32" s="112"/>
    </row>
    <row r="33" spans="1:26" ht="18">
      <c r="A33" s="1819" t="s">
        <v>645</v>
      </c>
      <c r="B33" s="1820" t="s">
        <v>646</v>
      </c>
      <c r="C33" s="1775">
        <f ca="1">ROUND(C32*10000/'数据-汇总表'!E3,0)</f>
        <v>3799</v>
      </c>
      <c r="D33" s="1821" t="s">
        <v>647</v>
      </c>
      <c r="E33" s="3159" t="s">
        <v>648</v>
      </c>
      <c r="F33" s="1822" t="s">
        <v>649</v>
      </c>
      <c r="G33" s="1823"/>
      <c r="H33" s="1824" t="s">
        <v>650</v>
      </c>
      <c r="I33" s="1899"/>
      <c r="J33" s="112"/>
      <c r="K33" s="1892" t="str">
        <f>"抵押净值："&amp;C46&amp;"万元"</f>
        <v>抵押净值：——万元</v>
      </c>
      <c r="L33" s="1798"/>
      <c r="M33" s="1798"/>
      <c r="N33" s="1798"/>
      <c r="O33" s="1796"/>
      <c r="P33" s="112"/>
      <c r="V33" s="112"/>
    </row>
    <row r="34" spans="1:26" s="1763" customFormat="1" ht="18">
      <c r="A34" s="1825"/>
      <c r="B34" s="1826" t="s">
        <v>651</v>
      </c>
      <c r="C34" s="1775">
        <f ca="1">ROUND(C32*10000/'数据-汇总表'!D3,0)</f>
        <v>8124</v>
      </c>
      <c r="D34" s="1827" t="s">
        <v>647</v>
      </c>
      <c r="E34" s="3160"/>
      <c r="F34" s="1828" t="s">
        <v>652</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542</v>
      </c>
      <c r="D35" s="1832" t="s">
        <v>653</v>
      </c>
      <c r="E35" s="3161"/>
      <c r="F35" s="1833" t="s">
        <v>654</v>
      </c>
      <c r="G35" s="1834"/>
      <c r="H35" s="1835" t="s">
        <v>655</v>
      </c>
      <c r="I35" s="46"/>
      <c r="J35" s="112"/>
      <c r="K35" s="3202" t="s">
        <v>656</v>
      </c>
      <c r="L35" s="3202" t="s">
        <v>657</v>
      </c>
      <c r="M35" s="1903" t="s">
        <v>658</v>
      </c>
      <c r="N35" s="3202" t="s">
        <v>659</v>
      </c>
      <c r="O35" s="3202" t="s">
        <v>660</v>
      </c>
      <c r="P35" s="112"/>
      <c r="V35" s="112"/>
    </row>
    <row r="36" spans="1:26" ht="16.5" customHeight="1">
      <c r="A36" s="1836" t="s">
        <v>661</v>
      </c>
      <c r="B36" s="1837" t="s">
        <v>638</v>
      </c>
      <c r="C36" s="1838" t="s">
        <v>639</v>
      </c>
      <c r="D36" s="1838" t="s">
        <v>662</v>
      </c>
      <c r="E36" s="1839" t="s">
        <v>640</v>
      </c>
      <c r="F36" s="1840"/>
      <c r="G36" s="1840"/>
      <c r="H36" s="1840"/>
      <c r="I36" s="1840"/>
      <c r="J36" s="1904"/>
      <c r="K36" s="3203"/>
      <c r="L36" s="3203"/>
      <c r="M36" s="1905" t="s">
        <v>663</v>
      </c>
      <c r="N36" s="3203"/>
      <c r="O36" s="3203"/>
      <c r="P36" s="112"/>
      <c r="V36" s="112"/>
    </row>
    <row r="37" spans="1:26" ht="16.5" customHeight="1">
      <c r="A37" s="1841" t="s">
        <v>664</v>
      </c>
      <c r="B37" s="1842"/>
      <c r="C37" s="1811"/>
      <c r="D37" s="1811"/>
      <c r="E37" s="1812"/>
      <c r="F37" s="1840"/>
      <c r="G37" s="1840"/>
      <c r="H37" s="1840"/>
      <c r="I37" s="1840"/>
      <c r="J37" s="1904"/>
      <c r="K37" s="3204"/>
      <c r="L37" s="3204"/>
      <c r="M37" s="1906"/>
      <c r="N37" s="3204"/>
      <c r="O37" s="3204"/>
      <c r="P37" s="112"/>
      <c r="V37" s="112"/>
    </row>
    <row r="38" spans="1:26" ht="16.5" customHeight="1">
      <c r="A38" s="1841" t="s">
        <v>665</v>
      </c>
      <c r="B38" s="1842"/>
      <c r="C38" s="1811"/>
      <c r="D38" s="1811"/>
      <c r="E38" s="1812"/>
      <c r="F38" s="1840"/>
      <c r="G38" s="1840"/>
      <c r="H38" s="1840"/>
      <c r="I38" s="1840"/>
      <c r="J38" s="1904"/>
      <c r="K38" s="1907">
        <f>'数据-汇总表'!D3</f>
        <v>17111</v>
      </c>
      <c r="L38" s="1908">
        <f>'数据-汇总表'!E3</f>
        <v>36595.409999999996</v>
      </c>
      <c r="M38" s="1908">
        <f ca="1">C34</f>
        <v>8124</v>
      </c>
      <c r="N38" s="1908">
        <f ca="1">C33</f>
        <v>3799</v>
      </c>
      <c r="O38" s="1909">
        <f ca="1">C32</f>
        <v>13901</v>
      </c>
      <c r="P38" s="112"/>
      <c r="V38" s="112"/>
    </row>
    <row r="39" spans="1:26" ht="16.5" customHeight="1">
      <c r="A39" s="1843"/>
      <c r="B39" s="1844"/>
      <c r="C39" s="1845"/>
      <c r="D39" s="1845"/>
      <c r="E39" s="1846"/>
      <c r="F39" s="1840"/>
      <c r="G39" s="1840"/>
      <c r="H39" s="1840"/>
      <c r="I39" s="1840"/>
      <c r="J39" s="1904"/>
      <c r="K39" s="1910"/>
      <c r="L39" s="1911" t="s">
        <v>666</v>
      </c>
      <c r="M39" s="1912"/>
      <c r="N39" s="1913"/>
      <c r="O39" s="1914">
        <f ca="1">C44</f>
        <v>13901</v>
      </c>
      <c r="P39" s="112"/>
      <c r="V39" s="112"/>
    </row>
    <row r="40" spans="1:26" ht="18.75">
      <c r="A40" s="1847" t="s">
        <v>667</v>
      </c>
      <c r="B40" s="46"/>
      <c r="C40" s="46"/>
      <c r="D40" s="46"/>
      <c r="E40" s="46"/>
      <c r="F40" s="46"/>
      <c r="G40" s="46"/>
      <c r="H40" s="46"/>
      <c r="I40" s="46"/>
      <c r="J40" s="1904"/>
      <c r="K40" s="1910"/>
      <c r="L40" s="1915" t="s">
        <v>668</v>
      </c>
      <c r="M40" s="1912"/>
      <c r="N40" s="1913"/>
      <c r="O40" s="1914">
        <f ca="1">C45</f>
        <v>13901</v>
      </c>
      <c r="P40" s="112"/>
      <c r="V40" s="112"/>
    </row>
    <row r="41" spans="1:26" ht="15.75">
      <c r="A41" s="1848" t="s">
        <v>669</v>
      </c>
      <c r="B41" s="1849"/>
      <c r="C41" s="1850" t="s">
        <v>670</v>
      </c>
      <c r="D41" s="1851" t="s">
        <v>671</v>
      </c>
      <c r="E41" s="1851" t="s">
        <v>672</v>
      </c>
      <c r="F41" s="1852" t="s">
        <v>673</v>
      </c>
      <c r="G41" s="46"/>
      <c r="H41" s="46"/>
      <c r="I41" s="46"/>
      <c r="J41" s="1904"/>
      <c r="K41" s="1910"/>
      <c r="L41" s="1916" t="s">
        <v>265</v>
      </c>
      <c r="M41" s="1912"/>
      <c r="N41" s="1913"/>
      <c r="O41" s="1914" t="str">
        <f>C46</f>
        <v>——</v>
      </c>
      <c r="P41" s="112"/>
      <c r="V41" s="112"/>
    </row>
    <row r="42" spans="1:26" ht="29.25">
      <c r="A42" s="3153" t="s">
        <v>674</v>
      </c>
      <c r="B42" s="3154"/>
      <c r="C42" s="1775">
        <f ca="1">C32</f>
        <v>13901</v>
      </c>
      <c r="D42" s="1853">
        <f ca="1">C33</f>
        <v>3799</v>
      </c>
      <c r="E42" s="1853">
        <f ca="1">C34</f>
        <v>8124</v>
      </c>
      <c r="F42" s="1854">
        <f ca="1">C35</f>
        <v>542</v>
      </c>
      <c r="G42" s="46"/>
      <c r="H42" s="46"/>
      <c r="I42" s="1917"/>
      <c r="J42" s="1904"/>
      <c r="K42" s="1918" t="s">
        <v>675</v>
      </c>
      <c r="L42" s="1919" t="s">
        <v>676</v>
      </c>
      <c r="M42" s="1920" t="s">
        <v>677</v>
      </c>
      <c r="N42" s="1921" t="s">
        <v>678</v>
      </c>
      <c r="O42" s="1922" t="s">
        <v>679</v>
      </c>
      <c r="P42" s="112"/>
      <c r="V42" s="112"/>
    </row>
    <row r="43" spans="1:26" ht="30">
      <c r="A43" s="1855" t="s">
        <v>680</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8091</v>
      </c>
      <c r="M43" s="1925">
        <f>C18</f>
        <v>0.6</v>
      </c>
      <c r="N43" s="1926">
        <f ca="1">IF(N42="测算结果/万元",G19,G20)</f>
        <v>13901</v>
      </c>
      <c r="O43" s="1927">
        <f ca="1">IF(O42="最终结果/万元",C32,C33)</f>
        <v>13901</v>
      </c>
      <c r="P43" s="112"/>
      <c r="V43" s="112"/>
    </row>
    <row r="44" spans="1:26" ht="30">
      <c r="A44" s="3153" t="s">
        <v>681</v>
      </c>
      <c r="B44" s="3154"/>
      <c r="C44" s="1775">
        <f ca="1">C42-C43</f>
        <v>13901</v>
      </c>
      <c r="D44" s="1853">
        <f ca="1">ROUND(C44*10000/'数据-汇总表'!E3,0)</f>
        <v>3799</v>
      </c>
      <c r="E44" s="1853">
        <f ca="1">ROUND(C44*10000/'数据-汇总表'!D3,0)</f>
        <v>8124</v>
      </c>
      <c r="F44" s="1854">
        <f ca="1">ROUND(C44/('数据-汇总表'!D3/666.67),0)</f>
        <v>542</v>
      </c>
      <c r="G44" s="46"/>
      <c r="H44" s="46"/>
      <c r="I44" s="1917"/>
      <c r="J44" s="1904"/>
      <c r="K44" s="1928" t="str">
        <f>D4</f>
        <v>剩余法-待开发</v>
      </c>
      <c r="L44" s="1929">
        <f ca="1">IF(L42="估价结果/万元",D19,D20)</f>
        <v>22616</v>
      </c>
      <c r="M44" s="1930">
        <f>D18</f>
        <v>0.4</v>
      </c>
      <c r="N44" s="1931"/>
      <c r="O44" s="1932"/>
      <c r="P44" s="112"/>
      <c r="V44" s="112"/>
    </row>
    <row r="45" spans="1:26" ht="15">
      <c r="A45" s="3162" t="str">
        <f>IF(项目基本情况!E7="已注销及未注销","4.抵押担保权已注销时的抵押价格","——")</f>
        <v>——</v>
      </c>
      <c r="B45" s="3163"/>
      <c r="C45" s="1857">
        <f ca="1">C32-G34-G35</f>
        <v>13901</v>
      </c>
      <c r="D45" s="1853">
        <f ca="1">ROUND(C45*10000/'数据-汇总表'!E3,0)</f>
        <v>3799</v>
      </c>
      <c r="E45" s="1853">
        <f ca="1">ROUND(C45*10000/'数据-汇总表'!D3,0)</f>
        <v>8124</v>
      </c>
      <c r="F45" s="1854">
        <f ca="1">ROUND(C45/('数据-汇总表'!D3/666.67),0)</f>
        <v>542</v>
      </c>
      <c r="G45" s="46"/>
      <c r="H45" s="46"/>
      <c r="I45" s="1917"/>
      <c r="J45" s="1904"/>
      <c r="P45" s="112"/>
      <c r="V45" s="112"/>
    </row>
    <row r="46" spans="1:26" ht="15">
      <c r="A46" s="3164" t="str">
        <f>IF(项目基本情况!E8="抵押净值",IF(A45="——","4.抵押净值","5.抵押净值"),"——")</f>
        <v>——</v>
      </c>
      <c r="B46" s="3165"/>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682</v>
      </c>
      <c r="B47" s="1860"/>
      <c r="C47" s="1861" t="s">
        <v>683</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684</v>
      </c>
      <c r="G53" s="1873"/>
      <c r="H53" s="1873"/>
      <c r="I53" s="1937" t="s">
        <v>685</v>
      </c>
      <c r="J53" s="1935"/>
      <c r="K53" s="112"/>
      <c r="L53" s="112"/>
      <c r="M53" s="112"/>
      <c r="N53" s="112"/>
      <c r="O53" s="112"/>
      <c r="P53" s="112"/>
      <c r="Q53" s="112"/>
      <c r="R53" s="112"/>
      <c r="S53" s="112"/>
      <c r="T53" s="112"/>
      <c r="U53" s="112"/>
      <c r="V53" s="112"/>
    </row>
    <row r="54" spans="1:22" ht="12.75">
      <c r="A54" s="1"/>
      <c r="B54" s="1874" t="s">
        <v>686</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687</v>
      </c>
      <c r="J56" s="1935"/>
      <c r="K56" s="112"/>
      <c r="L56" s="112"/>
      <c r="M56" s="112"/>
      <c r="N56" s="112"/>
      <c r="O56" s="112"/>
      <c r="P56" s="112"/>
      <c r="Q56" s="112"/>
      <c r="R56" s="112"/>
      <c r="S56" s="112"/>
      <c r="T56" s="112"/>
      <c r="U56" s="112"/>
      <c r="V56" s="112"/>
    </row>
    <row r="57" spans="1:22" ht="12.75">
      <c r="A57" s="1"/>
      <c r="B57" s="1874" t="s">
        <v>688</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687</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689</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166" t="s">
        <v>690</v>
      </c>
      <c r="B63" s="3167"/>
      <c r="C63" s="3168"/>
      <c r="D63" s="831">
        <f ca="1">ROUND(C42*F63,0)</f>
        <v>8341</v>
      </c>
      <c r="E63" s="1882" t="s">
        <v>691</v>
      </c>
      <c r="F63" s="1883">
        <v>0.6</v>
      </c>
      <c r="G63" s="1884" t="s">
        <v>692</v>
      </c>
      <c r="H63" s="46"/>
      <c r="I63" s="46"/>
      <c r="J63" s="112"/>
      <c r="K63" s="112"/>
      <c r="L63" s="112"/>
      <c r="M63" s="112"/>
      <c r="N63" s="112"/>
      <c r="O63" s="112"/>
      <c r="P63" s="46"/>
      <c r="Q63" s="112"/>
      <c r="R63" s="112"/>
      <c r="S63" s="112"/>
      <c r="T63" s="112"/>
      <c r="U63" s="112"/>
      <c r="V63" s="112"/>
    </row>
    <row r="64" spans="1:22" ht="14.25" customHeight="1">
      <c r="A64" s="3169" t="s">
        <v>693</v>
      </c>
      <c r="B64" s="3170"/>
      <c r="C64" s="3170"/>
      <c r="D64" s="3170"/>
      <c r="E64" s="3170"/>
      <c r="F64" s="3170"/>
      <c r="G64" s="3171"/>
      <c r="H64" s="1885"/>
      <c r="I64" s="47"/>
      <c r="J64" s="48"/>
      <c r="K64" s="1939" t="s">
        <v>694</v>
      </c>
      <c r="L64" s="1940"/>
      <c r="M64" s="1940"/>
      <c r="N64" s="1940"/>
      <c r="O64" s="1940"/>
      <c r="Q64" s="112"/>
      <c r="R64" s="112"/>
      <c r="S64" s="112"/>
      <c r="T64" s="112"/>
      <c r="U64" s="112"/>
      <c r="V64" s="112"/>
    </row>
    <row r="65" spans="1:22" ht="12" customHeight="1">
      <c r="A65" s="1941" t="s">
        <v>695</v>
      </c>
      <c r="B65" s="1942"/>
      <c r="C65" s="1943"/>
      <c r="D65" s="1944" t="s">
        <v>696</v>
      </c>
      <c r="E65" s="52" t="s">
        <v>697</v>
      </c>
      <c r="F65" s="975" t="s">
        <v>698</v>
      </c>
      <c r="G65" s="1945" t="s">
        <v>699</v>
      </c>
      <c r="H65" s="1885"/>
      <c r="I65" s="47"/>
      <c r="J65" s="48"/>
      <c r="K65" s="2040"/>
      <c r="L65" s="2041"/>
      <c r="M65" s="2041"/>
      <c r="N65" s="2042" t="s">
        <v>700</v>
      </c>
      <c r="O65" s="2043"/>
      <c r="P65" s="2044"/>
      <c r="Q65" s="112"/>
      <c r="R65" s="112"/>
      <c r="S65" s="112"/>
      <c r="T65" s="112"/>
      <c r="U65" s="112"/>
      <c r="V65" s="112"/>
    </row>
    <row r="66" spans="1:22" ht="25.5">
      <c r="A66" s="3172" t="s">
        <v>701</v>
      </c>
      <c r="B66" s="3173"/>
      <c r="C66" s="3173"/>
      <c r="D66" s="805">
        <f ca="1">IF(H66="情况1",0,IF(H66="情况2",D70,IF(H66="情况3",D71,IF(H66="情况4",D72))))</f>
        <v>445</v>
      </c>
      <c r="E66" s="826" t="str">
        <f>IF(H66="情况4","(销售额-原购置价)×税（费）率","销售额×税（费）率")</f>
        <v>销售额×税（费）率</v>
      </c>
      <c r="F66" s="1946">
        <f>IF(H66="情况1","免征",'数据-取费表'!B41)</f>
        <v>5.6000000000000001E-2</v>
      </c>
      <c r="G66" s="1947" t="s">
        <v>702</v>
      </c>
      <c r="H66" s="1948" t="s">
        <v>703</v>
      </c>
      <c r="I66" s="1885"/>
      <c r="J66" s="2045"/>
      <c r="K66" s="2046">
        <v>1</v>
      </c>
      <c r="L66" s="3178" t="s">
        <v>704</v>
      </c>
      <c r="M66" s="3205"/>
      <c r="N66" s="2048"/>
      <c r="O66" s="2049"/>
      <c r="P66" s="2050"/>
      <c r="Q66" s="112"/>
      <c r="R66" s="112"/>
      <c r="S66" s="112"/>
      <c r="T66" s="112"/>
      <c r="U66" s="112"/>
      <c r="V66" s="112"/>
    </row>
    <row r="67" spans="1:22" ht="25.5" customHeight="1">
      <c r="A67" s="1949" t="s">
        <v>705</v>
      </c>
      <c r="B67" s="3174" t="s">
        <v>706</v>
      </c>
      <c r="C67" s="3174"/>
      <c r="D67" s="1950">
        <v>0</v>
      </c>
      <c r="E67" s="1951" t="s">
        <v>707</v>
      </c>
      <c r="F67" s="1952" t="s">
        <v>67</v>
      </c>
      <c r="G67" s="3179"/>
      <c r="H67" s="46"/>
      <c r="I67" s="2051"/>
      <c r="J67" s="2052"/>
      <c r="K67" s="2053">
        <v>2</v>
      </c>
      <c r="L67" s="3182" t="s">
        <v>708</v>
      </c>
      <c r="M67" s="3182"/>
      <c r="N67" s="2054">
        <f>'数据-取费表'!B2</f>
        <v>43041</v>
      </c>
      <c r="O67" s="2054"/>
      <c r="P67" s="2054"/>
      <c r="Q67" s="112"/>
      <c r="R67" s="112"/>
      <c r="S67" s="112"/>
      <c r="T67" s="112"/>
      <c r="U67" s="112"/>
      <c r="V67" s="112"/>
    </row>
    <row r="68" spans="1:22" ht="25.5" customHeight="1">
      <c r="A68" s="1954"/>
      <c r="B68" s="3174" t="s">
        <v>709</v>
      </c>
      <c r="C68" s="3174"/>
      <c r="D68" s="1955"/>
      <c r="E68" s="1956"/>
      <c r="F68" s="1957"/>
      <c r="G68" s="3180"/>
      <c r="H68" s="46"/>
      <c r="I68" s="2051"/>
      <c r="J68" s="2052"/>
      <c r="K68" s="2053">
        <v>3</v>
      </c>
      <c r="L68" s="3182" t="s">
        <v>710</v>
      </c>
      <c r="M68" s="3182"/>
      <c r="N68" s="2055">
        <f ca="1">C42</f>
        <v>13901</v>
      </c>
      <c r="O68" s="2055"/>
      <c r="P68" s="2055"/>
      <c r="Q68" s="112"/>
      <c r="R68" s="112"/>
      <c r="S68" s="112"/>
      <c r="T68" s="112"/>
      <c r="U68" s="112"/>
      <c r="V68" s="112"/>
    </row>
    <row r="69" spans="1:22" ht="12" customHeight="1">
      <c r="A69" s="1958"/>
      <c r="B69" s="3174" t="s">
        <v>711</v>
      </c>
      <c r="C69" s="3174"/>
      <c r="D69" s="1959"/>
      <c r="E69" s="1960"/>
      <c r="F69" s="1957"/>
      <c r="G69" s="3181"/>
      <c r="H69" s="46"/>
      <c r="I69" s="2051"/>
      <c r="J69" s="2052"/>
      <c r="K69" s="2056">
        <v>4</v>
      </c>
      <c r="L69" s="3175" t="s">
        <v>712</v>
      </c>
      <c r="M69" s="3175"/>
      <c r="N69" s="2057">
        <f ca="1">C44</f>
        <v>13901</v>
      </c>
      <c r="O69" s="2057"/>
      <c r="P69" s="2057"/>
      <c r="Q69" s="112"/>
      <c r="R69" s="112"/>
      <c r="S69" s="112"/>
      <c r="T69" s="112"/>
      <c r="U69" s="112"/>
      <c r="V69" s="112"/>
    </row>
    <row r="70" spans="1:22" ht="24" customHeight="1">
      <c r="A70" s="1962" t="s">
        <v>713</v>
      </c>
      <c r="B70" s="3174" t="s">
        <v>714</v>
      </c>
      <c r="C70" s="3174"/>
      <c r="D70" s="1959">
        <f ca="1">ROUND(D63*'数据-取费表'!B41/(1+'数据-取费表'!B42),0)</f>
        <v>445</v>
      </c>
      <c r="E70" s="55" t="s">
        <v>715</v>
      </c>
      <c r="F70" s="1963">
        <f>'数据-取费表'!B41</f>
        <v>5.6000000000000001E-2</v>
      </c>
      <c r="G70" s="1964"/>
      <c r="H70" s="46"/>
      <c r="I70" s="2051"/>
      <c r="J70" s="2052"/>
      <c r="K70" s="2040"/>
      <c r="L70" s="2041"/>
      <c r="M70" s="2041"/>
      <c r="N70" s="2058" t="s">
        <v>693</v>
      </c>
      <c r="O70" s="2041"/>
      <c r="P70" s="2059"/>
      <c r="Q70" s="112"/>
      <c r="R70" s="112"/>
      <c r="S70" s="112"/>
      <c r="T70" s="112"/>
      <c r="U70" s="112"/>
      <c r="V70" s="112"/>
    </row>
    <row r="71" spans="1:22" ht="12" customHeight="1">
      <c r="A71" s="1962" t="s">
        <v>716</v>
      </c>
      <c r="B71" s="3176" t="s">
        <v>717</v>
      </c>
      <c r="C71" s="3177"/>
      <c r="D71" s="1959">
        <f ca="1">ROUND(D63*'数据-取费表'!B41/(1+'数据-取费表'!B42),0)</f>
        <v>445</v>
      </c>
      <c r="E71" s="55" t="s">
        <v>715</v>
      </c>
      <c r="F71" s="1963">
        <f>'数据-取费表'!B41</f>
        <v>5.6000000000000001E-2</v>
      </c>
      <c r="G71" s="1964"/>
      <c r="H71" s="46"/>
      <c r="I71" s="2051"/>
      <c r="J71" s="2052"/>
      <c r="K71" s="2047" t="s">
        <v>718</v>
      </c>
      <c r="L71" s="3178" t="s">
        <v>695</v>
      </c>
      <c r="M71" s="3178"/>
      <c r="N71" s="2047" t="s">
        <v>719</v>
      </c>
      <c r="O71" s="2047" t="s">
        <v>720</v>
      </c>
      <c r="P71" s="2047" t="s">
        <v>698</v>
      </c>
      <c r="Q71" s="112"/>
      <c r="R71" s="112"/>
      <c r="S71" s="112"/>
      <c r="T71" s="112"/>
      <c r="U71" s="112"/>
      <c r="V71" s="112"/>
    </row>
    <row r="72" spans="1:22" ht="12" customHeight="1">
      <c r="A72" s="1962" t="s">
        <v>721</v>
      </c>
      <c r="B72" s="3176" t="s">
        <v>722</v>
      </c>
      <c r="C72" s="3177"/>
      <c r="D72" s="1959">
        <f ca="1">C86</f>
        <v>333</v>
      </c>
      <c r="E72" s="1960" t="s">
        <v>723</v>
      </c>
      <c r="F72" s="1963">
        <f>'数据-取费表'!B41</f>
        <v>5.6000000000000001E-2</v>
      </c>
      <c r="G72" s="1964"/>
      <c r="H72" s="1965"/>
      <c r="I72" s="2051"/>
      <c r="J72" s="2052"/>
      <c r="K72" s="2053">
        <v>1</v>
      </c>
      <c r="L72" s="3183" t="s">
        <v>724</v>
      </c>
      <c r="M72" s="3183"/>
      <c r="N72" s="2060">
        <f ca="1">D66</f>
        <v>445</v>
      </c>
      <c r="O72" s="2053" t="str">
        <f>E66</f>
        <v>销售额×税（费）率</v>
      </c>
      <c r="P72" s="2061">
        <f>F66</f>
        <v>5.6000000000000001E-2</v>
      </c>
      <c r="Q72" s="112"/>
      <c r="R72" s="112"/>
      <c r="S72" s="112"/>
      <c r="T72" s="112"/>
      <c r="U72" s="112"/>
      <c r="V72" s="112"/>
    </row>
    <row r="73" spans="1:22" ht="24" customHeight="1">
      <c r="A73" s="3184" t="s">
        <v>725</v>
      </c>
      <c r="B73" s="3173"/>
      <c r="C73" s="3173"/>
      <c r="D73" s="1966">
        <f>IF(H73="个人住宅",0,ROUND(D63*I73,0))</f>
        <v>0</v>
      </c>
      <c r="E73" s="55" t="s">
        <v>726</v>
      </c>
      <c r="F73" s="1963" t="str">
        <f>IF(H73="正常",I73,"免征")</f>
        <v>免征</v>
      </c>
      <c r="G73" s="1964"/>
      <c r="H73" s="1948" t="s">
        <v>727</v>
      </c>
      <c r="I73" s="1963">
        <f>'数据-取费表'!B49</f>
        <v>5.0000000000000001E-4</v>
      </c>
      <c r="J73" s="2052"/>
      <c r="K73" s="2053">
        <v>2</v>
      </c>
      <c r="L73" s="3183" t="s">
        <v>728</v>
      </c>
      <c r="M73" s="3183"/>
      <c r="N73" s="2060">
        <f t="shared" ref="N73:P74" si="0">D73</f>
        <v>0</v>
      </c>
      <c r="O73" s="2053" t="str">
        <f t="shared" si="0"/>
        <v>销售额×税（费）率</v>
      </c>
      <c r="P73" s="2061" t="str">
        <f t="shared" si="0"/>
        <v>免征</v>
      </c>
      <c r="Q73" s="112"/>
      <c r="R73" s="112"/>
      <c r="S73" s="112"/>
      <c r="T73" s="112"/>
      <c r="U73" s="112"/>
      <c r="V73" s="112"/>
    </row>
    <row r="74" spans="1:22" ht="25.5">
      <c r="A74" s="3184" t="s">
        <v>729</v>
      </c>
      <c r="B74" s="3173"/>
      <c r="C74" s="3173"/>
      <c r="D74" s="1966">
        <f ca="1">IF(H74="个人住宅",D75,D76)</f>
        <v>4065</v>
      </c>
      <c r="E74" s="55" t="s">
        <v>730</v>
      </c>
      <c r="F74" s="1963" t="str">
        <f>IF(H74="正常",F76,"免征")</f>
        <v>——</v>
      </c>
      <c r="G74" s="1967" t="s">
        <v>702</v>
      </c>
      <c r="H74" s="1968" t="s">
        <v>731</v>
      </c>
      <c r="I74" s="1970"/>
      <c r="J74" s="2052"/>
      <c r="K74" s="2053">
        <v>3</v>
      </c>
      <c r="L74" s="3183" t="s">
        <v>732</v>
      </c>
      <c r="M74" s="3183"/>
      <c r="N74" s="2060">
        <f t="shared" ca="1" si="0"/>
        <v>4065</v>
      </c>
      <c r="O74" s="2053" t="str">
        <f t="shared" si="0"/>
        <v>增值额×税（费）率</v>
      </c>
      <c r="P74" s="2062" t="str">
        <f t="shared" si="0"/>
        <v>——</v>
      </c>
      <c r="Q74" s="112"/>
      <c r="R74" s="112"/>
      <c r="S74" s="112"/>
      <c r="T74" s="112"/>
      <c r="U74" s="112"/>
      <c r="V74" s="112"/>
    </row>
    <row r="75" spans="1:22" ht="25.5">
      <c r="A75" s="1962" t="s">
        <v>705</v>
      </c>
      <c r="B75" s="3150" t="s">
        <v>733</v>
      </c>
      <c r="C75" s="3152"/>
      <c r="D75" s="1969">
        <v>0</v>
      </c>
      <c r="E75" s="1951" t="s">
        <v>707</v>
      </c>
      <c r="F75" s="10"/>
      <c r="G75" s="1964"/>
      <c r="H75" s="1970"/>
      <c r="I75" s="1970"/>
      <c r="J75" s="2052"/>
      <c r="K75" s="2053">
        <f>IF(H77="非个人房产","",4)</f>
        <v>4</v>
      </c>
      <c r="L75" s="3183" t="str">
        <f>IF(H77="非个人房产","——","个人所得税")</f>
        <v>个人所得税</v>
      </c>
      <c r="M75" s="3183"/>
      <c r="N75" s="2063">
        <f>D77</f>
        <v>0</v>
      </c>
      <c r="O75" s="2056" t="str">
        <f>E77</f>
        <v>销售额×税（费）率</v>
      </c>
      <c r="P75" s="2064" t="str">
        <f>F77</f>
        <v>免征</v>
      </c>
      <c r="Q75" s="112"/>
      <c r="R75" s="112"/>
      <c r="S75" s="112"/>
      <c r="T75" s="112"/>
      <c r="U75" s="112"/>
      <c r="V75" s="112"/>
    </row>
    <row r="76" spans="1:22" ht="24.75">
      <c r="A76" s="1962" t="s">
        <v>713</v>
      </c>
      <c r="B76" s="3150" t="s">
        <v>734</v>
      </c>
      <c r="C76" s="3151"/>
      <c r="D76" s="1966">
        <f ca="1">IF(H76="转让取得",C99,C115)</f>
        <v>4065</v>
      </c>
      <c r="E76" s="55" t="s">
        <v>730</v>
      </c>
      <c r="F76" s="52" t="s">
        <v>67</v>
      </c>
      <c r="G76" s="1964"/>
      <c r="H76" s="1968" t="s">
        <v>735</v>
      </c>
      <c r="I76" s="1970"/>
      <c r="J76" s="2052"/>
      <c r="K76" s="3183">
        <f>IF(H77="非个人房产",4,5)</f>
        <v>5</v>
      </c>
      <c r="L76" s="3183" t="s">
        <v>388</v>
      </c>
      <c r="M76" s="2065" t="s">
        <v>736</v>
      </c>
      <c r="N76" s="2066"/>
      <c r="O76" s="2067">
        <f ca="1">SUMIF(N72:N75,"&lt;9e307")</f>
        <v>4510</v>
      </c>
      <c r="P76" s="2068"/>
      <c r="Q76" s="112"/>
      <c r="R76" s="112"/>
      <c r="S76" s="112"/>
      <c r="T76" s="112"/>
      <c r="U76" s="112"/>
      <c r="V76" s="112"/>
    </row>
    <row r="77" spans="1:22" ht="25.5">
      <c r="A77" s="3185" t="s">
        <v>737</v>
      </c>
      <c r="B77" s="3186"/>
      <c r="C77" s="3186"/>
      <c r="D77" s="1971">
        <f>IF(H77="非个人房产","——",IF(H77="个人住宅",0,ROUND(D63*I77,0)))</f>
        <v>0</v>
      </c>
      <c r="E77" s="1972" t="str">
        <f>IF(H77="非个人房产","——","销售额×税（费）率")</f>
        <v>销售额×税（费）率</v>
      </c>
      <c r="F77" s="1973" t="str">
        <f>IF(H77="非个人房产","——",IF(H77="个人住宅","免征",I77))</f>
        <v>免征</v>
      </c>
      <c r="G77" s="1974" t="s">
        <v>702</v>
      </c>
      <c r="H77" s="1968" t="s">
        <v>733</v>
      </c>
      <c r="I77" s="2069">
        <v>0.01</v>
      </c>
      <c r="J77" s="2052"/>
      <c r="K77" s="3183"/>
      <c r="L77" s="3183"/>
      <c r="M77" s="2065" t="s">
        <v>738</v>
      </c>
      <c r="N77" s="2066"/>
      <c r="O77" s="2067" t="str">
        <f ca="1">NUMBERSTRING(INT(O76*10000),2)&amp;"元整"</f>
        <v>肆仟伍佰壹拾万元整</v>
      </c>
      <c r="P77" s="2068"/>
      <c r="Q77" s="112"/>
      <c r="R77" s="112"/>
      <c r="S77" s="112"/>
      <c r="T77" s="112"/>
      <c r="U77" s="112"/>
      <c r="V77" s="112"/>
    </row>
    <row r="78" spans="1:22" ht="12" customHeight="1">
      <c r="A78" s="1975"/>
      <c r="B78" s="46"/>
      <c r="C78" s="46"/>
      <c r="D78" s="46"/>
      <c r="E78" s="1970"/>
      <c r="F78" s="1970"/>
      <c r="G78" s="1970"/>
      <c r="H78" s="1976"/>
      <c r="I78" s="46"/>
      <c r="J78" s="2052"/>
      <c r="K78" s="3183">
        <f>IF(H77="非个人房产",5,6)</f>
        <v>6</v>
      </c>
      <c r="L78" s="3183" t="s">
        <v>739</v>
      </c>
      <c r="M78" s="2065" t="s">
        <v>736</v>
      </c>
      <c r="N78" s="2066"/>
      <c r="O78" s="2067">
        <f ca="1">N69-O76</f>
        <v>9391</v>
      </c>
      <c r="P78" s="2068"/>
      <c r="Q78" s="112"/>
      <c r="R78" s="112"/>
      <c r="S78" s="112"/>
      <c r="T78" s="112"/>
      <c r="U78" s="112"/>
      <c r="V78" s="112"/>
    </row>
    <row r="79" spans="1:22" ht="12.75">
      <c r="A79" s="3187" t="s">
        <v>740</v>
      </c>
      <c r="B79" s="3187"/>
      <c r="C79" s="3187"/>
      <c r="D79" s="3187"/>
      <c r="E79" s="3187"/>
      <c r="F79" s="1970"/>
      <c r="G79" s="1970"/>
      <c r="H79" s="1976"/>
      <c r="I79" s="46"/>
      <c r="J79" s="2052"/>
      <c r="K79" s="3183"/>
      <c r="L79" s="3183"/>
      <c r="M79" s="2065" t="s">
        <v>738</v>
      </c>
      <c r="N79" s="2066"/>
      <c r="O79" s="2067" t="str">
        <f ca="1">NUMBERSTRING(INT(O78*10000),2)&amp;"元整"</f>
        <v>玖仟叁佰玖拾壹万元整</v>
      </c>
      <c r="P79" s="2068"/>
      <c r="Q79" s="112"/>
      <c r="R79" s="112"/>
      <c r="S79" s="112"/>
      <c r="T79" s="112"/>
      <c r="U79" s="112"/>
      <c r="V79" s="112"/>
    </row>
    <row r="80" spans="1:22" ht="12.75">
      <c r="A80" s="3188" t="s">
        <v>741</v>
      </c>
      <c r="B80" s="3189"/>
      <c r="C80" s="1977"/>
      <c r="D80" s="1977" t="s">
        <v>742</v>
      </c>
      <c r="E80" s="1978" t="s">
        <v>699</v>
      </c>
      <c r="F80" s="1970"/>
      <c r="G80" s="1970"/>
      <c r="H80" s="1976"/>
      <c r="I80" s="46"/>
      <c r="J80" s="112"/>
      <c r="K80" s="2070">
        <f>IF(H77="非个人房产",6,7)</f>
        <v>7</v>
      </c>
      <c r="L80" s="3190" t="s">
        <v>743</v>
      </c>
      <c r="M80" s="3191"/>
      <c r="N80" s="2071"/>
      <c r="O80" s="2072">
        <f ca="1">ROUND(O78*10000/'数据-汇总表'!E3,0)</f>
        <v>2566</v>
      </c>
      <c r="P80" s="2073"/>
      <c r="Q80" s="112"/>
      <c r="R80" s="112"/>
      <c r="S80" s="112"/>
      <c r="T80" s="112"/>
      <c r="U80" s="112"/>
      <c r="V80" s="112"/>
    </row>
    <row r="81" spans="1:26" ht="12.75">
      <c r="A81" s="1979" t="s">
        <v>744</v>
      </c>
      <c r="B81" s="1980" t="s">
        <v>745</v>
      </c>
      <c r="C81" s="1981">
        <f ca="1">ROUND((C82+C83)/(1+'数据-取费表'!B42),0)</f>
        <v>7944</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746</v>
      </c>
      <c r="B82" s="1984" t="s">
        <v>747</v>
      </c>
      <c r="C82" s="1985">
        <f ca="1">D63</f>
        <v>8341</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748</v>
      </c>
      <c r="B83" s="1984" t="s">
        <v>749</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750</v>
      </c>
      <c r="B84" s="1988" t="s">
        <v>751</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752</v>
      </c>
      <c r="B85" s="1988" t="s">
        <v>753</v>
      </c>
      <c r="C85" s="1991">
        <f ca="1">C81-C84</f>
        <v>5944</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754</v>
      </c>
      <c r="B86" s="1993" t="s">
        <v>755</v>
      </c>
      <c r="C86" s="1994">
        <f ca="1">IF(C85&lt;=0,0,ROUND(C85*D86,0))</f>
        <v>333</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92" t="s">
        <v>756</v>
      </c>
      <c r="B88" s="3193"/>
      <c r="C88" s="3193"/>
      <c r="D88" s="3193"/>
      <c r="E88" s="3193"/>
      <c r="F88" s="3193"/>
      <c r="G88" s="3193"/>
      <c r="H88" s="3193"/>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88" t="s">
        <v>741</v>
      </c>
      <c r="B89" s="3189"/>
      <c r="C89" s="1977"/>
      <c r="D89" s="1977" t="s">
        <v>742</v>
      </c>
      <c r="E89" s="2001" t="s">
        <v>699</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744</v>
      </c>
      <c r="B90" s="1988" t="s">
        <v>757</v>
      </c>
      <c r="C90" s="1991">
        <f ca="1">ROUND(D63/(1+'数据-取费表'!B42),0)</f>
        <v>7944</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750</v>
      </c>
      <c r="B91" s="975" t="s">
        <v>758</v>
      </c>
      <c r="C91" s="1991">
        <f ca="1">C92+C96</f>
        <v>2609</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746</v>
      </c>
      <c r="B92" s="1984" t="s">
        <v>759</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760</v>
      </c>
      <c r="B93" s="1984" t="s">
        <v>761</v>
      </c>
      <c r="C93" s="2006">
        <v>2000</v>
      </c>
      <c r="D93" s="1410" t="s">
        <v>67</v>
      </c>
      <c r="E93" s="2007" t="s">
        <v>762</v>
      </c>
      <c r="F93" s="2008" t="s">
        <v>763</v>
      </c>
      <c r="G93" s="2007" t="s">
        <v>764</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765</v>
      </c>
      <c r="B94" s="2010" t="s">
        <v>766</v>
      </c>
      <c r="C94" s="1410">
        <f>IF(F93="购房发票",ROUND(C93*H93*5%,0),0)</f>
        <v>500</v>
      </c>
      <c r="D94" s="2011">
        <v>0.05</v>
      </c>
      <c r="E94" s="3176" t="s">
        <v>767</v>
      </c>
      <c r="F94" s="3174"/>
      <c r="G94" s="3174"/>
      <c r="H94" s="3194"/>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768</v>
      </c>
      <c r="B95" s="1984" t="s">
        <v>769</v>
      </c>
      <c r="C95" s="1410">
        <f>ROUND(IF(G95="个人买卖住房",0,IF(G95="2016年5月1日前购买",C93*D95,C93*D95/(1+'数据-取费表'!B42))),0)</f>
        <v>61</v>
      </c>
      <c r="D95" s="1411">
        <f>'数据-取费表'!B48+'数据-取费表'!B49</f>
        <v>3.0499999999999999E-2</v>
      </c>
      <c r="E95" s="875" t="s">
        <v>770</v>
      </c>
      <c r="F95" s="2013"/>
      <c r="G95" s="2014" t="s">
        <v>771</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748</v>
      </c>
      <c r="B96" s="1984" t="s">
        <v>772</v>
      </c>
      <c r="C96" s="2015">
        <f ca="1">ROUND(D63*D96/(1+'数据-取费表'!B42),0)</f>
        <v>48</v>
      </c>
      <c r="D96" s="2016">
        <f>'数据-取费表'!B43</f>
        <v>6.000000000000001E-3</v>
      </c>
      <c r="E96" s="3195" t="s">
        <v>773</v>
      </c>
      <c r="F96" s="3196"/>
      <c r="G96" s="3196"/>
      <c r="H96" s="3197"/>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752</v>
      </c>
      <c r="B97" s="1988" t="s">
        <v>774</v>
      </c>
      <c r="C97" s="1991">
        <f ca="1">C90-C91</f>
        <v>5335</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754</v>
      </c>
      <c r="B98" s="1988" t="s">
        <v>775</v>
      </c>
      <c r="C98" s="2020">
        <f ca="1">IF(C97&lt;=0,0,C97/C91)</f>
        <v>2.0448447681103872</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776</v>
      </c>
      <c r="B99" s="1993" t="s">
        <v>777</v>
      </c>
      <c r="C99" s="2022">
        <f ca="1">ROUND(IF(C97&lt;=0,0,IF(C98&gt;=200%,C97*60%-C91*35%,IF(C98&gt;=100%,C97*50%-C91*15%,IF(C98&gt;=50%,C97*40%-C91*5%,IF(C98&lt;50%,C97*30%,0))))),0)</f>
        <v>2288</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92" t="s">
        <v>778</v>
      </c>
      <c r="B101" s="3193"/>
      <c r="C101" s="3193"/>
      <c r="D101" s="3193"/>
      <c r="E101" s="3193"/>
      <c r="F101" s="3193"/>
      <c r="G101" s="3193"/>
      <c r="H101" s="3193"/>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88" t="s">
        <v>741</v>
      </c>
      <c r="B102" s="3189"/>
      <c r="C102" s="1977"/>
      <c r="D102" s="1977" t="s">
        <v>742</v>
      </c>
      <c r="E102" s="2001" t="s">
        <v>699</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744</v>
      </c>
      <c r="B103" s="1988" t="s">
        <v>757</v>
      </c>
      <c r="C103" s="1991">
        <f ca="1">ROUND(D63/(1+'数据-取费表'!B42),0)</f>
        <v>7944</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750</v>
      </c>
      <c r="B104" s="975" t="s">
        <v>758</v>
      </c>
      <c r="C104" s="1991">
        <f ca="1">IF(H106="仅含出让金",C105+C108+C109+C110+C111+C112,C105+C109+C110+C111+C112)</f>
        <v>738</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746</v>
      </c>
      <c r="B105" s="1984" t="s">
        <v>779</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760</v>
      </c>
      <c r="B106" s="1984" t="s">
        <v>780</v>
      </c>
      <c r="C106" s="2033">
        <v>555</v>
      </c>
      <c r="D106" s="2016"/>
      <c r="E106" s="2034" t="s">
        <v>781</v>
      </c>
      <c r="F106" s="2017"/>
      <c r="G106" s="2035" t="s">
        <v>782</v>
      </c>
      <c r="H106" s="2036" t="s">
        <v>783</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765</v>
      </c>
      <c r="B107" s="1984" t="s">
        <v>769</v>
      </c>
      <c r="C107" s="2015">
        <f>ROUND(C106*D107,0)</f>
        <v>17</v>
      </c>
      <c r="D107" s="2016">
        <f>'数据-取费表'!B48+'数据-取费表'!B49</f>
        <v>3.0499999999999999E-2</v>
      </c>
      <c r="E107" s="2034" t="s">
        <v>784</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748</v>
      </c>
      <c r="B108" s="1984" t="s">
        <v>785</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786</v>
      </c>
      <c r="C109" s="2015">
        <f>IF(H109="——",IF(F1="现房",'剩余法-现房'!C18,'剩余法-待开发'!C18),I109)</f>
        <v>55</v>
      </c>
      <c r="D109" s="2016"/>
      <c r="E109" s="3198" t="s">
        <v>787</v>
      </c>
      <c r="F109" s="3196"/>
      <c r="G109" s="3196"/>
      <c r="H109" s="2038" t="s">
        <v>788</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789</v>
      </c>
      <c r="B110" s="1984" t="s">
        <v>790</v>
      </c>
      <c r="C110" s="2015">
        <f>ROUND((C105+C108+C109)*D110,0)</f>
        <v>63</v>
      </c>
      <c r="D110" s="2016">
        <v>0.1</v>
      </c>
      <c r="E110" s="3198" t="s">
        <v>791</v>
      </c>
      <c r="F110" s="3196"/>
      <c r="G110" s="3196"/>
      <c r="H110" s="3197"/>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792</v>
      </c>
      <c r="B111" s="1984" t="s">
        <v>772</v>
      </c>
      <c r="C111" s="2015">
        <f ca="1">ROUND(D63*D111/(1+'数据-取费表'!B42),0)</f>
        <v>48</v>
      </c>
      <c r="D111" s="2016">
        <f>'数据-取费表'!B43</f>
        <v>6.000000000000001E-3</v>
      </c>
      <c r="E111" s="3195" t="s">
        <v>773</v>
      </c>
      <c r="F111" s="3196"/>
      <c r="G111" s="3196"/>
      <c r="H111" s="3197"/>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793</v>
      </c>
      <c r="B112" s="1984" t="s">
        <v>794</v>
      </c>
      <c r="C112" s="2015">
        <f>ROUND(C108*D112,0)</f>
        <v>0</v>
      </c>
      <c r="D112" s="2016">
        <v>0.2</v>
      </c>
      <c r="E112" s="3198" t="s">
        <v>795</v>
      </c>
      <c r="F112" s="3196"/>
      <c r="G112" s="3196"/>
      <c r="H112" s="3197"/>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752</v>
      </c>
      <c r="B113" s="1988" t="s">
        <v>774</v>
      </c>
      <c r="C113" s="1991">
        <f ca="1">ROUND(C103-C104,0)</f>
        <v>7206</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754</v>
      </c>
      <c r="B114" s="1988" t="s">
        <v>775</v>
      </c>
      <c r="C114" s="2020">
        <f ca="1">IF(C113&lt;=0,0,C113/C104)</f>
        <v>9.7642276422764223</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776</v>
      </c>
      <c r="B115" s="1993" t="s">
        <v>777</v>
      </c>
      <c r="C115" s="2022">
        <f ca="1">ROUND(IF(C113&lt;=0,0,IF(C114&gt;=200%,C113*60%-C104*35%,IF(C114&gt;=100%,C113*50%-C104*15%,IF(C114&gt;=50%,C113*40%-C104*5%,IF(C114&lt;50%,C113*30%,0))))),0)</f>
        <v>4065</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796</v>
      </c>
      <c r="B1" s="1649"/>
      <c r="C1" s="1650"/>
      <c r="D1" s="1650"/>
      <c r="E1" s="1650"/>
      <c r="F1" s="1650"/>
      <c r="G1" s="1650"/>
      <c r="H1" s="1650"/>
      <c r="I1" s="1650"/>
      <c r="J1" s="1650"/>
      <c r="K1" s="1650"/>
    </row>
    <row r="2" spans="1:41" s="85" customFormat="1" ht="18" customHeight="1">
      <c r="A2" s="137" t="s">
        <v>797</v>
      </c>
      <c r="B2" s="1651">
        <f>C32</f>
        <v>65746.790556363048</v>
      </c>
      <c r="C2" s="1650"/>
      <c r="D2" s="1650"/>
      <c r="E2" s="1650"/>
      <c r="F2" s="1650"/>
      <c r="G2" s="1650"/>
      <c r="H2" s="1650"/>
      <c r="I2" s="1650"/>
      <c r="J2" s="1650"/>
      <c r="K2" s="1650"/>
    </row>
    <row r="3" spans="1:41" s="85" customFormat="1" ht="18" customHeight="1">
      <c r="A3" s="651" t="s">
        <v>798</v>
      </c>
      <c r="B3" s="650">
        <f>ROUND(B2*10000/'数据-汇总表'!E3,0)</f>
        <v>17966</v>
      </c>
      <c r="C3" s="1650"/>
      <c r="D3" s="1650"/>
      <c r="E3" s="1650"/>
      <c r="F3" s="1650"/>
      <c r="G3" s="1650"/>
      <c r="H3" s="1650"/>
      <c r="I3" s="1650"/>
      <c r="J3" s="1650"/>
      <c r="K3" s="1650"/>
    </row>
    <row r="4" spans="1:41" s="85" customFormat="1" ht="18" customHeight="1">
      <c r="A4" s="652" t="s">
        <v>799</v>
      </c>
      <c r="B4" s="653">
        <f>ROUND(B2*10000/'数据-汇总表'!D3,0)</f>
        <v>38424</v>
      </c>
      <c r="C4" s="502"/>
      <c r="D4" s="1650"/>
      <c r="E4" s="1650"/>
      <c r="F4" s="1650"/>
      <c r="G4" s="1650"/>
      <c r="H4" s="1650"/>
      <c r="I4" s="1650"/>
      <c r="J4" s="1650"/>
      <c r="K4" s="1650"/>
    </row>
    <row r="5" spans="1:41" s="85" customFormat="1" ht="18" customHeight="1">
      <c r="A5" s="654"/>
      <c r="B5" s="655">
        <f>ROUND(B2/('数据-汇总表'!D3/666.67),0)</f>
        <v>2562</v>
      </c>
      <c r="C5" s="656" t="s">
        <v>800</v>
      </c>
      <c r="D5" s="1650"/>
      <c r="E5" s="1650"/>
      <c r="F5" s="1650"/>
      <c r="G5" s="1650"/>
      <c r="H5" s="1650"/>
      <c r="I5" s="1650"/>
      <c r="J5" s="1650"/>
      <c r="K5" s="1650"/>
    </row>
    <row r="6" spans="1:41" s="1637" customFormat="1" ht="16.5" customHeight="1">
      <c r="A6" s="1652" t="s">
        <v>801</v>
      </c>
      <c r="B6" s="1653"/>
      <c r="C6" s="1654">
        <f>SUM(C10:K10)</f>
        <v>100000</v>
      </c>
      <c r="D6" s="1655"/>
      <c r="E6" s="1655"/>
      <c r="F6" s="1655"/>
      <c r="G6" s="1655"/>
      <c r="H6" s="1655"/>
      <c r="I6" s="1655"/>
      <c r="J6" s="1655"/>
      <c r="K6" s="1736"/>
    </row>
    <row r="7" spans="1:41" s="1638" customFormat="1" ht="15">
      <c r="A7" s="1656" t="s">
        <v>802</v>
      </c>
      <c r="B7" s="1657" t="s">
        <v>803</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746</v>
      </c>
      <c r="B8" s="1660" t="s">
        <v>804</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748</v>
      </c>
      <c r="B9" s="1660" t="s">
        <v>372</v>
      </c>
      <c r="C9" s="1662">
        <f>SUMIF('数据-汇总表'!$C19:$C33,'剩余法-现房'!C7,'数据-汇总表'!$E19:$E33)</f>
        <v>21576.35</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805</v>
      </c>
      <c r="B10" s="1664" t="s">
        <v>806</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865</v>
      </c>
      <c r="B11" s="1668"/>
      <c r="C11" s="1668"/>
      <c r="D11" s="1668"/>
      <c r="E11" s="1668"/>
      <c r="F11" s="1668"/>
      <c r="G11" s="1668"/>
      <c r="H11" s="1668"/>
      <c r="I11" s="1668"/>
      <c r="J11" s="1668"/>
      <c r="K11" s="1742"/>
    </row>
    <row r="12" spans="1:41" s="855" customFormat="1" ht="13.5" customHeight="1">
      <c r="A12" s="1656" t="s">
        <v>802</v>
      </c>
      <c r="B12" s="1669" t="s">
        <v>803</v>
      </c>
      <c r="C12" s="1670" t="s">
        <v>808</v>
      </c>
      <c r="D12" s="1671" t="s">
        <v>809</v>
      </c>
      <c r="E12" s="1671" t="s">
        <v>810</v>
      </c>
      <c r="F12" s="1671" t="s">
        <v>811</v>
      </c>
      <c r="G12" s="1669"/>
      <c r="H12" s="1672"/>
      <c r="I12" s="1672"/>
      <c r="J12" s="1672"/>
      <c r="K12" s="1743"/>
    </row>
    <row r="13" spans="1:41" s="1640" customFormat="1" ht="13.5" customHeight="1">
      <c r="A13" s="1673" t="s">
        <v>760</v>
      </c>
      <c r="B13" s="1674" t="s">
        <v>812</v>
      </c>
      <c r="C13" s="1675">
        <f>'数据-取费表'!M16-SUMIF('数据-取费表'!C:C,"公共配套",'数据-取费表'!M:M)</f>
        <v>12614</v>
      </c>
      <c r="D13" s="1676"/>
      <c r="E13" s="10"/>
      <c r="F13" s="1677"/>
      <c r="G13" s="1669"/>
      <c r="H13" s="1672"/>
      <c r="I13" s="1672"/>
      <c r="J13" s="1672"/>
      <c r="K13" s="1743"/>
    </row>
    <row r="14" spans="1:41" s="1640" customFormat="1" ht="13.5" customHeight="1">
      <c r="A14" s="1673" t="s">
        <v>813</v>
      </c>
      <c r="B14" s="1674" t="s">
        <v>814</v>
      </c>
      <c r="C14" s="52">
        <f>ROUND(C13*F14,0)</f>
        <v>378</v>
      </c>
      <c r="D14" s="1676"/>
      <c r="E14" s="10"/>
      <c r="F14" s="1678">
        <f>'数据-取费表'!B33</f>
        <v>0.03</v>
      </c>
      <c r="G14" s="1669" t="s">
        <v>815</v>
      </c>
      <c r="H14" s="1672"/>
      <c r="I14" s="1672"/>
      <c r="J14" s="1672"/>
      <c r="K14" s="1743"/>
    </row>
    <row r="15" spans="1:41" s="1640" customFormat="1" ht="13.5" customHeight="1">
      <c r="A15" s="1673" t="s">
        <v>816</v>
      </c>
      <c r="B15" s="1674" t="s">
        <v>817</v>
      </c>
      <c r="C15" s="52">
        <f>ROUND(IF(SUMIF('数据-取费表'!C:C,"住宅",'数据-取费表'!M:M)=0,0,IF(F15=0,SUMIF('数据-取费表'!C:C,"公共配套",'数据-取费表'!M:M),SUMIF('数据-取费表'!C:C,"住宅",'数据-取费表'!M:M)*F15)),0)</f>
        <v>453</v>
      </c>
      <c r="D15" s="1676"/>
      <c r="E15" s="10"/>
      <c r="F15" s="1678">
        <f>'数据-取费表'!B34</f>
        <v>0.05</v>
      </c>
      <c r="G15" s="1669" t="s">
        <v>815</v>
      </c>
      <c r="H15" s="1672"/>
      <c r="I15" s="1672"/>
      <c r="J15" s="1672"/>
      <c r="K15" s="1743"/>
    </row>
    <row r="16" spans="1:41" s="1641" customFormat="1" ht="13.5" customHeight="1">
      <c r="A16" s="1673" t="s">
        <v>819</v>
      </c>
      <c r="B16" s="1674" t="s">
        <v>820</v>
      </c>
      <c r="C16" s="52">
        <f>ROUND(D16*E16/10000,0)</f>
        <v>732</v>
      </c>
      <c r="D16" s="1676">
        <f>'数据-汇总表'!E3</f>
        <v>36595.409999999996</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821</v>
      </c>
      <c r="B17" s="1674" t="s">
        <v>822</v>
      </c>
      <c r="C17" s="1680">
        <f>ROUND(C13*F17,0)</f>
        <v>189</v>
      </c>
      <c r="D17" s="1681"/>
      <c r="E17" s="1680"/>
      <c r="F17" s="1682">
        <f>'数据-取费表'!B36</f>
        <v>1.4999999999999999E-2</v>
      </c>
      <c r="G17" s="1669" t="s">
        <v>815</v>
      </c>
      <c r="H17" s="1683"/>
      <c r="I17" s="1683"/>
      <c r="J17" s="1683"/>
      <c r="K17" s="1744"/>
    </row>
    <row r="18" spans="1:14" s="1642" customFormat="1" ht="13.5" customHeight="1">
      <c r="A18" s="1684" t="s">
        <v>824</v>
      </c>
      <c r="B18" s="1685" t="s">
        <v>825</v>
      </c>
      <c r="C18" s="1686">
        <f>SUM(C13:C17)</f>
        <v>14366</v>
      </c>
      <c r="D18" s="1687"/>
      <c r="E18" s="1688"/>
      <c r="F18" s="1688"/>
      <c r="G18" s="1689" t="s">
        <v>866</v>
      </c>
      <c r="H18" s="1672"/>
      <c r="I18" s="1672"/>
      <c r="J18" s="1672"/>
      <c r="K18" s="1743"/>
    </row>
    <row r="19" spans="1:14" s="1642" customFormat="1" ht="13.5" customHeight="1">
      <c r="A19" s="1684" t="s">
        <v>827</v>
      </c>
      <c r="B19" s="1685" t="s">
        <v>836</v>
      </c>
      <c r="C19" s="1686">
        <f>ROUND(C18*F19,0)</f>
        <v>215</v>
      </c>
      <c r="D19" s="1688"/>
      <c r="E19" s="1688"/>
      <c r="F19" s="1690">
        <f>'数据-取费表'!B37</f>
        <v>1.4999999999999999E-2</v>
      </c>
      <c r="G19" s="1669" t="s">
        <v>867</v>
      </c>
      <c r="H19" s="1672"/>
      <c r="I19" s="1672"/>
      <c r="J19" s="1672"/>
      <c r="K19" s="1743"/>
      <c r="L19" s="1643"/>
      <c r="M19" s="1643"/>
      <c r="N19" s="1643"/>
    </row>
    <row r="20" spans="1:14" s="1642" customFormat="1" ht="13.5" customHeight="1">
      <c r="A20" s="1684" t="s">
        <v>830</v>
      </c>
      <c r="B20" s="1685" t="s">
        <v>868</v>
      </c>
      <c r="C20" s="1691">
        <f>F20</f>
        <v>2.5000000000000001E-2</v>
      </c>
      <c r="D20" s="1692" t="s">
        <v>869</v>
      </c>
      <c r="E20" s="1692"/>
      <c r="F20" s="1693">
        <f>'数据-取费表'!B38</f>
        <v>2.5000000000000001E-2</v>
      </c>
      <c r="G20" s="1689" t="s">
        <v>870</v>
      </c>
      <c r="H20" s="1672"/>
      <c r="I20" s="1672"/>
      <c r="J20" s="1672"/>
      <c r="K20" s="1743"/>
      <c r="L20" s="1643"/>
      <c r="M20" s="1643"/>
      <c r="N20" s="1643"/>
    </row>
    <row r="21" spans="1:14" s="1643" customFormat="1" ht="13.5" customHeight="1">
      <c r="A21" s="1684" t="s">
        <v>835</v>
      </c>
      <c r="B21" s="1687" t="s">
        <v>843</v>
      </c>
      <c r="C21" s="1694">
        <f>C22</f>
        <v>693</v>
      </c>
      <c r="D21" s="1695">
        <f>C23</f>
        <v>1.1999999999999999E-3</v>
      </c>
      <c r="E21" s="1692" t="s">
        <v>871</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872</v>
      </c>
    </row>
    <row r="22" spans="1:14" s="1644" customFormat="1" ht="13.5" customHeight="1">
      <c r="A22" s="1673" t="s">
        <v>760</v>
      </c>
      <c r="B22" s="1697" t="s">
        <v>873</v>
      </c>
      <c r="C22" s="1698">
        <f>ROUND(IF('数据-取费表'!B22&lt;=1,(C18+C19)*F21*'数据-取费表'!B20/2,(C18+C19)*(POWER((1+F21),'数据-取费表'!B20/2)-1)),0)</f>
        <v>693</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813</v>
      </c>
      <c r="B23" s="1697" t="s">
        <v>874</v>
      </c>
      <c r="C23" s="1703">
        <f>ROUND(IF('数据-取费表'!B22&lt;=1,F20*F21*'数据-取费表'!B20/2,F20*(POWER((1+F21),'数据-取费表'!B20/2)-1)),4)</f>
        <v>1.1999999999999999E-3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838</v>
      </c>
      <c r="B24" s="1704" t="s">
        <v>857</v>
      </c>
      <c r="C24" s="1705">
        <f>C25</f>
        <v>4374</v>
      </c>
      <c r="D24" s="1706">
        <f>C26</f>
        <v>7.4999999999999997E-3</v>
      </c>
      <c r="E24" s="1692" t="s">
        <v>871</v>
      </c>
      <c r="F24" s="1707">
        <f>'数据-取费表'!Q16</f>
        <v>0.3</v>
      </c>
      <c r="G24" s="1689"/>
      <c r="H24" s="1013"/>
      <c r="I24" s="1013"/>
      <c r="J24" s="1013"/>
      <c r="K24" s="1014"/>
    </row>
    <row r="25" spans="1:14" s="1644" customFormat="1" ht="13.5" customHeight="1">
      <c r="A25" s="1673" t="s">
        <v>760</v>
      </c>
      <c r="B25" s="1697" t="s">
        <v>875</v>
      </c>
      <c r="C25" s="114">
        <f>ROUND((C18+C19)*F24,0)</f>
        <v>4374</v>
      </c>
      <c r="D25" s="1699"/>
      <c r="E25" s="1700"/>
      <c r="F25" s="1708"/>
      <c r="G25" s="1679" t="s">
        <v>876</v>
      </c>
      <c r="H25" s="1683"/>
      <c r="I25" s="1683"/>
      <c r="J25" s="1683"/>
      <c r="K25" s="1744"/>
    </row>
    <row r="26" spans="1:14" s="1644" customFormat="1" ht="13.5" customHeight="1">
      <c r="A26" s="1673" t="s">
        <v>813</v>
      </c>
      <c r="B26" s="1697" t="s">
        <v>877</v>
      </c>
      <c r="C26" s="115">
        <f>ROUND(F20*F24,4)</f>
        <v>7.4999999999999997E-3</v>
      </c>
      <c r="D26" s="1699"/>
      <c r="E26" s="1709"/>
      <c r="F26" s="1708"/>
      <c r="G26" s="1679" t="s">
        <v>878</v>
      </c>
      <c r="H26" s="1683"/>
      <c r="I26" s="1683"/>
      <c r="J26" s="1683"/>
      <c r="K26" s="1744"/>
    </row>
    <row r="27" spans="1:14" s="1644" customFormat="1" ht="13.5" customHeight="1">
      <c r="A27" s="1710" t="s">
        <v>793</v>
      </c>
      <c r="B27" s="1685" t="s">
        <v>848</v>
      </c>
      <c r="C27" s="1711">
        <f>F27</f>
        <v>5.6000000000000001E-2</v>
      </c>
      <c r="D27" s="1688" t="s">
        <v>879</v>
      </c>
      <c r="E27" s="1688"/>
      <c r="F27" s="1690">
        <f>'数据-取费表'!B41</f>
        <v>5.6000000000000001E-2</v>
      </c>
      <c r="G27" s="1712" t="s">
        <v>880</v>
      </c>
      <c r="H27" s="1672"/>
      <c r="I27" s="1672"/>
      <c r="J27" s="1672"/>
      <c r="K27" s="1743"/>
    </row>
    <row r="28" spans="1:14" s="1643" customFormat="1" ht="13.5" customHeight="1">
      <c r="A28" s="1710" t="s">
        <v>881</v>
      </c>
      <c r="B28" s="1713" t="s">
        <v>882</v>
      </c>
      <c r="C28" s="1694">
        <f>ROUND((C18+C19+C21+C24)/(1-C20-D21-D24-C27/(1+'数据-取费表'!B42)),0)</f>
        <v>21521</v>
      </c>
      <c r="D28" s="1714"/>
      <c r="E28" s="1692"/>
      <c r="F28" s="1696"/>
      <c r="G28" s="1689" t="s">
        <v>883</v>
      </c>
      <c r="H28" s="1672"/>
      <c r="I28" s="1672"/>
      <c r="J28" s="1672"/>
      <c r="K28" s="1743"/>
    </row>
    <row r="29" spans="1:14" s="1643" customFormat="1" ht="13.5" customHeight="1">
      <c r="A29" s="1710" t="s">
        <v>884</v>
      </c>
      <c r="B29" s="1713" t="s">
        <v>885</v>
      </c>
      <c r="C29" s="1715">
        <f>'数据-取费表'!N16</f>
        <v>0</v>
      </c>
      <c r="D29" s="1716"/>
      <c r="E29" s="1717"/>
      <c r="F29" s="1718"/>
      <c r="G29" s="1719"/>
      <c r="H29" s="1720"/>
      <c r="I29" s="1720"/>
      <c r="J29" s="1672"/>
      <c r="K29" s="1743"/>
    </row>
    <row r="30" spans="1:14" s="1643" customFormat="1" ht="13.5" customHeight="1">
      <c r="A30" s="1721">
        <v>2</v>
      </c>
      <c r="B30" s="1713" t="s">
        <v>886</v>
      </c>
      <c r="C30" s="1722">
        <f>ROUND(C28*C29,0)</f>
        <v>0</v>
      </c>
      <c r="D30" s="1716"/>
      <c r="E30" s="1723"/>
      <c r="F30" s="1724"/>
      <c r="G30" s="1725" t="s">
        <v>887</v>
      </c>
      <c r="H30" s="1720"/>
      <c r="I30" s="1720"/>
      <c r="J30" s="1672"/>
      <c r="K30" s="1743"/>
    </row>
    <row r="31" spans="1:14" s="1645" customFormat="1" ht="13.5" customHeight="1">
      <c r="A31" s="1726" t="s">
        <v>888</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889</v>
      </c>
      <c r="B32" s="1733"/>
      <c r="C32" s="1734">
        <f>IF('数据-取费表'!B20&lt;=1,(C6-C30-C31)/(1+F21*'数据-取费表'!B20+F24)/(1+'数据-取费表'!B48+'数据-取费表'!B49),(C6-C30-C31)/(1+(POWER((1+F21),'数据-取费表'!B20)-1)+F24)/(1+'数据-取费表'!B48+'数据-取费表'!B49))</f>
        <v>65746.790556363048</v>
      </c>
      <c r="D32" s="1733"/>
      <c r="E32" s="1733"/>
      <c r="F32" s="1733"/>
      <c r="G32" s="1735" t="s">
        <v>890</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7.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29" zoomScale="85" zoomScaleNormal="95" zoomScaleSheetLayoutView="85" workbookViewId="0">
      <selection activeCell="G49" sqref="G49"/>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891</v>
      </c>
      <c r="B1" s="467"/>
      <c r="C1" s="132" t="s">
        <v>892</v>
      </c>
      <c r="D1" s="1514" t="s">
        <v>893</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797</v>
      </c>
      <c r="B2" s="1516">
        <f>F68</f>
        <v>8091</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798</v>
      </c>
      <c r="B3" s="143">
        <f>ROUND(B2*10000/'数据-汇总表'!E3,0)</f>
        <v>2211</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894</v>
      </c>
      <c r="B4" s="653">
        <f>IF(B48="单位面积地价",C50,ROUND(B2*10000/'数据-汇总表'!D3,0))</f>
        <v>4729</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315</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895</v>
      </c>
      <c r="B6" s="147"/>
      <c r="C6" s="3206" t="s">
        <v>896</v>
      </c>
      <c r="D6" s="3207"/>
      <c r="E6" s="3206" t="s">
        <v>897</v>
      </c>
      <c r="F6" s="3207"/>
      <c r="G6" s="3206" t="s">
        <v>898</v>
      </c>
      <c r="H6" s="3207"/>
      <c r="I6" s="3206" t="s">
        <v>899</v>
      </c>
      <c r="J6" s="3207"/>
      <c r="K6" s="302" t="s">
        <v>900</v>
      </c>
      <c r="L6" s="303"/>
      <c r="M6" s="301"/>
      <c r="N6" s="301"/>
      <c r="O6" s="304"/>
      <c r="P6" s="3235" t="s">
        <v>901</v>
      </c>
      <c r="Q6" s="3236"/>
      <c r="R6" s="3241" t="s">
        <v>897</v>
      </c>
      <c r="S6" s="3242"/>
      <c r="T6" s="3241" t="s">
        <v>898</v>
      </c>
      <c r="U6" s="3242"/>
      <c r="V6" s="3227" t="s">
        <v>899</v>
      </c>
      <c r="W6" s="3227"/>
      <c r="X6" s="371"/>
      <c r="Y6" s="3241" t="s">
        <v>901</v>
      </c>
      <c r="Z6" s="3242"/>
      <c r="AA6" s="3228" t="s">
        <v>897</v>
      </c>
      <c r="AB6" s="3229" t="s">
        <v>898</v>
      </c>
      <c r="AC6" s="3228" t="s">
        <v>899</v>
      </c>
    </row>
    <row r="7" spans="1:30" ht="27" customHeight="1">
      <c r="A7" s="148"/>
      <c r="B7" s="149"/>
      <c r="C7" s="3208" t="s">
        <v>902</v>
      </c>
      <c r="D7" s="3209"/>
      <c r="E7" s="3210" t="s">
        <v>2300</v>
      </c>
      <c r="F7" s="3209"/>
      <c r="G7" s="3210" t="s">
        <v>2314</v>
      </c>
      <c r="H7" s="3209"/>
      <c r="I7" s="3210" t="s">
        <v>2313</v>
      </c>
      <c r="J7" s="3209"/>
      <c r="K7" s="302"/>
      <c r="L7" s="303"/>
      <c r="M7" s="301"/>
      <c r="N7" s="301"/>
      <c r="O7" s="304"/>
      <c r="P7" s="3237"/>
      <c r="Q7" s="3238"/>
      <c r="R7" s="3243"/>
      <c r="S7" s="3244"/>
      <c r="T7" s="3243"/>
      <c r="U7" s="3244"/>
      <c r="V7" s="3227"/>
      <c r="W7" s="3227"/>
      <c r="X7" s="371"/>
      <c r="Y7" s="3243"/>
      <c r="Z7" s="3244"/>
      <c r="AA7" s="3229"/>
      <c r="AB7" s="3229"/>
      <c r="AC7" s="3229"/>
    </row>
    <row r="8" spans="1:30" ht="39" customHeight="1">
      <c r="A8" s="150"/>
      <c r="B8" s="151"/>
      <c r="C8" s="3211"/>
      <c r="D8" s="3212"/>
      <c r="E8" s="3211" t="s">
        <v>2300</v>
      </c>
      <c r="F8" s="3212"/>
      <c r="G8" s="3213" t="s">
        <v>2314</v>
      </c>
      <c r="H8" s="3214"/>
      <c r="I8" s="3213" t="s">
        <v>2313</v>
      </c>
      <c r="J8" s="3214"/>
      <c r="K8" s="302" t="s">
        <v>907</v>
      </c>
      <c r="L8" s="303"/>
      <c r="M8" s="301"/>
      <c r="N8" s="301"/>
      <c r="O8" s="304"/>
      <c r="P8" s="3239"/>
      <c r="Q8" s="3240"/>
      <c r="R8" s="3243"/>
      <c r="S8" s="3244"/>
      <c r="T8" s="3245"/>
      <c r="U8" s="3246"/>
      <c r="V8" s="3227"/>
      <c r="W8" s="3227"/>
      <c r="X8" s="371"/>
      <c r="Y8" s="3245"/>
      <c r="Z8" s="3246"/>
      <c r="AA8" s="3230"/>
      <c r="AB8" s="3230"/>
      <c r="AC8" s="3230"/>
    </row>
    <row r="9" spans="1:30" s="2855" customFormat="1" ht="20.25">
      <c r="A9" s="2841" t="s">
        <v>908</v>
      </c>
      <c r="B9" s="2842"/>
      <c r="C9" s="2843">
        <f>'数据-取费表'!B2</f>
        <v>43041</v>
      </c>
      <c r="D9" s="2844">
        <v>100</v>
      </c>
      <c r="E9" s="2845">
        <v>43020</v>
      </c>
      <c r="F9" s="2846">
        <f>SUMIF(72:72,YEAR(E9)&amp;"-"&amp;INT((MONTH(E9)+2)/3),73:73)</f>
        <v>100</v>
      </c>
      <c r="G9" s="2847">
        <v>42920</v>
      </c>
      <c r="H9" s="2844">
        <f>SUMIF(72:72,YEAR(G9)&amp;"-"&amp;INT((MONTH(G9)+2)/3),73:73)</f>
        <v>97</v>
      </c>
      <c r="I9" s="2847">
        <v>42926</v>
      </c>
      <c r="J9" s="2844">
        <f>SUMIF(72:72,YEAR(I9)&amp;"-"&amp;INT((MONTH(I9)+2)/3),73:73)</f>
        <v>97</v>
      </c>
      <c r="K9" s="2848"/>
      <c r="L9" s="2849"/>
      <c r="M9" s="2831"/>
      <c r="N9" s="2831"/>
      <c r="O9" s="2850"/>
      <c r="P9" s="3215" t="s">
        <v>909</v>
      </c>
      <c r="Q9" s="3216"/>
      <c r="R9" s="2851" t="s">
        <v>910</v>
      </c>
      <c r="S9" s="2852">
        <f t="shared" ref="S9:S17" si="0">F9</f>
        <v>100</v>
      </c>
      <c r="T9" s="2851" t="s">
        <v>910</v>
      </c>
      <c r="U9" s="2852">
        <f t="shared" ref="U9:U17" si="1">H9</f>
        <v>97</v>
      </c>
      <c r="V9" s="2851" t="s">
        <v>910</v>
      </c>
      <c r="W9" s="2852">
        <f t="shared" ref="W9:W17" si="2">J9</f>
        <v>97</v>
      </c>
      <c r="X9" s="2853"/>
      <c r="Y9" s="3215" t="s">
        <v>909</v>
      </c>
      <c r="Z9" s="3247"/>
      <c r="AA9" s="2854">
        <f>D9/F9</f>
        <v>1</v>
      </c>
      <c r="AB9" s="2854">
        <f>D9/H9</f>
        <v>1.0309278350515463</v>
      </c>
      <c r="AC9" s="2854">
        <f>D9/J9</f>
        <v>1.0309278350515463</v>
      </c>
    </row>
    <row r="10" spans="1:30" s="122" customFormat="1" ht="20.25">
      <c r="A10" s="152" t="s">
        <v>911</v>
      </c>
      <c r="B10" s="153"/>
      <c r="C10" s="159" t="s">
        <v>912</v>
      </c>
      <c r="D10" s="155">
        <v>100</v>
      </c>
      <c r="E10" s="159" t="s">
        <v>912</v>
      </c>
      <c r="F10" s="157">
        <f>SUMIF(75:75,E10,76:76)-SUMIF(75:75,C10,76:76)+100</f>
        <v>100</v>
      </c>
      <c r="G10" s="159" t="s">
        <v>2254</v>
      </c>
      <c r="H10" s="155">
        <f>SUMIF(75:75,G10,76:76)-SUMIF(75:75,C10,76:76)+100</f>
        <v>100</v>
      </c>
      <c r="I10" s="159" t="s">
        <v>912</v>
      </c>
      <c r="J10" s="155">
        <f>SUMIF(75:75,I10,76:76)-SUMIF(75:75,C10,76:76)+100</f>
        <v>100</v>
      </c>
      <c r="K10" s="305"/>
      <c r="L10" s="306"/>
      <c r="M10" s="301"/>
      <c r="N10" s="301"/>
      <c r="O10" s="307"/>
      <c r="P10" s="3248" t="s">
        <v>913</v>
      </c>
      <c r="Q10" s="3249"/>
      <c r="R10" s="372" t="s">
        <v>910</v>
      </c>
      <c r="S10" s="373">
        <f t="shared" si="0"/>
        <v>100</v>
      </c>
      <c r="T10" s="372" t="s">
        <v>910</v>
      </c>
      <c r="U10" s="373">
        <f t="shared" si="1"/>
        <v>100</v>
      </c>
      <c r="V10" s="372" t="s">
        <v>910</v>
      </c>
      <c r="W10" s="373">
        <f t="shared" si="2"/>
        <v>100</v>
      </c>
      <c r="X10" s="374"/>
      <c r="Y10" s="3248" t="s">
        <v>913</v>
      </c>
      <c r="Z10" s="3249"/>
      <c r="AA10" s="391">
        <f t="shared" ref="AA10:AA47" si="3">D10/F10</f>
        <v>1</v>
      </c>
      <c r="AB10" s="391">
        <f t="shared" ref="AB10:AB47" si="4">D10/H10</f>
        <v>1</v>
      </c>
      <c r="AC10" s="391">
        <f t="shared" ref="AC10:AC47" si="5">D10/J10</f>
        <v>1</v>
      </c>
    </row>
    <row r="11" spans="1:30" s="122" customFormat="1" ht="42.75">
      <c r="A11" s="160" t="s">
        <v>914</v>
      </c>
      <c r="B11" s="161" t="s">
        <v>915</v>
      </c>
      <c r="C11" s="1519" t="s">
        <v>2288</v>
      </c>
      <c r="D11" s="163">
        <v>100</v>
      </c>
      <c r="E11" s="1519" t="s">
        <v>2262</v>
      </c>
      <c r="F11" s="163">
        <f>SUMIF(77:77,E11,78:78)-SUMIF(77:77,C11,78:78)+100</f>
        <v>100</v>
      </c>
      <c r="G11" s="1519" t="s">
        <v>2303</v>
      </c>
      <c r="H11" s="163">
        <f>SUMIF(77:77,G11,78:78)-SUMIF(77:77,C11,78:78)+100</f>
        <v>100</v>
      </c>
      <c r="I11" s="1519" t="s">
        <v>2303</v>
      </c>
      <c r="J11" s="163">
        <f>SUMIF(77:77,I11,78:78)-SUMIF(77:77,C11,78:78)+100</f>
        <v>100</v>
      </c>
      <c r="K11" s="305"/>
      <c r="L11" s="306"/>
      <c r="M11" s="301"/>
      <c r="N11" s="301"/>
      <c r="O11" s="308"/>
      <c r="P11" s="3218" t="s">
        <v>916</v>
      </c>
      <c r="Q11" s="375" t="str">
        <f t="shared" ref="Q11:Q17" si="6">B11</f>
        <v>用途</v>
      </c>
      <c r="R11" s="372" t="s">
        <v>910</v>
      </c>
      <c r="S11" s="373">
        <f t="shared" si="0"/>
        <v>100</v>
      </c>
      <c r="T11" s="372" t="s">
        <v>910</v>
      </c>
      <c r="U11" s="373">
        <f t="shared" si="1"/>
        <v>100</v>
      </c>
      <c r="V11" s="372" t="s">
        <v>910</v>
      </c>
      <c r="W11" s="373">
        <f t="shared" si="2"/>
        <v>100</v>
      </c>
      <c r="X11" s="374"/>
      <c r="Y11" s="3201" t="s">
        <v>917</v>
      </c>
      <c r="Z11" s="392" t="str">
        <f t="shared" ref="Z11:Z17" si="7">Q11</f>
        <v>用途</v>
      </c>
      <c r="AA11" s="391">
        <f t="shared" si="3"/>
        <v>1</v>
      </c>
      <c r="AB11" s="391">
        <f t="shared" si="4"/>
        <v>1</v>
      </c>
      <c r="AC11" s="391">
        <f t="shared" si="5"/>
        <v>1</v>
      </c>
    </row>
    <row r="12" spans="1:30" s="123" customFormat="1" ht="27">
      <c r="A12" s="165"/>
      <c r="B12" s="166" t="s">
        <v>918</v>
      </c>
      <c r="C12" s="1608">
        <v>50</v>
      </c>
      <c r="D12" s="168">
        <v>100</v>
      </c>
      <c r="E12" s="1609" t="s">
        <v>2305</v>
      </c>
      <c r="F12" s="168">
        <f>ROUND(100/'数据-取费表'!G16,0)</f>
        <v>117</v>
      </c>
      <c r="G12" s="576" t="s">
        <v>2305</v>
      </c>
      <c r="H12" s="168">
        <f>ROUND(100/'数据-取费表'!G16,0)</f>
        <v>117</v>
      </c>
      <c r="I12" s="576" t="s">
        <v>2305</v>
      </c>
      <c r="J12" s="168">
        <f>ROUND(100/'数据-取费表'!G16,0)</f>
        <v>117</v>
      </c>
      <c r="K12" s="1576"/>
      <c r="L12" s="311"/>
      <c r="M12" s="301"/>
      <c r="N12" s="301"/>
      <c r="O12" s="313"/>
      <c r="P12" s="3218"/>
      <c r="Q12" s="375" t="str">
        <f t="shared" si="6"/>
        <v>土地使用年限（年）</v>
      </c>
      <c r="R12" s="372" t="s">
        <v>910</v>
      </c>
      <c r="S12" s="373">
        <f t="shared" si="0"/>
        <v>117</v>
      </c>
      <c r="T12" s="372" t="s">
        <v>910</v>
      </c>
      <c r="U12" s="373">
        <f t="shared" si="1"/>
        <v>117</v>
      </c>
      <c r="V12" s="372" t="s">
        <v>910</v>
      </c>
      <c r="W12" s="373">
        <f t="shared" si="2"/>
        <v>117</v>
      </c>
      <c r="X12" s="374"/>
      <c r="Y12" s="3201"/>
      <c r="Z12" s="392" t="str">
        <f t="shared" si="7"/>
        <v>土地使用年限（年）</v>
      </c>
      <c r="AA12" s="391">
        <f t="shared" si="3"/>
        <v>0.85470085470085466</v>
      </c>
      <c r="AB12" s="391">
        <f t="shared" si="4"/>
        <v>0.85470085470085466</v>
      </c>
      <c r="AC12" s="391">
        <f t="shared" si="5"/>
        <v>0.85470085470085466</v>
      </c>
    </row>
    <row r="13" spans="1:30" ht="20.25">
      <c r="A13" s="170"/>
      <c r="B13" s="166" t="s">
        <v>919</v>
      </c>
      <c r="C13" s="468">
        <f>'数据-汇总表'!I6</f>
        <v>1.27</v>
      </c>
      <c r="D13" s="168">
        <v>100</v>
      </c>
      <c r="E13" s="468">
        <v>1.2</v>
      </c>
      <c r="F13" s="168">
        <f>LOOKUP(E13,82:82,83:83)-LOOKUP(C13,82:82,83:83)+100</f>
        <v>100</v>
      </c>
      <c r="G13" s="469">
        <v>2.8</v>
      </c>
      <c r="H13" s="168">
        <f>LOOKUP(G13,82:82,83:83)-LOOKUP(C13,82:82,83:83)+100</f>
        <v>99</v>
      </c>
      <c r="I13" s="468">
        <v>1.01</v>
      </c>
      <c r="J13" s="168">
        <f>LOOKUP(I13,82:82,83:83)-LOOKUP(C13,82:82,83:83)+100</f>
        <v>100</v>
      </c>
      <c r="K13" s="2829">
        <v>1</v>
      </c>
      <c r="L13" s="315"/>
      <c r="M13" s="301"/>
      <c r="N13" s="301"/>
      <c r="O13" s="316"/>
      <c r="P13" s="3218"/>
      <c r="Q13" s="375" t="str">
        <f t="shared" si="6"/>
        <v>容积率</v>
      </c>
      <c r="R13" s="372" t="s">
        <v>910</v>
      </c>
      <c r="S13" s="373">
        <f t="shared" si="0"/>
        <v>100</v>
      </c>
      <c r="T13" s="372" t="s">
        <v>910</v>
      </c>
      <c r="U13" s="373">
        <f t="shared" si="1"/>
        <v>99</v>
      </c>
      <c r="V13" s="372" t="s">
        <v>910</v>
      </c>
      <c r="W13" s="373">
        <f t="shared" si="2"/>
        <v>100</v>
      </c>
      <c r="X13" s="374"/>
      <c r="Y13" s="3201"/>
      <c r="Z13" s="392" t="str">
        <f t="shared" si="7"/>
        <v>容积率</v>
      </c>
      <c r="AA13" s="391">
        <f t="shared" si="3"/>
        <v>1</v>
      </c>
      <c r="AB13" s="391">
        <f t="shared" si="4"/>
        <v>1.0101010101010102</v>
      </c>
      <c r="AC13" s="391">
        <f t="shared" si="5"/>
        <v>1</v>
      </c>
    </row>
    <row r="14" spans="1:30" s="122" customFormat="1" ht="20.25" hidden="1">
      <c r="A14" s="174"/>
      <c r="B14" s="3036" t="s">
        <v>2284</v>
      </c>
      <c r="C14" s="2815"/>
      <c r="D14" s="175">
        <v>100</v>
      </c>
      <c r="E14" s="2816"/>
      <c r="F14" s="168">
        <f>SUMIF(84:84,E14,85:85)-SUMIF(84:84,C14,85:85)+100</f>
        <v>100</v>
      </c>
      <c r="G14" s="2817"/>
      <c r="H14" s="168">
        <f>SUMIF(84:84,G14,85:85)-SUMIF(84:84,C14,85:85)+100</f>
        <v>100</v>
      </c>
      <c r="I14" s="2818"/>
      <c r="J14" s="168">
        <f>SUMIF(84:84,I14,85:85)-SUMIF(84:84,C14,85:85)+100</f>
        <v>100</v>
      </c>
      <c r="K14" s="1576"/>
      <c r="L14" s="306"/>
      <c r="M14" s="301"/>
      <c r="N14" s="301"/>
      <c r="O14" s="308"/>
      <c r="P14" s="3218"/>
      <c r="Q14" s="375" t="str">
        <f t="shared" si="6"/>
        <v>是否配建</v>
      </c>
      <c r="R14" s="372" t="s">
        <v>910</v>
      </c>
      <c r="S14" s="373">
        <f t="shared" si="0"/>
        <v>100</v>
      </c>
      <c r="T14" s="372" t="s">
        <v>910</v>
      </c>
      <c r="U14" s="373">
        <f t="shared" si="1"/>
        <v>100</v>
      </c>
      <c r="V14" s="372" t="s">
        <v>910</v>
      </c>
      <c r="W14" s="373">
        <f t="shared" si="2"/>
        <v>100</v>
      </c>
      <c r="X14" s="374"/>
      <c r="Y14" s="3201"/>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18"/>
      <c r="Q15" s="375">
        <f t="shared" si="6"/>
        <v>0</v>
      </c>
      <c r="R15" s="372" t="s">
        <v>910</v>
      </c>
      <c r="S15" s="373">
        <f t="shared" si="0"/>
        <v>100</v>
      </c>
      <c r="T15" s="372" t="s">
        <v>910</v>
      </c>
      <c r="U15" s="373">
        <f t="shared" si="1"/>
        <v>100</v>
      </c>
      <c r="V15" s="372" t="s">
        <v>910</v>
      </c>
      <c r="W15" s="373">
        <f t="shared" si="2"/>
        <v>100</v>
      </c>
      <c r="X15" s="374"/>
      <c r="Y15" s="3201"/>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18"/>
      <c r="Q16" s="375">
        <f t="shared" si="6"/>
        <v>0</v>
      </c>
      <c r="R16" s="372" t="s">
        <v>910</v>
      </c>
      <c r="S16" s="373">
        <f t="shared" si="0"/>
        <v>100</v>
      </c>
      <c r="T16" s="372" t="s">
        <v>910</v>
      </c>
      <c r="U16" s="373">
        <f t="shared" si="1"/>
        <v>100</v>
      </c>
      <c r="V16" s="372" t="s">
        <v>910</v>
      </c>
      <c r="W16" s="373">
        <f t="shared" si="2"/>
        <v>100</v>
      </c>
      <c r="X16" s="374"/>
      <c r="Y16" s="3201"/>
      <c r="Z16" s="392">
        <f t="shared" si="7"/>
        <v>0</v>
      </c>
      <c r="AA16" s="391">
        <f t="shared" si="3"/>
        <v>1</v>
      </c>
      <c r="AB16" s="391">
        <f t="shared" si="4"/>
        <v>1</v>
      </c>
      <c r="AC16" s="391">
        <f t="shared" si="5"/>
        <v>1</v>
      </c>
    </row>
    <row r="17" spans="1:29" ht="114">
      <c r="A17" s="178" t="s">
        <v>922</v>
      </c>
      <c r="B17" s="434" t="s">
        <v>145</v>
      </c>
      <c r="C17" s="504" t="str">
        <f>估价对象房地状况!C15</f>
        <v>估价对象周边用地以居住用地为主、居住小区规模较大和社区发展完善程度较好，综合评价居住社区成熟度较好</v>
      </c>
      <c r="D17" s="183">
        <v>100</v>
      </c>
      <c r="E17" s="2806" t="s">
        <v>2243</v>
      </c>
      <c r="F17" s="181">
        <f>SUMIF(90:90,E18,91:91)-SUMIF(90:90,C18,91:91)+100</f>
        <v>100</v>
      </c>
      <c r="G17" s="2807" t="s">
        <v>2243</v>
      </c>
      <c r="H17" s="181">
        <f>SUMIF(90:90,G18,91:91)-SUMIF(90:90,C18,91:91)+100</f>
        <v>100</v>
      </c>
      <c r="I17" s="2806" t="s">
        <v>2243</v>
      </c>
      <c r="J17" s="181">
        <f>SUMIF(90:90,I18,91:91)-SUMIF(90:90,C18,91:91)+100</f>
        <v>100</v>
      </c>
      <c r="K17" s="1577">
        <v>3</v>
      </c>
      <c r="L17" s="317"/>
      <c r="M17" s="301"/>
      <c r="N17" s="301"/>
      <c r="O17" s="316"/>
      <c r="P17" s="3219" t="s">
        <v>923</v>
      </c>
      <c r="Q17" s="309" t="str">
        <f t="shared" si="6"/>
        <v>居住社区成熟度</v>
      </c>
      <c r="R17" s="376" t="s">
        <v>910</v>
      </c>
      <c r="S17" s="377">
        <f t="shared" si="0"/>
        <v>100</v>
      </c>
      <c r="T17" s="376" t="s">
        <v>910</v>
      </c>
      <c r="U17" s="377">
        <f t="shared" si="1"/>
        <v>100</v>
      </c>
      <c r="V17" s="376" t="s">
        <v>910</v>
      </c>
      <c r="W17" s="377">
        <f t="shared" si="2"/>
        <v>100</v>
      </c>
      <c r="X17" s="371"/>
      <c r="Y17" s="3219" t="s">
        <v>923</v>
      </c>
      <c r="Z17" s="370" t="str">
        <f t="shared" si="7"/>
        <v>居住社区成熟度</v>
      </c>
      <c r="AA17" s="382">
        <f t="shared" si="3"/>
        <v>1</v>
      </c>
      <c r="AB17" s="382">
        <f t="shared" si="4"/>
        <v>1</v>
      </c>
      <c r="AC17" s="382">
        <f t="shared" si="5"/>
        <v>1</v>
      </c>
    </row>
    <row r="18" spans="1:29" ht="20.25">
      <c r="A18" s="170"/>
      <c r="B18" s="505"/>
      <c r="C18" s="506" t="s">
        <v>924</v>
      </c>
      <c r="D18" s="188"/>
      <c r="E18" s="475" t="s">
        <v>924</v>
      </c>
      <c r="F18" s="187"/>
      <c r="G18" s="474" t="s">
        <v>924</v>
      </c>
      <c r="H18" s="189"/>
      <c r="I18" s="475" t="s">
        <v>924</v>
      </c>
      <c r="J18" s="187"/>
      <c r="K18" s="1576"/>
      <c r="L18" s="317"/>
      <c r="M18" s="301"/>
      <c r="N18" s="301"/>
      <c r="O18" s="316"/>
      <c r="P18" s="3220"/>
      <c r="Q18" s="309"/>
      <c r="R18" s="376"/>
      <c r="S18" s="377"/>
      <c r="T18" s="376"/>
      <c r="U18" s="377"/>
      <c r="V18" s="376"/>
      <c r="W18" s="377"/>
      <c r="X18" s="371"/>
      <c r="Y18" s="3220"/>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2245</v>
      </c>
      <c r="F19" s="189">
        <f>SUMIF(92:92,E20,93:93)-SUMIF(92:92,C20,93:93)+100</f>
        <v>100</v>
      </c>
      <c r="G19" s="556" t="s">
        <v>2257</v>
      </c>
      <c r="H19" s="192">
        <f>SUMIF(92:92,G20,93:93)-SUMIF(92:92,C20,93:93)+100</f>
        <v>103</v>
      </c>
      <c r="I19" s="2809" t="s">
        <v>2245</v>
      </c>
      <c r="J19" s="192">
        <f>SUMIF(92:92,I20,93:93)-SUMIF(92:92,C20,93:93)+100</f>
        <v>103</v>
      </c>
      <c r="K19" s="2829">
        <v>3</v>
      </c>
      <c r="L19" s="317"/>
      <c r="M19" s="301"/>
      <c r="N19" s="301"/>
      <c r="O19" s="316"/>
      <c r="P19" s="3220"/>
      <c r="Q19" s="309" t="str">
        <f>B19</f>
        <v>商业繁华度</v>
      </c>
      <c r="R19" s="376" t="s">
        <v>910</v>
      </c>
      <c r="S19" s="377">
        <f>F19</f>
        <v>100</v>
      </c>
      <c r="T19" s="376" t="s">
        <v>910</v>
      </c>
      <c r="U19" s="377">
        <f>H19</f>
        <v>103</v>
      </c>
      <c r="V19" s="376" t="s">
        <v>910</v>
      </c>
      <c r="W19" s="377">
        <f>J19</f>
        <v>103</v>
      </c>
      <c r="X19" s="371"/>
      <c r="Y19" s="3220"/>
      <c r="Z19" s="370" t="str">
        <f>Q19</f>
        <v>商业繁华度</v>
      </c>
      <c r="AA19" s="382">
        <f t="shared" si="3"/>
        <v>1</v>
      </c>
      <c r="AB19" s="382">
        <f t="shared" si="4"/>
        <v>0.970873786407767</v>
      </c>
      <c r="AC19" s="382">
        <f t="shared" si="5"/>
        <v>0.970873786407767</v>
      </c>
    </row>
    <row r="20" spans="1:29" ht="20.25">
      <c r="A20" s="170"/>
      <c r="B20" s="196"/>
      <c r="C20" s="508" t="s">
        <v>926</v>
      </c>
      <c r="D20" s="200"/>
      <c r="E20" s="473" t="s">
        <v>926</v>
      </c>
      <c r="F20" s="189"/>
      <c r="G20" s="472" t="s">
        <v>924</v>
      </c>
      <c r="H20" s="187"/>
      <c r="I20" s="473" t="s">
        <v>924</v>
      </c>
      <c r="J20" s="187"/>
      <c r="K20" s="1576"/>
      <c r="L20" s="317"/>
      <c r="M20" s="301"/>
      <c r="N20" s="301"/>
      <c r="O20" s="316"/>
      <c r="P20" s="3220"/>
      <c r="Q20" s="309"/>
      <c r="R20" s="376"/>
      <c r="S20" s="377"/>
      <c r="T20" s="376"/>
      <c r="U20" s="377"/>
      <c r="V20" s="376"/>
      <c r="W20" s="377"/>
      <c r="X20" s="371"/>
      <c r="Y20" s="3220"/>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20"/>
      <c r="Q21" s="309" t="str">
        <f>B21</f>
        <v>办公集聚程度</v>
      </c>
      <c r="R21" s="376" t="s">
        <v>910</v>
      </c>
      <c r="S21" s="377">
        <f>F21</f>
        <v>100</v>
      </c>
      <c r="T21" s="376" t="s">
        <v>910</v>
      </c>
      <c r="U21" s="377">
        <f>H21</f>
        <v>100</v>
      </c>
      <c r="V21" s="376" t="s">
        <v>910</v>
      </c>
      <c r="W21" s="377">
        <f>J21</f>
        <v>100</v>
      </c>
      <c r="X21" s="371"/>
      <c r="Y21" s="3220"/>
      <c r="Z21" s="370" t="str">
        <f>Q21</f>
        <v>办公集聚程度</v>
      </c>
      <c r="AA21" s="382">
        <f t="shared" si="3"/>
        <v>1</v>
      </c>
      <c r="AB21" s="382">
        <f t="shared" si="4"/>
        <v>1</v>
      </c>
      <c r="AC21" s="382">
        <f t="shared" si="5"/>
        <v>1</v>
      </c>
    </row>
    <row r="22" spans="1:29" ht="20.25" hidden="1">
      <c r="A22" s="170"/>
      <c r="B22" s="196"/>
      <c r="C22" s="506" t="s">
        <v>924</v>
      </c>
      <c r="D22" s="188"/>
      <c r="E22" s="475" t="s">
        <v>926</v>
      </c>
      <c r="F22" s="187"/>
      <c r="G22" s="474" t="s">
        <v>924</v>
      </c>
      <c r="H22" s="187"/>
      <c r="I22" s="475" t="s">
        <v>926</v>
      </c>
      <c r="J22" s="187"/>
      <c r="K22" s="1576"/>
      <c r="L22" s="317"/>
      <c r="M22" s="301"/>
      <c r="N22" s="301"/>
      <c r="O22" s="316"/>
      <c r="P22" s="3220"/>
      <c r="Q22" s="309"/>
      <c r="R22" s="376"/>
      <c r="S22" s="377"/>
      <c r="T22" s="376"/>
      <c r="U22" s="377"/>
      <c r="V22" s="376"/>
      <c r="W22" s="377"/>
      <c r="X22" s="371"/>
      <c r="Y22" s="3220"/>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2255</v>
      </c>
      <c r="F23" s="192">
        <f>SUMIF(96:96,E24,97:97)-SUMIF(96:96,C24,97:97)+100</f>
        <v>98</v>
      </c>
      <c r="G23" s="199" t="s">
        <v>2256</v>
      </c>
      <c r="H23" s="189">
        <f>SUMIF(96:96,G24,97:97)-SUMIF(96:96,C24,97:97)+100</f>
        <v>100</v>
      </c>
      <c r="I23" s="201" t="s">
        <v>2260</v>
      </c>
      <c r="J23" s="189">
        <f>SUMIF(96:96,I24,97:97)-SUMIF(96:96,C24,97:97)+100</f>
        <v>100</v>
      </c>
      <c r="K23" s="2829">
        <v>2</v>
      </c>
      <c r="L23" s="317"/>
      <c r="M23" s="301"/>
      <c r="N23" s="301"/>
      <c r="O23" s="316"/>
      <c r="P23" s="3220"/>
      <c r="Q23" s="309" t="str">
        <f>B23</f>
        <v>交通便捷度</v>
      </c>
      <c r="R23" s="376" t="s">
        <v>910</v>
      </c>
      <c r="S23" s="377">
        <f>F23</f>
        <v>98</v>
      </c>
      <c r="T23" s="376" t="s">
        <v>910</v>
      </c>
      <c r="U23" s="377">
        <f>H23</f>
        <v>100</v>
      </c>
      <c r="V23" s="376" t="s">
        <v>910</v>
      </c>
      <c r="W23" s="377">
        <f>J23</f>
        <v>100</v>
      </c>
      <c r="X23" s="371"/>
      <c r="Y23" s="3220"/>
      <c r="Z23" s="370" t="str">
        <f>Q23</f>
        <v>交通便捷度</v>
      </c>
      <c r="AA23" s="382">
        <f t="shared" si="3"/>
        <v>1.0204081632653061</v>
      </c>
      <c r="AB23" s="382">
        <f t="shared" si="4"/>
        <v>1</v>
      </c>
      <c r="AC23" s="382">
        <f t="shared" si="5"/>
        <v>1</v>
      </c>
    </row>
    <row r="24" spans="1:29" s="2839" customFormat="1" ht="20.25">
      <c r="A24" s="2823"/>
      <c r="B24" s="2840"/>
      <c r="C24" s="2859" t="s">
        <v>924</v>
      </c>
      <c r="D24" s="2860"/>
      <c r="E24" s="2861" t="s">
        <v>926</v>
      </c>
      <c r="F24" s="2862"/>
      <c r="G24" s="2863" t="s">
        <v>924</v>
      </c>
      <c r="H24" s="2862"/>
      <c r="I24" s="2861" t="s">
        <v>924</v>
      </c>
      <c r="J24" s="2862"/>
      <c r="K24" s="2864"/>
      <c r="L24" s="2830"/>
      <c r="M24" s="2831"/>
      <c r="N24" s="2831"/>
      <c r="O24" s="2832"/>
      <c r="P24" s="3220"/>
      <c r="Q24" s="2833"/>
      <c r="R24" s="2834"/>
      <c r="S24" s="2835"/>
      <c r="T24" s="2834"/>
      <c r="U24" s="2835"/>
      <c r="V24" s="2834"/>
      <c r="W24" s="2835"/>
      <c r="X24" s="2836"/>
      <c r="Y24" s="3220"/>
      <c r="Z24" s="2837"/>
      <c r="AA24" s="2838">
        <v>1</v>
      </c>
      <c r="AB24" s="2838">
        <v>1</v>
      </c>
      <c r="AC24" s="2838">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100</v>
      </c>
      <c r="K25" s="1577">
        <v>5</v>
      </c>
      <c r="L25" s="317"/>
      <c r="M25" s="301"/>
      <c r="N25" s="301"/>
      <c r="O25" s="316"/>
      <c r="P25" s="3220"/>
      <c r="Q25" s="309" t="str">
        <f t="shared" ref="Q25:Q40" si="8">B25</f>
        <v>区域土地利用方向</v>
      </c>
      <c r="R25" s="376" t="s">
        <v>910</v>
      </c>
      <c r="S25" s="377">
        <f>F25</f>
        <v>100</v>
      </c>
      <c r="T25" s="376" t="s">
        <v>910</v>
      </c>
      <c r="U25" s="377">
        <f>H25</f>
        <v>100</v>
      </c>
      <c r="V25" s="376" t="s">
        <v>910</v>
      </c>
      <c r="W25" s="377">
        <f>J25</f>
        <v>100</v>
      </c>
      <c r="X25" s="371"/>
      <c r="Y25" s="3220"/>
      <c r="Z25" s="370" t="str">
        <f>Q25</f>
        <v>区域土地利用方向</v>
      </c>
      <c r="AA25" s="382">
        <f t="shared" si="3"/>
        <v>1</v>
      </c>
      <c r="AB25" s="382">
        <f t="shared" si="4"/>
        <v>1</v>
      </c>
      <c r="AC25" s="382">
        <f t="shared" si="5"/>
        <v>1</v>
      </c>
    </row>
    <row r="26" spans="1:29" ht="20.25">
      <c r="A26" s="148"/>
      <c r="B26" s="1612"/>
      <c r="C26" s="506" t="s">
        <v>924</v>
      </c>
      <c r="D26" s="188"/>
      <c r="E26" s="475" t="s">
        <v>924</v>
      </c>
      <c r="F26" s="187"/>
      <c r="G26" s="474" t="s">
        <v>924</v>
      </c>
      <c r="H26" s="187"/>
      <c r="I26" s="475" t="s">
        <v>924</v>
      </c>
      <c r="J26" s="187"/>
      <c r="K26" s="1576"/>
      <c r="L26" s="317"/>
      <c r="M26" s="301"/>
      <c r="N26" s="301"/>
      <c r="O26" s="316"/>
      <c r="P26" s="3220"/>
      <c r="Q26" s="309"/>
      <c r="R26" s="376"/>
      <c r="S26" s="377"/>
      <c r="T26" s="376"/>
      <c r="U26" s="377"/>
      <c r="V26" s="376"/>
      <c r="W26" s="377"/>
      <c r="X26" s="371"/>
      <c r="Y26" s="3220"/>
      <c r="Z26" s="370"/>
      <c r="AA26" s="382"/>
      <c r="AB26" s="382"/>
      <c r="AC26" s="382"/>
    </row>
    <row r="27" spans="1:29" ht="159" customHeight="1">
      <c r="A27" s="148"/>
      <c r="B27" s="202" t="s">
        <v>928</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2248</v>
      </c>
      <c r="F27" s="189">
        <f>SUMIF(100:100,E28,101:101)-SUMIF(100:100,C28,101:101)+100</f>
        <v>100</v>
      </c>
      <c r="G27" s="199" t="s">
        <v>2258</v>
      </c>
      <c r="H27" s="189">
        <f>SUMIF(100:100,G28,101:101)-SUMIF(100:100,C28,101:101)+100</f>
        <v>100</v>
      </c>
      <c r="I27" s="201" t="s">
        <v>2248</v>
      </c>
      <c r="J27" s="189">
        <f>SUMIF(100:100,I28,101:101)-SUMIF(100:100,C28,101:101)+100</f>
        <v>100</v>
      </c>
      <c r="K27" s="1577">
        <v>3</v>
      </c>
      <c r="L27" s="317"/>
      <c r="M27" s="301"/>
      <c r="N27" s="301"/>
      <c r="O27" s="316"/>
      <c r="P27" s="3220"/>
      <c r="Q27" s="309" t="str">
        <f t="shared" si="8"/>
        <v>自然及人文环境状况</v>
      </c>
      <c r="R27" s="376" t="s">
        <v>910</v>
      </c>
      <c r="S27" s="377">
        <f>F27</f>
        <v>100</v>
      </c>
      <c r="T27" s="376" t="s">
        <v>910</v>
      </c>
      <c r="U27" s="377">
        <f>H27</f>
        <v>100</v>
      </c>
      <c r="V27" s="376" t="s">
        <v>910</v>
      </c>
      <c r="W27" s="377">
        <f>J27</f>
        <v>100</v>
      </c>
      <c r="X27" s="371"/>
      <c r="Y27" s="3220"/>
      <c r="Z27" s="370" t="str">
        <f>Q27</f>
        <v>自然及人文环境状况</v>
      </c>
      <c r="AA27" s="382">
        <f t="shared" si="3"/>
        <v>1</v>
      </c>
      <c r="AB27" s="382">
        <f t="shared" si="4"/>
        <v>1</v>
      </c>
      <c r="AC27" s="382">
        <f t="shared" si="5"/>
        <v>1</v>
      </c>
    </row>
    <row r="28" spans="1:29" ht="20.25">
      <c r="A28" s="148"/>
      <c r="B28" s="196"/>
      <c r="C28" s="506" t="s">
        <v>924</v>
      </c>
      <c r="D28" s="188"/>
      <c r="E28" s="186" t="s">
        <v>924</v>
      </c>
      <c r="F28" s="187"/>
      <c r="G28" s="506" t="s">
        <v>924</v>
      </c>
      <c r="H28" s="187"/>
      <c r="I28" s="186" t="s">
        <v>924</v>
      </c>
      <c r="J28" s="187"/>
      <c r="K28" s="1576"/>
      <c r="L28" s="317"/>
      <c r="M28" s="301"/>
      <c r="N28" s="301"/>
      <c r="O28" s="316"/>
      <c r="P28" s="3220"/>
      <c r="Q28" s="309"/>
      <c r="R28" s="376"/>
      <c r="S28" s="377"/>
      <c r="T28" s="376"/>
      <c r="U28" s="377"/>
      <c r="V28" s="376"/>
      <c r="W28" s="377"/>
      <c r="X28" s="371"/>
      <c r="Y28" s="3220"/>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2250</v>
      </c>
      <c r="F29" s="189">
        <f>SUMIF(102:102,E30,103:103)-SUMIF(102:102,C30,103:103)+100</f>
        <v>100</v>
      </c>
      <c r="G29" s="199" t="s">
        <v>2259</v>
      </c>
      <c r="H29" s="189">
        <f>SUMIF(102:102,G30,103:103)-SUMIF(102:102,C30,103:103)+100</f>
        <v>100</v>
      </c>
      <c r="I29" s="201" t="s">
        <v>2250</v>
      </c>
      <c r="J29" s="189">
        <f>SUMIF(102:102,I30,103:103)-SUMIF(102:102,C30,103:103)+100</f>
        <v>100</v>
      </c>
      <c r="K29" s="2829">
        <v>2</v>
      </c>
      <c r="L29" s="306"/>
      <c r="M29" s="301"/>
      <c r="N29" s="301"/>
      <c r="O29" s="308"/>
      <c r="P29" s="3220"/>
      <c r="Q29" s="375" t="str">
        <f t="shared" si="8"/>
        <v>公共配套设施</v>
      </c>
      <c r="R29" s="372" t="s">
        <v>910</v>
      </c>
      <c r="S29" s="373">
        <f>F29</f>
        <v>100</v>
      </c>
      <c r="T29" s="372" t="s">
        <v>910</v>
      </c>
      <c r="U29" s="373">
        <f>H29</f>
        <v>100</v>
      </c>
      <c r="V29" s="372" t="s">
        <v>910</v>
      </c>
      <c r="W29" s="373">
        <f>J29</f>
        <v>100</v>
      </c>
      <c r="X29" s="374"/>
      <c r="Y29" s="3220"/>
      <c r="Z29" s="392" t="str">
        <f>Q29</f>
        <v>公共配套设施</v>
      </c>
      <c r="AA29" s="382">
        <f>D29/F29</f>
        <v>1</v>
      </c>
      <c r="AB29" s="382">
        <f>D29/H29</f>
        <v>1</v>
      </c>
      <c r="AC29" s="382">
        <f>D29/J29</f>
        <v>1</v>
      </c>
    </row>
    <row r="30" spans="1:29" s="122" customFormat="1" ht="20.25">
      <c r="A30" s="438"/>
      <c r="B30" s="196"/>
      <c r="C30" s="1522" t="s">
        <v>924</v>
      </c>
      <c r="D30" s="188"/>
      <c r="E30" s="186" t="s">
        <v>924</v>
      </c>
      <c r="F30" s="187"/>
      <c r="G30" s="506" t="s">
        <v>924</v>
      </c>
      <c r="H30" s="187"/>
      <c r="I30" s="186" t="s">
        <v>924</v>
      </c>
      <c r="J30" s="187"/>
      <c r="K30" s="1576"/>
      <c r="L30" s="306"/>
      <c r="M30" s="301"/>
      <c r="N30" s="301"/>
      <c r="O30" s="308"/>
      <c r="P30" s="3220"/>
      <c r="Q30" s="375"/>
      <c r="R30" s="372"/>
      <c r="S30" s="373"/>
      <c r="T30" s="372"/>
      <c r="U30" s="373"/>
      <c r="V30" s="372"/>
      <c r="W30" s="373"/>
      <c r="X30" s="374"/>
      <c r="Y30" s="3220"/>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2251</v>
      </c>
      <c r="F31" s="189">
        <f>SUMIF(104:104,E32,105:105)-SUMIF(104:104,C32,105:105)+100</f>
        <v>100</v>
      </c>
      <c r="G31" s="2810" t="s">
        <v>2253</v>
      </c>
      <c r="H31" s="189">
        <f>SUMIF(104:104,G32,105:105)-SUMIF(104:104,C32,105:105)+100</f>
        <v>100</v>
      </c>
      <c r="I31" s="201" t="s">
        <v>2251</v>
      </c>
      <c r="J31" s="189">
        <f>SUMIF(104:104,I32,105:105)-SUMIF(104:104,C32,105:105)+100</f>
        <v>100</v>
      </c>
      <c r="K31" s="1577">
        <v>1.5</v>
      </c>
      <c r="L31" s="306"/>
      <c r="M31" s="301"/>
      <c r="N31" s="301"/>
      <c r="O31" s="308"/>
      <c r="P31" s="3220"/>
      <c r="Q31" s="375" t="str">
        <f>B31</f>
        <v>基础设施水平</v>
      </c>
      <c r="R31" s="372" t="s">
        <v>910</v>
      </c>
      <c r="S31" s="373">
        <f>F31</f>
        <v>100</v>
      </c>
      <c r="T31" s="372" t="s">
        <v>910</v>
      </c>
      <c r="U31" s="373">
        <f>H31</f>
        <v>100</v>
      </c>
      <c r="V31" s="372" t="s">
        <v>910</v>
      </c>
      <c r="W31" s="373">
        <f>J31</f>
        <v>100</v>
      </c>
      <c r="X31" s="374"/>
      <c r="Y31" s="3220"/>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20"/>
      <c r="Q32" s="375"/>
      <c r="R32" s="372"/>
      <c r="S32" s="373"/>
      <c r="T32" s="372"/>
      <c r="U32" s="373"/>
      <c r="V32" s="372"/>
      <c r="W32" s="373"/>
      <c r="X32" s="374"/>
      <c r="Y32" s="3220"/>
      <c r="Z32" s="392"/>
      <c r="AA32" s="382">
        <v>1</v>
      </c>
      <c r="AB32" s="382">
        <v>1</v>
      </c>
      <c r="AC32" s="382">
        <v>1</v>
      </c>
    </row>
    <row r="33" spans="1:29" s="2839" customFormat="1" ht="20.25" hidden="1">
      <c r="A33" s="2823"/>
      <c r="B33" s="2824" t="s">
        <v>154</v>
      </c>
      <c r="C33" s="2825"/>
      <c r="D33" s="2826">
        <v>100</v>
      </c>
      <c r="E33" s="2827"/>
      <c r="F33" s="2828">
        <f>SUMIF(106:106,E33,107:107)-SUMIF(106:106,C33,107:107)+100</f>
        <v>100</v>
      </c>
      <c r="G33" s="2825"/>
      <c r="H33" s="2828">
        <f>SUMIF(106:106,G33,107:107)-SUMIF(106:106,C33,107:107)+100</f>
        <v>100</v>
      </c>
      <c r="I33" s="2825"/>
      <c r="J33" s="2828">
        <f>SUMIF(106:106,I33,107:107)-SUMIF(106:106,C33,107:107)+100</f>
        <v>100</v>
      </c>
      <c r="K33" s="2829">
        <v>1</v>
      </c>
      <c r="L33" s="2830"/>
      <c r="M33" s="2831"/>
      <c r="N33" s="2831"/>
      <c r="O33" s="2832"/>
      <c r="P33" s="3220"/>
      <c r="Q33" s="2833" t="str">
        <f t="shared" si="8"/>
        <v>临街状况</v>
      </c>
      <c r="R33" s="2834" t="s">
        <v>910</v>
      </c>
      <c r="S33" s="2835">
        <f t="shared" ref="S33:S47" si="9">F33</f>
        <v>100</v>
      </c>
      <c r="T33" s="2834" t="s">
        <v>910</v>
      </c>
      <c r="U33" s="2835">
        <f t="shared" ref="U33:U47" si="10">H33</f>
        <v>100</v>
      </c>
      <c r="V33" s="2834" t="s">
        <v>910</v>
      </c>
      <c r="W33" s="2835">
        <f t="shared" ref="W33:W47" si="11">J33</f>
        <v>100</v>
      </c>
      <c r="X33" s="2836"/>
      <c r="Y33" s="3220"/>
      <c r="Z33" s="2837" t="str">
        <f t="shared" ref="Z33:Z47" si="12">Q33</f>
        <v>临街状况</v>
      </c>
      <c r="AA33" s="2838">
        <f t="shared" si="3"/>
        <v>1</v>
      </c>
      <c r="AB33" s="2838">
        <f t="shared" si="4"/>
        <v>1</v>
      </c>
      <c r="AC33" s="2838">
        <f t="shared" si="5"/>
        <v>1</v>
      </c>
    </row>
    <row r="34" spans="1:29" ht="27">
      <c r="A34" s="170"/>
      <c r="B34" s="2840" t="s">
        <v>929</v>
      </c>
      <c r="C34" s="2814"/>
      <c r="D34" s="200">
        <v>100</v>
      </c>
      <c r="E34" s="201"/>
      <c r="F34" s="189">
        <f>SUMIF(108:108,E35,109:109)-SUMIF(108:108,C35,109:109)+100</f>
        <v>98</v>
      </c>
      <c r="G34" s="2810"/>
      <c r="H34" s="189">
        <f>SUMIF(108:108,G35,109:109)-SUMIF(108:108,C35,109:109)+100</f>
        <v>100</v>
      </c>
      <c r="I34" s="201"/>
      <c r="J34" s="189">
        <f>SUMIF(108:108,I35,109:109)-SUMIF(108:108,C35,109:109)+100</f>
        <v>100</v>
      </c>
      <c r="K34" s="1577">
        <v>2</v>
      </c>
      <c r="L34" s="317"/>
      <c r="M34" s="301"/>
      <c r="N34" s="301"/>
      <c r="O34" s="316"/>
      <c r="P34" s="3220"/>
      <c r="Q34" s="309" t="str">
        <f t="shared" si="8"/>
        <v>毗邻道路的类型与等级</v>
      </c>
      <c r="R34" s="376" t="s">
        <v>910</v>
      </c>
      <c r="S34" s="377">
        <f t="shared" si="9"/>
        <v>98</v>
      </c>
      <c r="T34" s="376" t="s">
        <v>910</v>
      </c>
      <c r="U34" s="377">
        <f t="shared" si="10"/>
        <v>100</v>
      </c>
      <c r="V34" s="376" t="s">
        <v>910</v>
      </c>
      <c r="W34" s="377">
        <f t="shared" si="11"/>
        <v>100</v>
      </c>
      <c r="X34" s="371"/>
      <c r="Y34" s="3220"/>
      <c r="Z34" s="370" t="str">
        <f t="shared" si="12"/>
        <v>毗邻道路的类型与等级</v>
      </c>
      <c r="AA34" s="382">
        <f t="shared" si="3"/>
        <v>1.0204081632653061</v>
      </c>
      <c r="AB34" s="382">
        <f t="shared" si="4"/>
        <v>1</v>
      </c>
      <c r="AC34" s="382">
        <f t="shared" si="5"/>
        <v>1</v>
      </c>
    </row>
    <row r="35" spans="1:29" ht="20.25">
      <c r="A35" s="170"/>
      <c r="B35" s="196"/>
      <c r="C35" s="506" t="s">
        <v>2261</v>
      </c>
      <c r="D35" s="188"/>
      <c r="E35" s="186" t="s">
        <v>2306</v>
      </c>
      <c r="F35" s="187"/>
      <c r="G35" s="506" t="s">
        <v>2261</v>
      </c>
      <c r="H35" s="187"/>
      <c r="I35" s="186" t="s">
        <v>2261</v>
      </c>
      <c r="J35" s="187"/>
      <c r="K35" s="314"/>
      <c r="L35" s="317"/>
      <c r="M35" s="301"/>
      <c r="N35" s="301"/>
      <c r="O35" s="316"/>
      <c r="P35" s="3220"/>
      <c r="Q35" s="309"/>
      <c r="R35" s="376"/>
      <c r="S35" s="377"/>
      <c r="T35" s="376"/>
      <c r="U35" s="377"/>
      <c r="V35" s="376"/>
      <c r="W35" s="377"/>
      <c r="X35" s="371"/>
      <c r="Y35" s="3220"/>
      <c r="Z35" s="370"/>
      <c r="AA35" s="382">
        <v>1</v>
      </c>
      <c r="AB35" s="382">
        <v>1</v>
      </c>
      <c r="AC35" s="382">
        <v>1</v>
      </c>
    </row>
    <row r="36" spans="1:29" ht="20.25" hidden="1">
      <c r="A36" s="170"/>
      <c r="B36" s="447" t="s">
        <v>930</v>
      </c>
      <c r="C36" s="510" t="s">
        <v>931</v>
      </c>
      <c r="D36" s="206">
        <v>100</v>
      </c>
      <c r="E36" s="205" t="s">
        <v>931</v>
      </c>
      <c r="F36" s="177">
        <f>SUMIF(110:110,E36,111:111)-SUMIF(110:110,C36,111:111)+100</f>
        <v>100</v>
      </c>
      <c r="G36" s="510" t="s">
        <v>931</v>
      </c>
      <c r="H36" s="177">
        <f>SUMIF(110:110,G36,111:111)-SUMIF(110:110,C36,111:111)+100</f>
        <v>100</v>
      </c>
      <c r="I36" s="205" t="s">
        <v>931</v>
      </c>
      <c r="J36" s="177">
        <f>SUMIF(110:110,I36,111:111)-SUMIF(110:110,C36,111:111)+100</f>
        <v>100</v>
      </c>
      <c r="K36" s="310">
        <v>1</v>
      </c>
      <c r="L36" s="317"/>
      <c r="M36" s="301"/>
      <c r="N36" s="301"/>
      <c r="O36" s="316"/>
      <c r="P36" s="3220"/>
      <c r="Q36" s="309" t="str">
        <f t="shared" si="8"/>
        <v>土地级别</v>
      </c>
      <c r="R36" s="376" t="s">
        <v>910</v>
      </c>
      <c r="S36" s="377">
        <f t="shared" si="9"/>
        <v>100</v>
      </c>
      <c r="T36" s="376" t="s">
        <v>910</v>
      </c>
      <c r="U36" s="377">
        <f t="shared" si="10"/>
        <v>100</v>
      </c>
      <c r="V36" s="376" t="s">
        <v>910</v>
      </c>
      <c r="W36" s="377">
        <f t="shared" si="11"/>
        <v>100</v>
      </c>
      <c r="X36" s="371"/>
      <c r="Y36" s="3220"/>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20"/>
      <c r="Q37" s="309">
        <f t="shared" si="8"/>
        <v>0</v>
      </c>
      <c r="R37" s="376" t="s">
        <v>910</v>
      </c>
      <c r="S37" s="377">
        <f t="shared" si="9"/>
        <v>100</v>
      </c>
      <c r="T37" s="376" t="s">
        <v>910</v>
      </c>
      <c r="U37" s="377">
        <f t="shared" si="10"/>
        <v>100</v>
      </c>
      <c r="V37" s="376" t="s">
        <v>910</v>
      </c>
      <c r="W37" s="377">
        <f t="shared" si="11"/>
        <v>100</v>
      </c>
      <c r="X37" s="371"/>
      <c r="Y37" s="3220"/>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21" t="s">
        <v>932</v>
      </c>
      <c r="Q38" s="309">
        <f t="shared" si="8"/>
        <v>0</v>
      </c>
      <c r="R38" s="376" t="s">
        <v>910</v>
      </c>
      <c r="S38" s="377">
        <f t="shared" si="9"/>
        <v>100</v>
      </c>
      <c r="T38" s="376" t="s">
        <v>910</v>
      </c>
      <c r="U38" s="377">
        <f t="shared" si="10"/>
        <v>100</v>
      </c>
      <c r="V38" s="376" t="s">
        <v>910</v>
      </c>
      <c r="W38" s="377">
        <f t="shared" si="11"/>
        <v>100</v>
      </c>
      <c r="X38" s="371"/>
      <c r="Y38" s="3222" t="s">
        <v>932</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22"/>
      <c r="Q39" s="309">
        <f t="shared" si="8"/>
        <v>0</v>
      </c>
      <c r="R39" s="379" t="s">
        <v>910</v>
      </c>
      <c r="S39" s="380">
        <f t="shared" si="9"/>
        <v>100</v>
      </c>
      <c r="T39" s="379" t="s">
        <v>910</v>
      </c>
      <c r="U39" s="380">
        <f t="shared" si="10"/>
        <v>100</v>
      </c>
      <c r="V39" s="379" t="s">
        <v>910</v>
      </c>
      <c r="W39" s="380">
        <f t="shared" si="11"/>
        <v>100</v>
      </c>
      <c r="X39" s="381"/>
      <c r="Y39" s="3222"/>
      <c r="Z39" s="393">
        <f t="shared" si="12"/>
        <v>0</v>
      </c>
      <c r="AA39" s="382">
        <f t="shared" si="3"/>
        <v>1</v>
      </c>
      <c r="AB39" s="382">
        <f t="shared" si="4"/>
        <v>1</v>
      </c>
      <c r="AC39" s="382">
        <f t="shared" si="5"/>
        <v>1</v>
      </c>
    </row>
    <row r="40" spans="1:29" ht="20.25">
      <c r="A40" s="218" t="s">
        <v>933</v>
      </c>
      <c r="B40" s="204" t="s">
        <v>934</v>
      </c>
      <c r="C40" s="1532">
        <f>'数据-基础表'!A3</f>
        <v>17111</v>
      </c>
      <c r="D40" s="212">
        <v>100</v>
      </c>
      <c r="E40" s="1532">
        <v>74425</v>
      </c>
      <c r="F40" s="212">
        <f>LOOKUP(E40,119:119,120:120)-LOOKUP(C40,119:119,120:120)+100</f>
        <v>101</v>
      </c>
      <c r="G40" s="1532">
        <v>74771</v>
      </c>
      <c r="H40" s="212">
        <f>LOOKUP(G40,119:119,120:120)-LOOKUP(C40,119:119,120:120)+100</f>
        <v>101</v>
      </c>
      <c r="I40" s="277">
        <v>89829</v>
      </c>
      <c r="J40" s="212">
        <f>LOOKUP(I40,119:119,120:120)-LOOKUP(C40,119:119,120:120)+100</f>
        <v>101</v>
      </c>
      <c r="K40" s="314"/>
      <c r="L40" s="317"/>
      <c r="M40" s="301"/>
      <c r="N40" s="301"/>
      <c r="O40" s="316"/>
      <c r="P40" s="3222"/>
      <c r="Q40" s="309" t="str">
        <f t="shared" si="8"/>
        <v>宗地面积</v>
      </c>
      <c r="R40" s="376" t="s">
        <v>910</v>
      </c>
      <c r="S40" s="377">
        <f t="shared" si="9"/>
        <v>101</v>
      </c>
      <c r="T40" s="376" t="s">
        <v>910</v>
      </c>
      <c r="U40" s="377">
        <f t="shared" si="10"/>
        <v>101</v>
      </c>
      <c r="V40" s="376" t="s">
        <v>910</v>
      </c>
      <c r="W40" s="377">
        <f t="shared" si="11"/>
        <v>101</v>
      </c>
      <c r="X40" s="371"/>
      <c r="Y40" s="3222"/>
      <c r="Z40" s="370" t="str">
        <f t="shared" si="12"/>
        <v>宗地面积</v>
      </c>
      <c r="AA40" s="382">
        <f t="shared" si="3"/>
        <v>0.99009900990099009</v>
      </c>
      <c r="AB40" s="382">
        <f t="shared" si="4"/>
        <v>0.99009900990099009</v>
      </c>
      <c r="AC40" s="382">
        <f t="shared" si="5"/>
        <v>0.99009900990099009</v>
      </c>
    </row>
    <row r="41" spans="1:29" ht="20.25">
      <c r="A41" s="218"/>
      <c r="B41" s="166" t="s">
        <v>935</v>
      </c>
      <c r="C41" s="515" t="s">
        <v>936</v>
      </c>
      <c r="D41" s="177">
        <v>100</v>
      </c>
      <c r="E41" s="515" t="s">
        <v>936</v>
      </c>
      <c r="F41" s="177">
        <f>SUMIF(121:121,E41,122:122)-SUMIF(121:121,C41,122:122)+100</f>
        <v>100</v>
      </c>
      <c r="G41" s="515" t="s">
        <v>936</v>
      </c>
      <c r="H41" s="177">
        <f>SUMIF(121:121,G41,122:122)-SUMIF(121:121,C41,122:122)+100</f>
        <v>100</v>
      </c>
      <c r="I41" s="515" t="s">
        <v>936</v>
      </c>
      <c r="J41" s="177">
        <f>SUMIF(121:121,I41,122:122)-SUMIF(121:121,C41,122:122)+100</f>
        <v>100</v>
      </c>
      <c r="K41" s="310">
        <v>2</v>
      </c>
      <c r="L41" s="317"/>
      <c r="M41" s="301"/>
      <c r="N41" s="301"/>
      <c r="O41" s="316"/>
      <c r="P41" s="3222"/>
      <c r="Q41" s="309" t="str">
        <f t="shared" ref="Q41:Q47" si="13">B41</f>
        <v>宗地形状</v>
      </c>
      <c r="R41" s="376" t="s">
        <v>910</v>
      </c>
      <c r="S41" s="377">
        <f t="shared" si="9"/>
        <v>100</v>
      </c>
      <c r="T41" s="376" t="s">
        <v>910</v>
      </c>
      <c r="U41" s="377">
        <f t="shared" si="10"/>
        <v>100</v>
      </c>
      <c r="V41" s="376" t="s">
        <v>910</v>
      </c>
      <c r="W41" s="377">
        <f t="shared" si="11"/>
        <v>100</v>
      </c>
      <c r="X41" s="371"/>
      <c r="Y41" s="3222"/>
      <c r="Z41" s="370" t="str">
        <f t="shared" si="12"/>
        <v>宗地形状</v>
      </c>
      <c r="AA41" s="382">
        <f t="shared" si="3"/>
        <v>1</v>
      </c>
      <c r="AB41" s="382">
        <f t="shared" si="4"/>
        <v>1</v>
      </c>
      <c r="AC41" s="382">
        <f t="shared" si="5"/>
        <v>1</v>
      </c>
    </row>
    <row r="42" spans="1:29" ht="20.25">
      <c r="A42" s="218"/>
      <c r="B42" s="166" t="s">
        <v>937</v>
      </c>
      <c r="C42" s="515" t="s">
        <v>938</v>
      </c>
      <c r="D42" s="177">
        <v>100</v>
      </c>
      <c r="E42" s="515" t="s">
        <v>938</v>
      </c>
      <c r="F42" s="177">
        <f>SUMIF(123:123,E42,124:124)-SUMIF(123:123,C42,124:124)+100</f>
        <v>100</v>
      </c>
      <c r="G42" s="515" t="s">
        <v>938</v>
      </c>
      <c r="H42" s="177">
        <f>SUMIF(123:123,G42,124:124)-SUMIF(123:123,C42,124:124)+100</f>
        <v>100</v>
      </c>
      <c r="I42" s="515" t="s">
        <v>938</v>
      </c>
      <c r="J42" s="177">
        <f>SUMIF(123:123,I42,124:124)-SUMIF(123:123,C42,124:124)+100</f>
        <v>100</v>
      </c>
      <c r="K42" s="310">
        <v>0</v>
      </c>
      <c r="L42" s="317"/>
      <c r="M42" s="301"/>
      <c r="N42" s="301"/>
      <c r="O42" s="316"/>
      <c r="P42" s="3222"/>
      <c r="Q42" s="309" t="str">
        <f t="shared" si="13"/>
        <v>临街宽度及深度</v>
      </c>
      <c r="R42" s="376" t="s">
        <v>910</v>
      </c>
      <c r="S42" s="377">
        <f t="shared" si="9"/>
        <v>100</v>
      </c>
      <c r="T42" s="376" t="s">
        <v>910</v>
      </c>
      <c r="U42" s="377">
        <f t="shared" si="10"/>
        <v>100</v>
      </c>
      <c r="V42" s="376" t="s">
        <v>910</v>
      </c>
      <c r="W42" s="377">
        <f t="shared" si="11"/>
        <v>100</v>
      </c>
      <c r="X42" s="371"/>
      <c r="Y42" s="3222"/>
      <c r="Z42" s="370" t="str">
        <f t="shared" si="12"/>
        <v>临街宽度及深度</v>
      </c>
      <c r="AA42" s="382">
        <f t="shared" si="3"/>
        <v>1</v>
      </c>
      <c r="AB42" s="382">
        <f t="shared" si="4"/>
        <v>1</v>
      </c>
      <c r="AC42" s="382">
        <f t="shared" si="5"/>
        <v>1</v>
      </c>
    </row>
    <row r="43" spans="1:29" s="122" customFormat="1" ht="20.25">
      <c r="A43" s="221"/>
      <c r="B43" s="481" t="s">
        <v>939</v>
      </c>
      <c r="C43" s="1533" t="s">
        <v>1007</v>
      </c>
      <c r="D43" s="168">
        <v>100</v>
      </c>
      <c r="E43" s="1533" t="s">
        <v>1007</v>
      </c>
      <c r="F43" s="177">
        <f>SUMIF(125:125,E43,126:126)-SUMIF(125:125,C43,126:126)+100</f>
        <v>100</v>
      </c>
      <c r="G43" s="1533" t="s">
        <v>1007</v>
      </c>
      <c r="H43" s="177">
        <f>SUMIF(125:125,G43,126:126)-SUMIF(125:125,C43,126:126)+100</f>
        <v>100</v>
      </c>
      <c r="I43" s="1533" t="s">
        <v>1007</v>
      </c>
      <c r="J43" s="177">
        <f>SUMIF(125:125,I43,126:126)-SUMIF(125:125,C43,126:126)+100</f>
        <v>100</v>
      </c>
      <c r="K43" s="310">
        <v>1</v>
      </c>
      <c r="L43" s="306"/>
      <c r="M43" s="301"/>
      <c r="N43" s="301"/>
      <c r="O43" s="308"/>
      <c r="P43" s="3222"/>
      <c r="Q43" s="309" t="str">
        <f t="shared" si="13"/>
        <v>宗地开发程度</v>
      </c>
      <c r="R43" s="372" t="s">
        <v>910</v>
      </c>
      <c r="S43" s="373">
        <f t="shared" si="9"/>
        <v>100</v>
      </c>
      <c r="T43" s="372" t="s">
        <v>910</v>
      </c>
      <c r="U43" s="373">
        <f t="shared" si="10"/>
        <v>100</v>
      </c>
      <c r="V43" s="372" t="s">
        <v>910</v>
      </c>
      <c r="W43" s="373">
        <f t="shared" si="11"/>
        <v>100</v>
      </c>
      <c r="X43" s="374"/>
      <c r="Y43" s="3222"/>
      <c r="Z43" s="392" t="str">
        <f t="shared" si="12"/>
        <v>宗地开发程度</v>
      </c>
      <c r="AA43" s="391">
        <f t="shared" si="3"/>
        <v>1</v>
      </c>
      <c r="AB43" s="391">
        <f t="shared" si="4"/>
        <v>1</v>
      </c>
      <c r="AC43" s="391">
        <f t="shared" si="5"/>
        <v>1</v>
      </c>
    </row>
    <row r="44" spans="1:29" ht="20.25">
      <c r="A44" s="218"/>
      <c r="B44" s="166" t="s">
        <v>941</v>
      </c>
      <c r="C44" s="515" t="s">
        <v>924</v>
      </c>
      <c r="D44" s="177">
        <v>100</v>
      </c>
      <c r="E44" s="515" t="s">
        <v>924</v>
      </c>
      <c r="F44" s="177">
        <f>SUMIF(127:127,E44,128:128)-SUMIF(127:127,C44,128:128)+100</f>
        <v>100</v>
      </c>
      <c r="G44" s="515" t="s">
        <v>924</v>
      </c>
      <c r="H44" s="177">
        <f>SUMIF(127:127,G44,128:128)-SUMIF(127:127,C44,128:128)+100</f>
        <v>100</v>
      </c>
      <c r="I44" s="515" t="s">
        <v>924</v>
      </c>
      <c r="J44" s="177">
        <f>SUMIF(127:127,I44,128:128)-SUMIF(127:127,C44,128:128)+100</f>
        <v>100</v>
      </c>
      <c r="K44" s="310">
        <v>1</v>
      </c>
      <c r="L44" s="317"/>
      <c r="M44" s="301"/>
      <c r="N44" s="301"/>
      <c r="O44" s="316"/>
      <c r="P44" s="3222" t="s">
        <v>932</v>
      </c>
      <c r="Q44" s="309" t="str">
        <f t="shared" si="13"/>
        <v>工程地质条件</v>
      </c>
      <c r="R44" s="376" t="s">
        <v>910</v>
      </c>
      <c r="S44" s="377">
        <f t="shared" si="9"/>
        <v>100</v>
      </c>
      <c r="T44" s="376" t="s">
        <v>910</v>
      </c>
      <c r="U44" s="377">
        <f t="shared" si="10"/>
        <v>100</v>
      </c>
      <c r="V44" s="376" t="s">
        <v>910</v>
      </c>
      <c r="W44" s="377">
        <f t="shared" si="11"/>
        <v>100</v>
      </c>
      <c r="X44" s="371"/>
      <c r="Y44" s="3222" t="s">
        <v>932</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22"/>
      <c r="Q45" s="309">
        <f t="shared" si="13"/>
        <v>0</v>
      </c>
      <c r="R45" s="376" t="s">
        <v>910</v>
      </c>
      <c r="S45" s="377">
        <f t="shared" si="9"/>
        <v>100</v>
      </c>
      <c r="T45" s="376" t="s">
        <v>910</v>
      </c>
      <c r="U45" s="377">
        <f t="shared" si="10"/>
        <v>100</v>
      </c>
      <c r="V45" s="376" t="s">
        <v>910</v>
      </c>
      <c r="W45" s="377">
        <f t="shared" si="11"/>
        <v>100</v>
      </c>
      <c r="X45" s="371"/>
      <c r="Y45" s="3222"/>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22"/>
      <c r="Q46" s="309">
        <f t="shared" si="13"/>
        <v>0</v>
      </c>
      <c r="R46" s="376" t="s">
        <v>910</v>
      </c>
      <c r="S46" s="377">
        <f t="shared" si="9"/>
        <v>100</v>
      </c>
      <c r="T46" s="376" t="s">
        <v>910</v>
      </c>
      <c r="U46" s="377">
        <f t="shared" si="10"/>
        <v>100</v>
      </c>
      <c r="V46" s="376" t="s">
        <v>910</v>
      </c>
      <c r="W46" s="377">
        <f t="shared" si="11"/>
        <v>100</v>
      </c>
      <c r="X46" s="371"/>
      <c r="Y46" s="3222"/>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22"/>
      <c r="Q47" s="309">
        <f t="shared" si="13"/>
        <v>0</v>
      </c>
      <c r="R47" s="379" t="s">
        <v>910</v>
      </c>
      <c r="S47" s="380">
        <f t="shared" si="9"/>
        <v>100</v>
      </c>
      <c r="T47" s="379" t="s">
        <v>910</v>
      </c>
      <c r="U47" s="380">
        <f t="shared" si="10"/>
        <v>100</v>
      </c>
      <c r="V47" s="379" t="s">
        <v>910</v>
      </c>
      <c r="W47" s="380">
        <f t="shared" si="11"/>
        <v>100</v>
      </c>
      <c r="X47" s="381"/>
      <c r="Y47" s="3222"/>
      <c r="Z47" s="393">
        <f t="shared" si="12"/>
        <v>0</v>
      </c>
      <c r="AA47" s="382">
        <f t="shared" si="3"/>
        <v>1</v>
      </c>
      <c r="AB47" s="382">
        <f t="shared" si="4"/>
        <v>1</v>
      </c>
      <c r="AC47" s="382">
        <f t="shared" si="5"/>
        <v>1</v>
      </c>
    </row>
    <row r="48" spans="1:29" ht="20.25">
      <c r="A48" s="228" t="s">
        <v>942</v>
      </c>
      <c r="B48" s="1535" t="s">
        <v>798</v>
      </c>
      <c r="C48" s="1536" t="s">
        <v>67</v>
      </c>
      <c r="D48" s="1537"/>
      <c r="E48" s="1538">
        <v>4001</v>
      </c>
      <c r="F48" s="1539"/>
      <c r="G48" s="1540">
        <v>4900</v>
      </c>
      <c r="H48" s="1541"/>
      <c r="I48" s="1538">
        <v>4171</v>
      </c>
      <c r="J48" s="1541"/>
      <c r="K48" s="1581"/>
      <c r="L48" s="324"/>
      <c r="M48" s="301"/>
      <c r="N48" s="301"/>
      <c r="O48" s="244"/>
      <c r="P48" s="3218" t="str">
        <f>A48</f>
        <v>成交单价</v>
      </c>
      <c r="Q48" s="3218"/>
      <c r="R48" s="3227">
        <f>E48</f>
        <v>4001</v>
      </c>
      <c r="S48" s="3227"/>
      <c r="T48" s="3227">
        <f>G48</f>
        <v>4900</v>
      </c>
      <c r="U48" s="3227"/>
      <c r="V48" s="3227">
        <f>I48</f>
        <v>4171</v>
      </c>
      <c r="W48" s="3227"/>
      <c r="X48" s="255"/>
      <c r="Y48" s="394"/>
      <c r="Z48" s="255"/>
      <c r="AA48" s="255"/>
      <c r="AB48" s="255"/>
      <c r="AC48" s="255"/>
    </row>
    <row r="49" spans="1:29" ht="20.25">
      <c r="A49" s="236" t="s">
        <v>943</v>
      </c>
      <c r="B49" s="1542"/>
      <c r="C49" s="1543">
        <f>R50</f>
        <v>3750</v>
      </c>
      <c r="D49" s="1544"/>
      <c r="E49" s="1543">
        <f>R49</f>
        <v>3525</v>
      </c>
      <c r="F49" s="1545"/>
      <c r="G49" s="1546">
        <f>T49</f>
        <v>4192</v>
      </c>
      <c r="H49" s="1544"/>
      <c r="I49" s="1543">
        <f>V49</f>
        <v>3533</v>
      </c>
      <c r="J49" s="1544"/>
      <c r="K49" s="1582"/>
      <c r="L49" s="324"/>
      <c r="M49" s="301"/>
      <c r="N49" s="301"/>
      <c r="O49" s="244"/>
      <c r="P49" s="3218" t="str">
        <f>A49</f>
        <v>比较价值（元/平方米）</v>
      </c>
      <c r="Q49" s="3218"/>
      <c r="R49" s="3223">
        <f>ROUND(PRODUCT(R48,AA9:AA47),0)</f>
        <v>3525</v>
      </c>
      <c r="S49" s="3223"/>
      <c r="T49" s="3223">
        <f>ROUND(PRODUCT(T48,AB9:AB47),0)</f>
        <v>4192</v>
      </c>
      <c r="U49" s="3223"/>
      <c r="V49" s="3223">
        <f>ROUND(PRODUCT(V48,AC9:AC47),0)</f>
        <v>3533</v>
      </c>
      <c r="W49" s="3223"/>
      <c r="X49" s="255"/>
      <c r="Y49" s="255"/>
      <c r="Z49" s="255"/>
      <c r="AA49" s="255"/>
      <c r="AB49" s="255"/>
      <c r="AC49" s="255"/>
    </row>
    <row r="50" spans="1:29" ht="20.25">
      <c r="A50" s="241" t="s">
        <v>944</v>
      </c>
      <c r="B50" s="242"/>
      <c r="C50" s="1547">
        <f>R50</f>
        <v>3750</v>
      </c>
      <c r="D50" s="1547"/>
      <c r="E50" s="1547"/>
      <c r="F50" s="1547"/>
      <c r="G50" s="1547"/>
      <c r="H50" s="1547"/>
      <c r="I50" s="1547"/>
      <c r="J50" s="1547"/>
      <c r="K50" s="1583"/>
      <c r="L50" s="324"/>
      <c r="M50" s="301"/>
      <c r="N50" s="301"/>
      <c r="O50" s="244"/>
      <c r="P50" s="3224" t="str">
        <f>A50</f>
        <v>估价对象XX用房的比较价值（楼面单价，元/平方米）</v>
      </c>
      <c r="Q50" s="3225"/>
      <c r="R50" s="3226">
        <f>ROUND(AVERAGE(R49:V49),0)</f>
        <v>3750</v>
      </c>
      <c r="S50" s="3226"/>
      <c r="T50" s="3226"/>
      <c r="U50" s="3226"/>
      <c r="V50" s="3226"/>
      <c r="W50" s="3226"/>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945</v>
      </c>
      <c r="D53" s="247"/>
      <c r="E53" s="248">
        <f>IF(E48&lt;E49,E49/E48-1,E48/E49-1)</f>
        <v>0.13503546099290786</v>
      </c>
      <c r="F53" s="249" t="str">
        <f>IF(OR(E53&gt;=0.3,E53&lt;=-0.3),"超过30%","")</f>
        <v/>
      </c>
      <c r="G53" s="248">
        <f>IF(G48&lt;G49,G49/G48-1,G48/G49-1)</f>
        <v>0.16889312977099236</v>
      </c>
      <c r="H53" s="249" t="str">
        <f>IF(OR(G53&gt;=0.3,G53&lt;=-0.3),"超过30%","")</f>
        <v/>
      </c>
      <c r="I53" s="248">
        <f>IF(I48&lt;I49,I49/I48-1,I48/I49-1)</f>
        <v>0.18058307387489392</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946</v>
      </c>
      <c r="D54" s="250"/>
      <c r="E54" s="248">
        <f>IF(E49&lt;G49,G49/E49-1,E49/G49-1)</f>
        <v>0.18921985815602826</v>
      </c>
      <c r="F54" s="249" t="str">
        <f>IF(OR(E54&gt;=0.2,E54&lt;=-0.2),"超过20%","")</f>
        <v/>
      </c>
      <c r="G54" s="248">
        <f>IF(G49&lt;I49,I49/G49-1,G49/I49-1)</f>
        <v>0.18652703085196709</v>
      </c>
      <c r="H54" s="249" t="str">
        <f>IF(OR(G54&gt;=0.2,G54&lt;=-0.2),"超过20%","")</f>
        <v/>
      </c>
      <c r="I54" s="248">
        <f>IF(I49&lt;E49,E49/I49-1,I49/E49-1)</f>
        <v>2.2695035460993385E-3</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947</v>
      </c>
      <c r="D55" s="250"/>
      <c r="E55" s="248">
        <f>IF(E48&lt;G48,G48/E48-1,E48/G48-1)</f>
        <v>0.22469382654336423</v>
      </c>
      <c r="F55" s="249" t="str">
        <f>IF(OR(E55&gt;=0.3,E55&lt;=-0.3),"超过30%","")</f>
        <v/>
      </c>
      <c r="G55" s="248">
        <f>IF(G48&lt;I48,I48/G48-1,G48/I48-1)</f>
        <v>0.1747782306401342</v>
      </c>
      <c r="H55" s="249" t="str">
        <f>IF(OR(G55&gt;=0.3,G55&lt;=-0.3),"超过30%","")</f>
        <v/>
      </c>
      <c r="I55" s="248">
        <f>IF(I48&lt;E48,E48/I48-1,I48/E48-1)</f>
        <v>4.2489377655586136E-2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948</v>
      </c>
      <c r="B57" s="1549" t="s">
        <v>949</v>
      </c>
      <c r="C57" s="1550" t="s">
        <v>2285</v>
      </c>
      <c r="D57" s="1551" t="s">
        <v>951</v>
      </c>
      <c r="E57" s="1552" t="s">
        <v>952</v>
      </c>
      <c r="F57" s="1618" t="s">
        <v>953</v>
      </c>
      <c r="G57" s="3231" t="s">
        <v>954</v>
      </c>
      <c r="H57" s="3232"/>
      <c r="I57" s="1585" t="s">
        <v>344</v>
      </c>
      <c r="J57" s="1585" t="str">
        <f>项目基本情况!F39</f>
        <v>山东省青岛市</v>
      </c>
      <c r="K57" s="1586" t="s">
        <v>955</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956</v>
      </c>
      <c r="B58" s="1555">
        <f>C50</f>
        <v>3750</v>
      </c>
      <c r="C58" s="1556">
        <v>1</v>
      </c>
      <c r="D58" s="1557">
        <v>1</v>
      </c>
      <c r="E58" s="1556">
        <f>'数据-汇总表'!E8+'数据-汇总表'!E9</f>
        <v>21576.35</v>
      </c>
      <c r="F58" s="1619">
        <f t="shared" ref="F58:F67" si="14">ROUND(B58*E58/10000,0)</f>
        <v>8091</v>
      </c>
      <c r="G58" s="3233"/>
      <c r="H58" s="3234"/>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957</v>
      </c>
      <c r="B59" s="1560">
        <f>ROUND($C$50*C59*D59,0)</f>
        <v>0</v>
      </c>
      <c r="C59" s="1410">
        <f t="shared" ref="C59:C67" si="15">IF($C$57="北京市系数",I59,J59)</f>
        <v>0</v>
      </c>
      <c r="D59" s="1561">
        <v>0.25</v>
      </c>
      <c r="E59" s="1562">
        <v>0</v>
      </c>
      <c r="F59" s="1619">
        <f t="shared" si="14"/>
        <v>0</v>
      </c>
      <c r="G59" s="3217" t="s">
        <v>958</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959</v>
      </c>
      <c r="B60" s="1560">
        <f t="shared" ref="B60:B67" si="16">ROUND($C$50*C60*D60,0)</f>
        <v>0</v>
      </c>
      <c r="C60" s="1410">
        <f t="shared" si="15"/>
        <v>0</v>
      </c>
      <c r="D60" s="1561">
        <v>0.25</v>
      </c>
      <c r="E60" s="1562">
        <v>0</v>
      </c>
      <c r="F60" s="1619">
        <f t="shared" si="14"/>
        <v>0</v>
      </c>
      <c r="G60" s="3217"/>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960</v>
      </c>
      <c r="B61" s="1560">
        <f t="shared" si="16"/>
        <v>0</v>
      </c>
      <c r="C61" s="1410">
        <f t="shared" si="15"/>
        <v>0</v>
      </c>
      <c r="D61" s="1561">
        <v>0.25</v>
      </c>
      <c r="E61" s="1562">
        <v>0</v>
      </c>
      <c r="F61" s="1619">
        <f t="shared" si="14"/>
        <v>0</v>
      </c>
      <c r="G61" s="3217"/>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961</v>
      </c>
      <c r="B62" s="1560">
        <f t="shared" si="16"/>
        <v>0</v>
      </c>
      <c r="C62" s="1410">
        <f t="shared" si="15"/>
        <v>0</v>
      </c>
      <c r="D62" s="1561">
        <v>0.25</v>
      </c>
      <c r="E62" s="1562">
        <v>0</v>
      </c>
      <c r="F62" s="1619">
        <f t="shared" si="14"/>
        <v>0</v>
      </c>
      <c r="G62" s="3217"/>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30">
        <f t="shared" si="16"/>
        <v>0</v>
      </c>
      <c r="C63" s="3031">
        <f t="shared" si="15"/>
        <v>0</v>
      </c>
      <c r="D63" s="3032">
        <v>1</v>
      </c>
      <c r="E63" s="3033">
        <f>'数据-汇总表'!E11</f>
        <v>0</v>
      </c>
      <c r="F63" s="3034">
        <f t="shared" si="14"/>
        <v>0</v>
      </c>
      <c r="G63" s="1620" t="s">
        <v>962</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963</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964</v>
      </c>
      <c r="B65" s="3030">
        <f t="shared" si="16"/>
        <v>0</v>
      </c>
      <c r="C65" s="3031">
        <f t="shared" si="15"/>
        <v>0</v>
      </c>
      <c r="D65" s="3032">
        <v>0.25</v>
      </c>
      <c r="E65" s="3033">
        <f>'数据-汇总表'!E13</f>
        <v>0</v>
      </c>
      <c r="F65" s="3034">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965</v>
      </c>
      <c r="B66" s="1560">
        <f t="shared" si="16"/>
        <v>0</v>
      </c>
      <c r="C66" s="1410">
        <f t="shared" si="15"/>
        <v>0</v>
      </c>
      <c r="D66" s="1561">
        <v>0.25</v>
      </c>
      <c r="E66" s="1567">
        <f>'数据-汇总表'!E14</f>
        <v>0</v>
      </c>
      <c r="F66" s="1619">
        <f t="shared" si="14"/>
        <v>0</v>
      </c>
      <c r="G66" s="1620" t="s">
        <v>958</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966</v>
      </c>
      <c r="B67" s="1560">
        <f t="shared" si="16"/>
        <v>0</v>
      </c>
      <c r="C67" s="1410">
        <f t="shared" si="15"/>
        <v>0</v>
      </c>
      <c r="D67" s="1561">
        <v>0.25</v>
      </c>
      <c r="E67" s="1567">
        <f>'数据-汇总表'!E15</f>
        <v>0</v>
      </c>
      <c r="F67" s="1619">
        <f t="shared" si="14"/>
        <v>0</v>
      </c>
      <c r="G67" s="1625" t="s">
        <v>962</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967</v>
      </c>
      <c r="B68" s="1572" t="s">
        <v>968</v>
      </c>
      <c r="C68" s="1572" t="s">
        <v>968</v>
      </c>
      <c r="D68" s="1572" t="s">
        <v>968</v>
      </c>
      <c r="E68" s="1572">
        <f>IF(B48="楼面地价",SUM(E58:E67),'数据-汇总表'!D3)</f>
        <v>21576.35</v>
      </c>
      <c r="F68" s="1573">
        <f>IF(B48="楼面地价",SUM(F58:F67),ROUND(C50*E68/10000,0))</f>
        <v>8091</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969</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970</v>
      </c>
      <c r="B72" s="1627"/>
      <c r="C72" s="1592" t="s">
        <v>2307</v>
      </c>
      <c r="D72" s="1593" t="s">
        <v>2269</v>
      </c>
      <c r="E72" s="1593" t="s">
        <v>2270</v>
      </c>
      <c r="F72" s="1593" t="s">
        <v>2271</v>
      </c>
      <c r="G72" s="1593" t="s">
        <v>2272</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982</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911</v>
      </c>
      <c r="B75" s="263"/>
      <c r="C75" s="271" t="s">
        <v>912</v>
      </c>
      <c r="D75" s="272" t="s">
        <v>983</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984</v>
      </c>
      <c r="B77" s="275" t="s">
        <v>915</v>
      </c>
      <c r="C77" s="3040" t="s">
        <v>2301</v>
      </c>
      <c r="D77" s="3040" t="s">
        <v>2304</v>
      </c>
      <c r="E77" s="584" t="s">
        <v>2302</v>
      </c>
      <c r="F77" s="584" t="s">
        <v>2263</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918</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919</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99</v>
      </c>
      <c r="E83" s="284">
        <f t="shared" ref="E83:M83" si="18">IF($B$48="单位面积地价",D83+$K13,D83-$K13)</f>
        <v>98</v>
      </c>
      <c r="F83" s="284">
        <f t="shared" si="18"/>
        <v>97</v>
      </c>
      <c r="G83" s="284">
        <f t="shared" si="18"/>
        <v>96</v>
      </c>
      <c r="H83" s="284">
        <f t="shared" si="18"/>
        <v>95</v>
      </c>
      <c r="I83" s="284">
        <f t="shared" si="18"/>
        <v>94</v>
      </c>
      <c r="J83" s="284">
        <f t="shared" si="18"/>
        <v>93</v>
      </c>
      <c r="K83" s="284">
        <f t="shared" si="18"/>
        <v>92</v>
      </c>
      <c r="L83" s="284">
        <f t="shared" si="18"/>
        <v>91</v>
      </c>
      <c r="M83" s="284">
        <f t="shared" si="18"/>
        <v>90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985</v>
      </c>
      <c r="D84" s="1595" t="s">
        <v>920</v>
      </c>
      <c r="E84" s="1628" t="s">
        <v>921</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922</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97</v>
      </c>
      <c r="E93" s="284">
        <f>D93-$K19</f>
        <v>94</v>
      </c>
      <c r="F93" s="284">
        <f>E93-$K19</f>
        <v>91</v>
      </c>
      <c r="G93" s="284">
        <f>F93-$K19</f>
        <v>88</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928</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986</v>
      </c>
      <c r="D106" s="282" t="s">
        <v>987</v>
      </c>
      <c r="E106" s="282" t="s">
        <v>988</v>
      </c>
      <c r="F106" s="282" t="s">
        <v>989</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929</v>
      </c>
      <c r="C108" s="289" t="s">
        <v>990</v>
      </c>
      <c r="D108" s="289" t="s">
        <v>991</v>
      </c>
      <c r="E108" s="289" t="s">
        <v>992</v>
      </c>
      <c r="F108" s="289" t="s">
        <v>993</v>
      </c>
      <c r="G108" s="289" t="s">
        <v>994</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930</v>
      </c>
      <c r="C110" s="398" t="s">
        <v>995</v>
      </c>
      <c r="D110" s="398" t="s">
        <v>996</v>
      </c>
      <c r="E110" s="398" t="s">
        <v>997</v>
      </c>
      <c r="F110" s="398" t="s">
        <v>998</v>
      </c>
      <c r="G110" s="398" t="s">
        <v>999</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933</v>
      </c>
      <c r="B118" s="275" t="s">
        <v>934</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935</v>
      </c>
      <c r="C121" s="398" t="s">
        <v>1000</v>
      </c>
      <c r="D121" s="398" t="s">
        <v>1001</v>
      </c>
      <c r="E121" s="398" t="s">
        <v>1002</v>
      </c>
      <c r="F121" s="398" t="s">
        <v>1003</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937</v>
      </c>
      <c r="C123" s="289" t="s">
        <v>1004</v>
      </c>
      <c r="D123" s="289" t="s">
        <v>1005</v>
      </c>
      <c r="E123" s="289" t="s">
        <v>1006</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939</v>
      </c>
      <c r="C125" s="1595" t="s">
        <v>2264</v>
      </c>
      <c r="D125" s="1595" t="s">
        <v>2265</v>
      </c>
      <c r="E125" s="1595" t="s">
        <v>2266</v>
      </c>
      <c r="F125" s="1595" t="s">
        <v>2267</v>
      </c>
      <c r="G125" s="1595" t="s">
        <v>2268</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941</v>
      </c>
      <c r="C127" s="289" t="s">
        <v>167</v>
      </c>
      <c r="D127" s="289" t="s">
        <v>180</v>
      </c>
      <c r="E127" s="398" t="s">
        <v>1011</v>
      </c>
      <c r="F127" s="398" t="s">
        <v>1012</v>
      </c>
      <c r="G127" s="398" t="s">
        <v>1013</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891</v>
      </c>
      <c r="B1" s="467"/>
      <c r="C1" s="132" t="s">
        <v>1014</v>
      </c>
      <c r="D1" s="1514" t="s">
        <v>893</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516">
        <f>F63</f>
        <v>13523</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798</v>
      </c>
      <c r="B3" s="143">
        <f>ROUND(B2*10000/'数据-汇总表'!E3,0)</f>
        <v>3695</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894</v>
      </c>
      <c r="B4" s="653">
        <f>IF(B43="单位面积地价",C45,ROUND(B2*10000/'数据-汇总表'!D3,0))</f>
        <v>7903</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527</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895</v>
      </c>
      <c r="B6" s="147"/>
      <c r="C6" s="3206" t="s">
        <v>896</v>
      </c>
      <c r="D6" s="3207"/>
      <c r="E6" s="3250" t="s">
        <v>897</v>
      </c>
      <c r="F6" s="3251"/>
      <c r="G6" s="3206" t="s">
        <v>898</v>
      </c>
      <c r="H6" s="3207"/>
      <c r="I6" s="3206" t="s">
        <v>899</v>
      </c>
      <c r="J6" s="3207"/>
      <c r="K6" s="302" t="s">
        <v>900</v>
      </c>
      <c r="L6" s="303"/>
      <c r="M6" s="304"/>
      <c r="N6" s="304"/>
      <c r="O6" s="304"/>
      <c r="P6" s="3235" t="s">
        <v>901</v>
      </c>
      <c r="Q6" s="3236"/>
      <c r="R6" s="3241" t="s">
        <v>897</v>
      </c>
      <c r="S6" s="3242"/>
      <c r="T6" s="3241" t="s">
        <v>898</v>
      </c>
      <c r="U6" s="3242"/>
      <c r="V6" s="3227" t="s">
        <v>899</v>
      </c>
      <c r="W6" s="3227"/>
      <c r="X6" s="371"/>
      <c r="Y6" s="3241" t="s">
        <v>901</v>
      </c>
      <c r="Z6" s="3242"/>
      <c r="AA6" s="3228" t="s">
        <v>897</v>
      </c>
      <c r="AB6" s="3229" t="s">
        <v>898</v>
      </c>
      <c r="AC6" s="3228" t="s">
        <v>899</v>
      </c>
    </row>
    <row r="7" spans="1:29" ht="15">
      <c r="A7" s="148"/>
      <c r="B7" s="149"/>
      <c r="C7" s="3208" t="s">
        <v>902</v>
      </c>
      <c r="D7" s="3209"/>
      <c r="E7" s="3252" t="s">
        <v>903</v>
      </c>
      <c r="F7" s="3253"/>
      <c r="G7" s="3208" t="s">
        <v>904</v>
      </c>
      <c r="H7" s="3209"/>
      <c r="I7" s="3208" t="s">
        <v>905</v>
      </c>
      <c r="J7" s="3209"/>
      <c r="K7" s="302"/>
      <c r="L7" s="303"/>
      <c r="M7" s="304"/>
      <c r="N7" s="304"/>
      <c r="O7" s="304"/>
      <c r="P7" s="3237"/>
      <c r="Q7" s="3238"/>
      <c r="R7" s="3243"/>
      <c r="S7" s="3244"/>
      <c r="T7" s="3243"/>
      <c r="U7" s="3244"/>
      <c r="V7" s="3227"/>
      <c r="W7" s="3227"/>
      <c r="X7" s="371"/>
      <c r="Y7" s="3243"/>
      <c r="Z7" s="3244"/>
      <c r="AA7" s="3229"/>
      <c r="AB7" s="3229"/>
      <c r="AC7" s="3229"/>
    </row>
    <row r="8" spans="1:29" ht="15">
      <c r="A8" s="150"/>
      <c r="B8" s="151"/>
      <c r="C8" s="3254" t="s">
        <v>906</v>
      </c>
      <c r="D8" s="3214"/>
      <c r="E8" s="3255" t="s">
        <v>906</v>
      </c>
      <c r="F8" s="3256"/>
      <c r="G8" s="3254" t="s">
        <v>906</v>
      </c>
      <c r="H8" s="3214"/>
      <c r="I8" s="3254" t="s">
        <v>906</v>
      </c>
      <c r="J8" s="3214"/>
      <c r="K8" s="302" t="s">
        <v>907</v>
      </c>
      <c r="L8" s="303"/>
      <c r="M8" s="304"/>
      <c r="N8" s="304"/>
      <c r="O8" s="304"/>
      <c r="P8" s="3239"/>
      <c r="Q8" s="3240"/>
      <c r="R8" s="3243"/>
      <c r="S8" s="3244"/>
      <c r="T8" s="3245"/>
      <c r="U8" s="3246"/>
      <c r="V8" s="3227"/>
      <c r="W8" s="3227"/>
      <c r="X8" s="371"/>
      <c r="Y8" s="3245"/>
      <c r="Z8" s="3246"/>
      <c r="AA8" s="3230"/>
      <c r="AB8" s="3230"/>
      <c r="AC8" s="3230"/>
    </row>
    <row r="9" spans="1:29" s="122" customFormat="1" ht="15">
      <c r="A9" s="152" t="s">
        <v>908</v>
      </c>
      <c r="B9" s="153"/>
      <c r="C9" s="154">
        <f>'数据-取费表'!B2</f>
        <v>43041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48" t="s">
        <v>909</v>
      </c>
      <c r="Q9" s="3257"/>
      <c r="R9" s="372" t="s">
        <v>910</v>
      </c>
      <c r="S9" s="373">
        <f t="shared" ref="S9:S17" si="0">F9</f>
        <v>99.5</v>
      </c>
      <c r="T9" s="372" t="s">
        <v>910</v>
      </c>
      <c r="U9" s="373">
        <f t="shared" ref="U9:U17" si="1">H9</f>
        <v>97</v>
      </c>
      <c r="V9" s="372" t="s">
        <v>910</v>
      </c>
      <c r="W9" s="373">
        <f t="shared" ref="W9:W17" si="2">J9</f>
        <v>99</v>
      </c>
      <c r="X9" s="374"/>
      <c r="Y9" s="3248" t="s">
        <v>909</v>
      </c>
      <c r="Z9" s="3249"/>
      <c r="AA9" s="391">
        <f>D9/F9</f>
        <v>1.0050251256281406</v>
      </c>
      <c r="AB9" s="391">
        <f>D9/H9</f>
        <v>1.0309278350515463</v>
      </c>
      <c r="AC9" s="391">
        <f>D9/J9</f>
        <v>1.0101010101010102</v>
      </c>
    </row>
    <row r="10" spans="1:29" s="122" customFormat="1" ht="15">
      <c r="A10" s="152" t="s">
        <v>911</v>
      </c>
      <c r="B10" s="153"/>
      <c r="C10" s="159" t="s">
        <v>912</v>
      </c>
      <c r="D10" s="155">
        <v>100</v>
      </c>
      <c r="E10" s="159" t="s">
        <v>912</v>
      </c>
      <c r="F10" s="157">
        <f>SUMIF(70:70,E10,71:71)-SUMIF(70:70,C10,71:71)+100</f>
        <v>100</v>
      </c>
      <c r="G10" s="159" t="s">
        <v>983</v>
      </c>
      <c r="H10" s="155">
        <f>SUMIF(70:70,G10,71:71)-SUMIF(70:70,C10,71:71)+100</f>
        <v>96</v>
      </c>
      <c r="I10" s="159" t="s">
        <v>912</v>
      </c>
      <c r="J10" s="155">
        <f>SUMIF(70:70,I10,71:71)-SUMIF(70:70,C10,71:71)+100</f>
        <v>100</v>
      </c>
      <c r="K10" s="305"/>
      <c r="L10" s="306"/>
      <c r="M10" s="307"/>
      <c r="N10" s="307"/>
      <c r="O10" s="307"/>
      <c r="P10" s="3248" t="s">
        <v>913</v>
      </c>
      <c r="Q10" s="3249"/>
      <c r="R10" s="372" t="s">
        <v>910</v>
      </c>
      <c r="S10" s="373">
        <f t="shared" si="0"/>
        <v>100</v>
      </c>
      <c r="T10" s="372" t="s">
        <v>910</v>
      </c>
      <c r="U10" s="373">
        <f t="shared" si="1"/>
        <v>96</v>
      </c>
      <c r="V10" s="372" t="s">
        <v>910</v>
      </c>
      <c r="W10" s="373">
        <f t="shared" si="2"/>
        <v>100</v>
      </c>
      <c r="X10" s="374"/>
      <c r="Y10" s="3248" t="s">
        <v>913</v>
      </c>
      <c r="Z10" s="3249"/>
      <c r="AA10" s="391">
        <f t="shared" ref="AA10:AA42" si="3">D10/F10</f>
        <v>1</v>
      </c>
      <c r="AB10" s="391">
        <f t="shared" ref="AB10:AB42" si="4">D10/H10</f>
        <v>1.0416666666666667</v>
      </c>
      <c r="AC10" s="391">
        <f t="shared" ref="AC10:AC42" si="5">D10/J10</f>
        <v>1</v>
      </c>
    </row>
    <row r="11" spans="1:29" s="122" customFormat="1">
      <c r="A11" s="160" t="s">
        <v>914</v>
      </c>
      <c r="B11" s="161" t="s">
        <v>915</v>
      </c>
      <c r="C11" s="1519" t="s">
        <v>200</v>
      </c>
      <c r="D11" s="163">
        <v>100</v>
      </c>
      <c r="E11" s="1519" t="s">
        <v>1015</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18" t="s">
        <v>916</v>
      </c>
      <c r="Q11" s="375" t="str">
        <f t="shared" ref="Q11:Q17" si="6">B11</f>
        <v>用途</v>
      </c>
      <c r="R11" s="372" t="s">
        <v>910</v>
      </c>
      <c r="S11" s="373">
        <f t="shared" si="0"/>
        <v>105</v>
      </c>
      <c r="T11" s="372" t="s">
        <v>910</v>
      </c>
      <c r="U11" s="373">
        <f t="shared" si="1"/>
        <v>100</v>
      </c>
      <c r="V11" s="372" t="s">
        <v>910</v>
      </c>
      <c r="W11" s="373">
        <f t="shared" si="2"/>
        <v>100</v>
      </c>
      <c r="X11" s="374"/>
      <c r="Y11" s="3201" t="s">
        <v>917</v>
      </c>
      <c r="Z11" s="392" t="str">
        <f t="shared" ref="Z11:Z17" si="7">Q11</f>
        <v>用途</v>
      </c>
      <c r="AA11" s="391">
        <f t="shared" si="3"/>
        <v>0.95238095238095233</v>
      </c>
      <c r="AB11" s="391">
        <f t="shared" si="4"/>
        <v>1</v>
      </c>
      <c r="AC11" s="391">
        <f t="shared" si="5"/>
        <v>1</v>
      </c>
    </row>
    <row r="12" spans="1:29" s="123" customFormat="1" ht="27">
      <c r="A12" s="165"/>
      <c r="B12" s="166" t="s">
        <v>918</v>
      </c>
      <c r="C12" s="172"/>
      <c r="D12" s="168">
        <v>100</v>
      </c>
      <c r="E12" s="172"/>
      <c r="F12" s="168">
        <f>ROUND(100/'数据-取费表'!G16,0)</f>
        <v>117</v>
      </c>
      <c r="G12" s="172"/>
      <c r="H12" s="168">
        <f>ROUND(100/'数据-取费表'!G16,0)</f>
        <v>117</v>
      </c>
      <c r="I12" s="172"/>
      <c r="J12" s="168">
        <f>ROUND(100/'数据-取费表'!G16,0)</f>
        <v>117</v>
      </c>
      <c r="K12" s="1576"/>
      <c r="L12" s="311"/>
      <c r="M12" s="312"/>
      <c r="N12" s="312"/>
      <c r="O12" s="313"/>
      <c r="P12" s="3218"/>
      <c r="Q12" s="375" t="str">
        <f t="shared" si="6"/>
        <v>土地使用年限（年）</v>
      </c>
      <c r="R12" s="372" t="s">
        <v>910</v>
      </c>
      <c r="S12" s="373">
        <f t="shared" si="0"/>
        <v>117</v>
      </c>
      <c r="T12" s="372" t="s">
        <v>910</v>
      </c>
      <c r="U12" s="373">
        <f t="shared" si="1"/>
        <v>117</v>
      </c>
      <c r="V12" s="372" t="s">
        <v>910</v>
      </c>
      <c r="W12" s="373">
        <f t="shared" si="2"/>
        <v>117</v>
      </c>
      <c r="X12" s="374"/>
      <c r="Y12" s="3201"/>
      <c r="Z12" s="392" t="str">
        <f t="shared" si="7"/>
        <v>土地使用年限（年）</v>
      </c>
      <c r="AA12" s="391">
        <f t="shared" si="3"/>
        <v>0.85470085470085466</v>
      </c>
      <c r="AB12" s="391">
        <f t="shared" si="4"/>
        <v>0.85470085470085466</v>
      </c>
      <c r="AC12" s="391">
        <f t="shared" si="5"/>
        <v>0.85470085470085466</v>
      </c>
    </row>
    <row r="13" spans="1:29" ht="15">
      <c r="A13" s="170"/>
      <c r="B13" s="166" t="s">
        <v>919</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18"/>
      <c r="Q13" s="375" t="str">
        <f t="shared" si="6"/>
        <v>容积率</v>
      </c>
      <c r="R13" s="372" t="s">
        <v>910</v>
      </c>
      <c r="S13" s="373">
        <f t="shared" si="0"/>
        <v>97</v>
      </c>
      <c r="T13" s="372" t="s">
        <v>910</v>
      </c>
      <c r="U13" s="373">
        <f t="shared" si="1"/>
        <v>97</v>
      </c>
      <c r="V13" s="372" t="s">
        <v>910</v>
      </c>
      <c r="W13" s="373">
        <f t="shared" si="2"/>
        <v>91</v>
      </c>
      <c r="X13" s="374"/>
      <c r="Y13" s="3201"/>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18"/>
      <c r="Q14" s="375">
        <f t="shared" si="6"/>
        <v>111</v>
      </c>
      <c r="R14" s="372" t="s">
        <v>910</v>
      </c>
      <c r="S14" s="373">
        <f t="shared" si="0"/>
        <v>99</v>
      </c>
      <c r="T14" s="372" t="s">
        <v>910</v>
      </c>
      <c r="U14" s="373">
        <f t="shared" si="1"/>
        <v>98</v>
      </c>
      <c r="V14" s="372" t="s">
        <v>910</v>
      </c>
      <c r="W14" s="373">
        <f t="shared" si="2"/>
        <v>97</v>
      </c>
      <c r="X14" s="374"/>
      <c r="Y14" s="3201"/>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18"/>
      <c r="Q15" s="375">
        <f t="shared" si="6"/>
        <v>111</v>
      </c>
      <c r="R15" s="372" t="s">
        <v>910</v>
      </c>
      <c r="S15" s="373">
        <f t="shared" si="0"/>
        <v>98</v>
      </c>
      <c r="T15" s="372" t="s">
        <v>910</v>
      </c>
      <c r="U15" s="373">
        <f t="shared" si="1"/>
        <v>96</v>
      </c>
      <c r="V15" s="372" t="s">
        <v>910</v>
      </c>
      <c r="W15" s="373">
        <f t="shared" si="2"/>
        <v>94</v>
      </c>
      <c r="X15" s="374"/>
      <c r="Y15" s="3201"/>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18"/>
      <c r="Q16" s="375">
        <f t="shared" si="6"/>
        <v>111</v>
      </c>
      <c r="R16" s="372" t="s">
        <v>910</v>
      </c>
      <c r="S16" s="373">
        <f t="shared" si="0"/>
        <v>97</v>
      </c>
      <c r="T16" s="372" t="s">
        <v>910</v>
      </c>
      <c r="U16" s="373">
        <f t="shared" si="1"/>
        <v>94</v>
      </c>
      <c r="V16" s="372" t="s">
        <v>910</v>
      </c>
      <c r="W16" s="373">
        <f t="shared" si="2"/>
        <v>91</v>
      </c>
      <c r="X16" s="374"/>
      <c r="Y16" s="3201"/>
      <c r="Z16" s="392">
        <f t="shared" si="7"/>
        <v>111</v>
      </c>
      <c r="AA16" s="391">
        <f t="shared" si="3"/>
        <v>1.0309278350515463</v>
      </c>
      <c r="AB16" s="391">
        <f t="shared" si="4"/>
        <v>1.0638297872340425</v>
      </c>
      <c r="AC16" s="391">
        <f t="shared" si="5"/>
        <v>1.098901098901099</v>
      </c>
    </row>
    <row r="17" spans="1:29" ht="71.25">
      <c r="A17" s="178" t="s">
        <v>922</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19" t="s">
        <v>923</v>
      </c>
      <c r="Q17" s="309" t="str">
        <f t="shared" si="6"/>
        <v>产业集聚程度</v>
      </c>
      <c r="R17" s="376" t="s">
        <v>910</v>
      </c>
      <c r="S17" s="377">
        <f t="shared" si="0"/>
        <v>100</v>
      </c>
      <c r="T17" s="376" t="s">
        <v>910</v>
      </c>
      <c r="U17" s="377">
        <f t="shared" si="1"/>
        <v>100</v>
      </c>
      <c r="V17" s="376" t="s">
        <v>910</v>
      </c>
      <c r="W17" s="377">
        <f t="shared" si="2"/>
        <v>100</v>
      </c>
      <c r="X17" s="371"/>
      <c r="Y17" s="3219" t="s">
        <v>923</v>
      </c>
      <c r="Z17" s="370" t="str">
        <f t="shared" si="7"/>
        <v>产业集聚程度</v>
      </c>
      <c r="AA17" s="382">
        <f t="shared" si="3"/>
        <v>1</v>
      </c>
      <c r="AB17" s="382">
        <f t="shared" si="4"/>
        <v>1</v>
      </c>
      <c r="AC17" s="382">
        <f t="shared" si="5"/>
        <v>1</v>
      </c>
    </row>
    <row r="18" spans="1:29" ht="15">
      <c r="A18" s="170"/>
      <c r="B18" s="185"/>
      <c r="C18" s="186" t="s">
        <v>1011</v>
      </c>
      <c r="D18" s="187"/>
      <c r="E18" s="506" t="s">
        <v>1011</v>
      </c>
      <c r="F18" s="187"/>
      <c r="G18" s="506" t="s">
        <v>1011</v>
      </c>
      <c r="H18" s="189"/>
      <c r="I18" s="506" t="s">
        <v>1011</v>
      </c>
      <c r="J18" s="187"/>
      <c r="K18" s="1576"/>
      <c r="L18" s="317"/>
      <c r="M18" s="304"/>
      <c r="N18" s="304"/>
      <c r="O18" s="316"/>
      <c r="P18" s="3220"/>
      <c r="Q18" s="309"/>
      <c r="R18" s="376"/>
      <c r="S18" s="377"/>
      <c r="T18" s="376"/>
      <c r="U18" s="377"/>
      <c r="V18" s="376"/>
      <c r="W18" s="377"/>
      <c r="X18" s="371"/>
      <c r="Y18" s="3220"/>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20"/>
      <c r="Q19" s="309" t="str">
        <f>B19</f>
        <v>交通便捷度</v>
      </c>
      <c r="R19" s="376" t="s">
        <v>910</v>
      </c>
      <c r="S19" s="377">
        <f>F19</f>
        <v>96</v>
      </c>
      <c r="T19" s="376" t="s">
        <v>910</v>
      </c>
      <c r="U19" s="377">
        <f>H19</f>
        <v>102</v>
      </c>
      <c r="V19" s="376" t="s">
        <v>910</v>
      </c>
      <c r="W19" s="377">
        <f>J19</f>
        <v>98</v>
      </c>
      <c r="X19" s="371"/>
      <c r="Y19" s="3220"/>
      <c r="Z19" s="370" t="str">
        <f>Q19</f>
        <v>交通便捷度</v>
      </c>
      <c r="AA19" s="382">
        <f t="shared" si="3"/>
        <v>1.0416666666666667</v>
      </c>
      <c r="AB19" s="382">
        <f t="shared" si="4"/>
        <v>0.98039215686274506</v>
      </c>
      <c r="AC19" s="382">
        <f t="shared" si="5"/>
        <v>1.0204081632653061</v>
      </c>
    </row>
    <row r="20" spans="1:29" ht="15">
      <c r="A20" s="170"/>
      <c r="B20" s="476"/>
      <c r="C20" s="186" t="s">
        <v>1011</v>
      </c>
      <c r="D20" s="187"/>
      <c r="E20" s="474" t="s">
        <v>1013</v>
      </c>
      <c r="F20" s="187"/>
      <c r="G20" s="474" t="s">
        <v>1016</v>
      </c>
      <c r="H20" s="187"/>
      <c r="I20" s="475" t="s">
        <v>1012</v>
      </c>
      <c r="J20" s="187"/>
      <c r="K20" s="1576"/>
      <c r="L20" s="317"/>
      <c r="M20" s="304"/>
      <c r="N20" s="304"/>
      <c r="O20" s="316"/>
      <c r="P20" s="3220"/>
      <c r="Q20" s="309"/>
      <c r="R20" s="376"/>
      <c r="S20" s="377"/>
      <c r="T20" s="376"/>
      <c r="U20" s="377"/>
      <c r="V20" s="376"/>
      <c r="W20" s="377"/>
      <c r="X20" s="371"/>
      <c r="Y20" s="3220"/>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20"/>
      <c r="Q21" s="309" t="str">
        <f t="shared" ref="Q21:Q36" si="8">B21</f>
        <v>区域土地利用方向</v>
      </c>
      <c r="R21" s="376" t="s">
        <v>910</v>
      </c>
      <c r="S21" s="377">
        <f>F21</f>
        <v>97</v>
      </c>
      <c r="T21" s="376" t="s">
        <v>910</v>
      </c>
      <c r="U21" s="377">
        <f>H21</f>
        <v>103</v>
      </c>
      <c r="V21" s="376" t="s">
        <v>910</v>
      </c>
      <c r="W21" s="377">
        <f>J21</f>
        <v>94</v>
      </c>
      <c r="X21" s="371"/>
      <c r="Y21" s="3220"/>
      <c r="Z21" s="370" t="str">
        <f>Q21</f>
        <v>区域土地利用方向</v>
      </c>
      <c r="AA21" s="382">
        <f t="shared" si="3"/>
        <v>1.0309278350515463</v>
      </c>
      <c r="AB21" s="382">
        <f t="shared" si="4"/>
        <v>0.970873786407767</v>
      </c>
      <c r="AC21" s="382">
        <f t="shared" si="5"/>
        <v>1.0638297872340425</v>
      </c>
    </row>
    <row r="22" spans="1:29" ht="15">
      <c r="A22" s="148"/>
      <c r="B22" s="204"/>
      <c r="C22" s="186" t="s">
        <v>924</v>
      </c>
      <c r="D22" s="187"/>
      <c r="E22" s="474" t="s">
        <v>926</v>
      </c>
      <c r="F22" s="188"/>
      <c r="G22" s="475" t="s">
        <v>925</v>
      </c>
      <c r="H22" s="188"/>
      <c r="I22" s="475" t="s">
        <v>927</v>
      </c>
      <c r="J22" s="188"/>
      <c r="K22" s="1579"/>
      <c r="L22" s="317"/>
      <c r="M22" s="304"/>
      <c r="N22" s="304"/>
      <c r="O22" s="316"/>
      <c r="P22" s="3220"/>
      <c r="Q22" s="309"/>
      <c r="R22" s="376"/>
      <c r="S22" s="377"/>
      <c r="T22" s="376"/>
      <c r="U22" s="377"/>
      <c r="V22" s="376"/>
      <c r="W22" s="377"/>
      <c r="X22" s="371"/>
      <c r="Y22" s="3220"/>
      <c r="Z22" s="370"/>
      <c r="AA22" s="382"/>
      <c r="AB22" s="382"/>
      <c r="AC22" s="382"/>
    </row>
    <row r="23" spans="1:29" ht="71.25">
      <c r="A23" s="148"/>
      <c r="B23" s="476" t="s">
        <v>1017</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20"/>
      <c r="Q23" s="309" t="str">
        <f t="shared" si="8"/>
        <v>环境状况</v>
      </c>
      <c r="R23" s="376" t="s">
        <v>910</v>
      </c>
      <c r="S23" s="377">
        <f>F23</f>
        <v>96</v>
      </c>
      <c r="T23" s="376" t="s">
        <v>910</v>
      </c>
      <c r="U23" s="377">
        <f>H23</f>
        <v>102</v>
      </c>
      <c r="V23" s="376" t="s">
        <v>910</v>
      </c>
      <c r="W23" s="377">
        <f>J23</f>
        <v>98</v>
      </c>
      <c r="X23" s="371"/>
      <c r="Y23" s="3220"/>
      <c r="Z23" s="370" t="str">
        <f>Q23</f>
        <v>环境状况</v>
      </c>
      <c r="AA23" s="382">
        <f t="shared" si="3"/>
        <v>1.0416666666666667</v>
      </c>
      <c r="AB23" s="382">
        <f t="shared" si="4"/>
        <v>0.98039215686274506</v>
      </c>
      <c r="AC23" s="382">
        <f t="shared" si="5"/>
        <v>1.0204081632653061</v>
      </c>
    </row>
    <row r="24" spans="1:29" ht="15">
      <c r="A24" s="148"/>
      <c r="B24" s="204"/>
      <c r="C24" s="186" t="s">
        <v>1011</v>
      </c>
      <c r="D24" s="187"/>
      <c r="E24" s="506" t="s">
        <v>1013</v>
      </c>
      <c r="F24" s="187"/>
      <c r="G24" s="506" t="s">
        <v>1016</v>
      </c>
      <c r="H24" s="187"/>
      <c r="I24" s="186" t="s">
        <v>1012</v>
      </c>
      <c r="J24" s="187"/>
      <c r="K24" s="1576"/>
      <c r="L24" s="317"/>
      <c r="M24" s="304"/>
      <c r="N24" s="304"/>
      <c r="O24" s="316"/>
      <c r="P24" s="3220"/>
      <c r="Q24" s="309"/>
      <c r="R24" s="376"/>
      <c r="S24" s="377"/>
      <c r="T24" s="376"/>
      <c r="U24" s="377"/>
      <c r="V24" s="376"/>
      <c r="W24" s="377"/>
      <c r="X24" s="371"/>
      <c r="Y24" s="3220"/>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20"/>
      <c r="Q25" s="375" t="str">
        <f t="shared" si="8"/>
        <v>公共配套设施</v>
      </c>
      <c r="R25" s="372" t="s">
        <v>910</v>
      </c>
      <c r="S25" s="373">
        <f>F25</f>
        <v>96</v>
      </c>
      <c r="T25" s="372" t="s">
        <v>910</v>
      </c>
      <c r="U25" s="373">
        <f>H25</f>
        <v>98</v>
      </c>
      <c r="V25" s="372" t="s">
        <v>910</v>
      </c>
      <c r="W25" s="373">
        <f>J25</f>
        <v>102</v>
      </c>
      <c r="X25" s="374"/>
      <c r="Y25" s="3220"/>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1012</v>
      </c>
      <c r="F26" s="187"/>
      <c r="G26" s="506" t="s">
        <v>1011</v>
      </c>
      <c r="H26" s="187"/>
      <c r="I26" s="186" t="s">
        <v>1018</v>
      </c>
      <c r="J26" s="187"/>
      <c r="K26" s="1576"/>
      <c r="L26" s="306"/>
      <c r="M26" s="307"/>
      <c r="N26" s="307"/>
      <c r="O26" s="308"/>
      <c r="P26" s="3220"/>
      <c r="Q26" s="375"/>
      <c r="R26" s="372"/>
      <c r="S26" s="373"/>
      <c r="T26" s="372"/>
      <c r="U26" s="373"/>
      <c r="V26" s="372"/>
      <c r="W26" s="373"/>
      <c r="X26" s="374"/>
      <c r="Y26" s="3220"/>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20"/>
      <c r="Q27" s="375" t="str">
        <f>B27</f>
        <v>基础设施水平</v>
      </c>
      <c r="R27" s="372" t="s">
        <v>910</v>
      </c>
      <c r="S27" s="373">
        <f>F27</f>
        <v>99</v>
      </c>
      <c r="T27" s="372" t="s">
        <v>910</v>
      </c>
      <c r="U27" s="373">
        <f>H27</f>
        <v>98</v>
      </c>
      <c r="V27" s="372" t="s">
        <v>910</v>
      </c>
      <c r="W27" s="373">
        <f>J27</f>
        <v>97</v>
      </c>
      <c r="X27" s="374"/>
      <c r="Y27" s="3220"/>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20"/>
      <c r="Q28" s="375"/>
      <c r="R28" s="372"/>
      <c r="S28" s="373"/>
      <c r="T28" s="372"/>
      <c r="U28" s="373"/>
      <c r="V28" s="372"/>
      <c r="W28" s="373"/>
      <c r="X28" s="374"/>
      <c r="Y28" s="3220"/>
      <c r="Z28" s="392"/>
      <c r="AA28" s="391">
        <v>1</v>
      </c>
      <c r="AB28" s="391">
        <v>1</v>
      </c>
      <c r="AC28" s="391">
        <v>1</v>
      </c>
    </row>
    <row r="29" spans="1:29" ht="15">
      <c r="A29" s="170"/>
      <c r="B29" s="204" t="s">
        <v>154</v>
      </c>
      <c r="C29" s="205" t="s">
        <v>988</v>
      </c>
      <c r="D29" s="177">
        <v>100</v>
      </c>
      <c r="E29" s="510" t="s">
        <v>988</v>
      </c>
      <c r="F29" s="177">
        <f>SUMIF(97:97,E29,98:98)-SUMIF(97:97,C29,98:98)+100</f>
        <v>100</v>
      </c>
      <c r="G29" s="510" t="s">
        <v>988</v>
      </c>
      <c r="H29" s="177">
        <f>SUMIF(97:97,G29,98:98)-SUMIF(97:97,C29,98:98)+100</f>
        <v>100</v>
      </c>
      <c r="I29" s="510" t="s">
        <v>988</v>
      </c>
      <c r="J29" s="177">
        <f>SUMIF(97:97,I29,98:98)-SUMIF(97:97,C29,98:98)+100</f>
        <v>100</v>
      </c>
      <c r="K29" s="1577">
        <v>1.5</v>
      </c>
      <c r="L29" s="317"/>
      <c r="M29" s="304"/>
      <c r="N29" s="304"/>
      <c r="O29" s="316"/>
      <c r="P29" s="3220"/>
      <c r="Q29" s="309" t="str">
        <f t="shared" si="8"/>
        <v>临街状况</v>
      </c>
      <c r="R29" s="376" t="s">
        <v>910</v>
      </c>
      <c r="S29" s="377">
        <f t="shared" ref="S29:S42" si="9">F29</f>
        <v>100</v>
      </c>
      <c r="T29" s="376" t="s">
        <v>910</v>
      </c>
      <c r="U29" s="377">
        <f t="shared" ref="U29:U42" si="10">H29</f>
        <v>100</v>
      </c>
      <c r="V29" s="376" t="s">
        <v>910</v>
      </c>
      <c r="W29" s="377">
        <f t="shared" ref="W29:W42" si="11">J29</f>
        <v>100</v>
      </c>
      <c r="X29" s="371"/>
      <c r="Y29" s="3220"/>
      <c r="Z29" s="370" t="str">
        <f t="shared" ref="Z29:Z42" si="12">Q29</f>
        <v>临街状况</v>
      </c>
      <c r="AA29" s="382">
        <f t="shared" si="3"/>
        <v>1</v>
      </c>
      <c r="AB29" s="382">
        <f t="shared" si="4"/>
        <v>1</v>
      </c>
      <c r="AC29" s="382">
        <f t="shared" si="5"/>
        <v>1</v>
      </c>
    </row>
    <row r="30" spans="1:29" ht="28.5">
      <c r="A30" s="170"/>
      <c r="B30" s="476" t="s">
        <v>929</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20"/>
      <c r="Q30" s="309" t="str">
        <f t="shared" si="8"/>
        <v>毗邻道路的类型与等级</v>
      </c>
      <c r="R30" s="376" t="s">
        <v>910</v>
      </c>
      <c r="S30" s="377">
        <f t="shared" si="9"/>
        <v>100</v>
      </c>
      <c r="T30" s="376" t="s">
        <v>910</v>
      </c>
      <c r="U30" s="377">
        <f t="shared" si="10"/>
        <v>102</v>
      </c>
      <c r="V30" s="376" t="s">
        <v>910</v>
      </c>
      <c r="W30" s="377">
        <f t="shared" si="11"/>
        <v>106</v>
      </c>
      <c r="X30" s="371"/>
      <c r="Y30" s="3220"/>
      <c r="Z30" s="370" t="str">
        <f t="shared" si="12"/>
        <v>毗邻道路的类型与等级</v>
      </c>
      <c r="AA30" s="382">
        <f t="shared" si="3"/>
        <v>1</v>
      </c>
      <c r="AB30" s="382">
        <f t="shared" si="4"/>
        <v>0.98039215686274506</v>
      </c>
      <c r="AC30" s="382">
        <f t="shared" si="5"/>
        <v>0.94339622641509435</v>
      </c>
    </row>
    <row r="31" spans="1:29" ht="15">
      <c r="A31" s="170"/>
      <c r="B31" s="204"/>
      <c r="C31" s="186" t="s">
        <v>1019</v>
      </c>
      <c r="D31" s="187"/>
      <c r="E31" s="506" t="s">
        <v>1020</v>
      </c>
      <c r="F31" s="187"/>
      <c r="G31" s="506" t="s">
        <v>1021</v>
      </c>
      <c r="H31" s="187"/>
      <c r="I31" s="186" t="s">
        <v>1022</v>
      </c>
      <c r="J31" s="187"/>
      <c r="K31" s="314"/>
      <c r="L31" s="317"/>
      <c r="M31" s="304"/>
      <c r="N31" s="304"/>
      <c r="O31" s="316"/>
      <c r="P31" s="3220"/>
      <c r="Q31" s="309"/>
      <c r="R31" s="376"/>
      <c r="S31" s="377"/>
      <c r="T31" s="376"/>
      <c r="U31" s="377"/>
      <c r="V31" s="376"/>
      <c r="W31" s="377"/>
      <c r="X31" s="371"/>
      <c r="Y31" s="3220"/>
      <c r="Z31" s="370"/>
      <c r="AA31" s="382">
        <v>1</v>
      </c>
      <c r="AB31" s="382">
        <v>1</v>
      </c>
      <c r="AC31" s="382">
        <v>1</v>
      </c>
    </row>
    <row r="32" spans="1:29" ht="15">
      <c r="A32" s="170"/>
      <c r="B32" s="166" t="s">
        <v>930</v>
      </c>
      <c r="C32" s="1524" t="str">
        <f>估价对象房地状况!G23</f>
        <v>3级</v>
      </c>
      <c r="D32" s="177">
        <v>100</v>
      </c>
      <c r="E32" s="510" t="s">
        <v>997</v>
      </c>
      <c r="F32" s="177">
        <f>SUMIF(101:101,E32,102:102)-SUMIF(101:101,C32,102:102)+100</f>
        <v>100</v>
      </c>
      <c r="G32" s="510" t="s">
        <v>995</v>
      </c>
      <c r="H32" s="177">
        <f>SUMIF(101:101,G32,102:102)-SUMIF(101:101,C32,102:102)+100</f>
        <v>105</v>
      </c>
      <c r="I32" s="510" t="s">
        <v>995</v>
      </c>
      <c r="J32" s="177">
        <f>SUMIF(101:101,I32,102:102)-SUMIF(101:101,C32,102:102)+100</f>
        <v>105</v>
      </c>
      <c r="K32" s="310">
        <v>2.5</v>
      </c>
      <c r="L32" s="317"/>
      <c r="M32" s="304"/>
      <c r="N32" s="304"/>
      <c r="O32" s="316"/>
      <c r="P32" s="3220"/>
      <c r="Q32" s="309" t="str">
        <f t="shared" si="8"/>
        <v>土地级别</v>
      </c>
      <c r="R32" s="376" t="s">
        <v>910</v>
      </c>
      <c r="S32" s="377">
        <f t="shared" si="9"/>
        <v>100</v>
      </c>
      <c r="T32" s="376" t="s">
        <v>910</v>
      </c>
      <c r="U32" s="377">
        <f t="shared" si="10"/>
        <v>105</v>
      </c>
      <c r="V32" s="376" t="s">
        <v>910</v>
      </c>
      <c r="W32" s="377">
        <f t="shared" si="11"/>
        <v>105</v>
      </c>
      <c r="X32" s="371"/>
      <c r="Y32" s="3220"/>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20"/>
      <c r="Q33" s="309">
        <f t="shared" si="8"/>
        <v>111</v>
      </c>
      <c r="R33" s="376" t="s">
        <v>910</v>
      </c>
      <c r="S33" s="377">
        <f t="shared" si="9"/>
        <v>99</v>
      </c>
      <c r="T33" s="376" t="s">
        <v>910</v>
      </c>
      <c r="U33" s="377">
        <f t="shared" si="10"/>
        <v>98</v>
      </c>
      <c r="V33" s="376" t="s">
        <v>910</v>
      </c>
      <c r="W33" s="377">
        <f t="shared" si="11"/>
        <v>97</v>
      </c>
      <c r="X33" s="371"/>
      <c r="Y33" s="3220"/>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21" t="s">
        <v>932</v>
      </c>
      <c r="Q34" s="309">
        <f t="shared" si="8"/>
        <v>111</v>
      </c>
      <c r="R34" s="376" t="s">
        <v>910</v>
      </c>
      <c r="S34" s="377">
        <f t="shared" si="9"/>
        <v>98</v>
      </c>
      <c r="T34" s="376" t="s">
        <v>910</v>
      </c>
      <c r="U34" s="377">
        <f t="shared" si="10"/>
        <v>96</v>
      </c>
      <c r="V34" s="376" t="s">
        <v>910</v>
      </c>
      <c r="W34" s="377">
        <f t="shared" si="11"/>
        <v>94</v>
      </c>
      <c r="X34" s="371"/>
      <c r="Y34" s="3222" t="s">
        <v>932</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22"/>
      <c r="Q35" s="309">
        <f t="shared" si="8"/>
        <v>111</v>
      </c>
      <c r="R35" s="379" t="s">
        <v>910</v>
      </c>
      <c r="S35" s="380">
        <f t="shared" si="9"/>
        <v>97</v>
      </c>
      <c r="T35" s="379" t="s">
        <v>910</v>
      </c>
      <c r="U35" s="380">
        <f t="shared" si="10"/>
        <v>94</v>
      </c>
      <c r="V35" s="379" t="s">
        <v>910</v>
      </c>
      <c r="W35" s="380">
        <f t="shared" si="11"/>
        <v>91</v>
      </c>
      <c r="X35" s="381"/>
      <c r="Y35" s="3222"/>
      <c r="Z35" s="393">
        <f t="shared" si="12"/>
        <v>111</v>
      </c>
      <c r="AA35" s="382">
        <f t="shared" si="3"/>
        <v>1.0309278350515463</v>
      </c>
      <c r="AB35" s="382">
        <f t="shared" si="4"/>
        <v>1.0638297872340425</v>
      </c>
      <c r="AC35" s="382">
        <f t="shared" si="5"/>
        <v>1.098901098901099</v>
      </c>
    </row>
    <row r="36" spans="1:29" ht="15">
      <c r="A36" s="218" t="s">
        <v>933</v>
      </c>
      <c r="B36" s="204" t="s">
        <v>934</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22"/>
      <c r="Q36" s="309" t="str">
        <f t="shared" si="8"/>
        <v>宗地面积</v>
      </c>
      <c r="R36" s="376" t="s">
        <v>910</v>
      </c>
      <c r="S36" s="377">
        <f t="shared" si="9"/>
        <v>105</v>
      </c>
      <c r="T36" s="376" t="s">
        <v>910</v>
      </c>
      <c r="U36" s="377">
        <f t="shared" si="10"/>
        <v>105</v>
      </c>
      <c r="V36" s="376" t="s">
        <v>910</v>
      </c>
      <c r="W36" s="377">
        <f t="shared" si="11"/>
        <v>100</v>
      </c>
      <c r="X36" s="371"/>
      <c r="Y36" s="3222"/>
      <c r="Z36" s="370" t="str">
        <f t="shared" si="12"/>
        <v>宗地面积</v>
      </c>
      <c r="AA36" s="382">
        <f t="shared" si="3"/>
        <v>0.95238095238095233</v>
      </c>
      <c r="AB36" s="382">
        <f t="shared" si="4"/>
        <v>0.95238095238095233</v>
      </c>
      <c r="AC36" s="382">
        <f t="shared" si="5"/>
        <v>1</v>
      </c>
    </row>
    <row r="37" spans="1:29" ht="15">
      <c r="A37" s="218"/>
      <c r="B37" s="166" t="s">
        <v>935</v>
      </c>
      <c r="C37" s="515" t="s">
        <v>1023</v>
      </c>
      <c r="D37" s="177">
        <v>100</v>
      </c>
      <c r="E37" s="515" t="s">
        <v>1024</v>
      </c>
      <c r="F37" s="177">
        <f>SUMIF(112:112,E37,113:113)-SUMIF(112:112,C37,113:113)+100</f>
        <v>106</v>
      </c>
      <c r="G37" s="515" t="s">
        <v>936</v>
      </c>
      <c r="H37" s="177">
        <f>SUMIF(112:112,G37,113:113)-SUMIF(112:112,C37,113:113)+100</f>
        <v>104</v>
      </c>
      <c r="I37" s="515" t="s">
        <v>1025</v>
      </c>
      <c r="J37" s="177">
        <f>SUMIF(112:112,I37,113:113)-SUMIF(112:112,C37,113:113)+100</f>
        <v>102</v>
      </c>
      <c r="K37" s="310">
        <v>2</v>
      </c>
      <c r="L37" s="317"/>
      <c r="M37" s="304"/>
      <c r="N37" s="304"/>
      <c r="O37" s="316"/>
      <c r="P37" s="3222"/>
      <c r="Q37" s="309" t="str">
        <f t="shared" ref="Q37:Q42" si="13">B37</f>
        <v>宗地形状</v>
      </c>
      <c r="R37" s="376" t="s">
        <v>910</v>
      </c>
      <c r="S37" s="377">
        <f t="shared" si="9"/>
        <v>106</v>
      </c>
      <c r="T37" s="376" t="s">
        <v>910</v>
      </c>
      <c r="U37" s="377">
        <f t="shared" si="10"/>
        <v>104</v>
      </c>
      <c r="V37" s="376" t="s">
        <v>910</v>
      </c>
      <c r="W37" s="377">
        <f t="shared" si="11"/>
        <v>102</v>
      </c>
      <c r="X37" s="371"/>
      <c r="Y37" s="3222"/>
      <c r="Z37" s="370" t="str">
        <f t="shared" si="12"/>
        <v>宗地形状</v>
      </c>
      <c r="AA37" s="382">
        <f t="shared" si="3"/>
        <v>0.94339622641509435</v>
      </c>
      <c r="AB37" s="382">
        <f t="shared" si="4"/>
        <v>0.96153846153846156</v>
      </c>
      <c r="AC37" s="382">
        <f t="shared" si="5"/>
        <v>0.98039215686274506</v>
      </c>
    </row>
    <row r="38" spans="1:29" s="122" customFormat="1" ht="15">
      <c r="A38" s="221"/>
      <c r="B38" s="481" t="s">
        <v>939</v>
      </c>
      <c r="C38" s="1533" t="s">
        <v>1026</v>
      </c>
      <c r="D38" s="168">
        <v>100</v>
      </c>
      <c r="E38" s="1533" t="s">
        <v>1027</v>
      </c>
      <c r="F38" s="177">
        <f>SUMIF(114:114,E38,115:115)-SUMIF(114:114,C38,115:115)+100</f>
        <v>100</v>
      </c>
      <c r="G38" s="1533" t="s">
        <v>1028</v>
      </c>
      <c r="H38" s="177">
        <f>SUMIF(114:114,G38,115:115)-SUMIF(114:114,C38,115:115)+100</f>
        <v>100</v>
      </c>
      <c r="I38" s="1533" t="s">
        <v>1029</v>
      </c>
      <c r="J38" s="177">
        <f>SUMIF(114:114,I38,115:115)-SUMIF(114:114,C38,115:115)+100</f>
        <v>100</v>
      </c>
      <c r="K38" s="310">
        <v>2</v>
      </c>
      <c r="L38" s="306"/>
      <c r="M38" s="307"/>
      <c r="N38" s="307"/>
      <c r="O38" s="308"/>
      <c r="P38" s="3222"/>
      <c r="Q38" s="309" t="str">
        <f t="shared" si="13"/>
        <v>宗地开发程度</v>
      </c>
      <c r="R38" s="372" t="s">
        <v>910</v>
      </c>
      <c r="S38" s="373">
        <f t="shared" si="9"/>
        <v>100</v>
      </c>
      <c r="T38" s="372" t="s">
        <v>910</v>
      </c>
      <c r="U38" s="373">
        <f t="shared" si="10"/>
        <v>100</v>
      </c>
      <c r="V38" s="372" t="s">
        <v>910</v>
      </c>
      <c r="W38" s="373">
        <f t="shared" si="11"/>
        <v>100</v>
      </c>
      <c r="X38" s="374"/>
      <c r="Y38" s="3222"/>
      <c r="Z38" s="392" t="str">
        <f t="shared" si="12"/>
        <v>宗地开发程度</v>
      </c>
      <c r="AA38" s="391">
        <f t="shared" si="3"/>
        <v>1</v>
      </c>
      <c r="AB38" s="391">
        <f t="shared" si="4"/>
        <v>1</v>
      </c>
      <c r="AC38" s="391">
        <f t="shared" si="5"/>
        <v>1</v>
      </c>
    </row>
    <row r="39" spans="1:29" ht="15">
      <c r="A39" s="218"/>
      <c r="B39" s="166" t="s">
        <v>941</v>
      </c>
      <c r="C39" s="515" t="s">
        <v>1016</v>
      </c>
      <c r="D39" s="177">
        <v>100</v>
      </c>
      <c r="E39" s="515" t="s">
        <v>926</v>
      </c>
      <c r="F39" s="177">
        <f>SUMIF(116:116,E39,117:117)-SUMIF(116:116,C39,117:117)+100</f>
        <v>98.5</v>
      </c>
      <c r="G39" s="515" t="s">
        <v>925</v>
      </c>
      <c r="H39" s="177">
        <f>SUMIF(116:116,G39,117:117)-SUMIF(116:116,C39,117:117)+100</f>
        <v>101.5</v>
      </c>
      <c r="I39" s="515" t="s">
        <v>927</v>
      </c>
      <c r="J39" s="177">
        <f>SUMIF(116:116,I39,117:117)-SUMIF(116:116,C39,117:117)+100</f>
        <v>97</v>
      </c>
      <c r="K39" s="310">
        <v>1.5</v>
      </c>
      <c r="L39" s="317"/>
      <c r="M39" s="304"/>
      <c r="N39" s="304"/>
      <c r="O39" s="316"/>
      <c r="P39" s="3222" t="s">
        <v>932</v>
      </c>
      <c r="Q39" s="309" t="str">
        <f t="shared" si="13"/>
        <v>工程地质条件</v>
      </c>
      <c r="R39" s="376" t="s">
        <v>910</v>
      </c>
      <c r="S39" s="377">
        <f t="shared" si="9"/>
        <v>98.5</v>
      </c>
      <c r="T39" s="376" t="s">
        <v>910</v>
      </c>
      <c r="U39" s="377">
        <f t="shared" si="10"/>
        <v>101.5</v>
      </c>
      <c r="V39" s="376" t="s">
        <v>910</v>
      </c>
      <c r="W39" s="377">
        <f t="shared" si="11"/>
        <v>97</v>
      </c>
      <c r="X39" s="371"/>
      <c r="Y39" s="3222" t="s">
        <v>932</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22"/>
      <c r="Q40" s="309">
        <f t="shared" si="13"/>
        <v>111</v>
      </c>
      <c r="R40" s="376" t="s">
        <v>910</v>
      </c>
      <c r="S40" s="377">
        <f t="shared" si="9"/>
        <v>99</v>
      </c>
      <c r="T40" s="376" t="s">
        <v>910</v>
      </c>
      <c r="U40" s="377">
        <f t="shared" si="10"/>
        <v>98</v>
      </c>
      <c r="V40" s="376" t="s">
        <v>910</v>
      </c>
      <c r="W40" s="377">
        <f t="shared" si="11"/>
        <v>97</v>
      </c>
      <c r="X40" s="371"/>
      <c r="Y40" s="3222"/>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22"/>
      <c r="Q41" s="309">
        <f t="shared" si="13"/>
        <v>111</v>
      </c>
      <c r="R41" s="376" t="s">
        <v>910</v>
      </c>
      <c r="S41" s="377">
        <f t="shared" si="9"/>
        <v>98</v>
      </c>
      <c r="T41" s="376" t="s">
        <v>910</v>
      </c>
      <c r="U41" s="377">
        <f t="shared" si="10"/>
        <v>96</v>
      </c>
      <c r="V41" s="376" t="s">
        <v>910</v>
      </c>
      <c r="W41" s="377">
        <f t="shared" si="11"/>
        <v>94</v>
      </c>
      <c r="X41" s="371"/>
      <c r="Y41" s="3222"/>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22"/>
      <c r="Q42" s="309">
        <f t="shared" si="13"/>
        <v>111</v>
      </c>
      <c r="R42" s="379" t="s">
        <v>910</v>
      </c>
      <c r="S42" s="380">
        <f t="shared" si="9"/>
        <v>97</v>
      </c>
      <c r="T42" s="379" t="s">
        <v>910</v>
      </c>
      <c r="U42" s="380">
        <f t="shared" si="10"/>
        <v>94</v>
      </c>
      <c r="V42" s="379" t="s">
        <v>910</v>
      </c>
      <c r="W42" s="380">
        <f t="shared" si="11"/>
        <v>91</v>
      </c>
      <c r="X42" s="381"/>
      <c r="Y42" s="3222"/>
      <c r="Z42" s="393">
        <f t="shared" si="12"/>
        <v>111</v>
      </c>
      <c r="AA42" s="382">
        <f t="shared" si="3"/>
        <v>1.0309278350515463</v>
      </c>
      <c r="AB42" s="382">
        <f t="shared" si="4"/>
        <v>1.0638297872340425</v>
      </c>
      <c r="AC42" s="382">
        <f t="shared" si="5"/>
        <v>1.098901098901099</v>
      </c>
    </row>
    <row r="43" spans="1:29" ht="15">
      <c r="A43" s="228" t="s">
        <v>942</v>
      </c>
      <c r="B43" s="1535" t="s">
        <v>798</v>
      </c>
      <c r="C43" s="1536" t="s">
        <v>67</v>
      </c>
      <c r="D43" s="1537"/>
      <c r="E43" s="1538">
        <v>5000</v>
      </c>
      <c r="F43" s="1539"/>
      <c r="G43" s="1540">
        <v>4250</v>
      </c>
      <c r="H43" s="1541"/>
      <c r="I43" s="1538">
        <v>5100</v>
      </c>
      <c r="J43" s="1541"/>
      <c r="K43" s="1581"/>
      <c r="L43" s="324"/>
      <c r="M43" s="304"/>
      <c r="N43" s="304"/>
      <c r="O43" s="244"/>
      <c r="P43" s="3218" t="str">
        <f>A43</f>
        <v>成交单价</v>
      </c>
      <c r="Q43" s="3218"/>
      <c r="R43" s="3227">
        <f>E43</f>
        <v>5000</v>
      </c>
      <c r="S43" s="3227"/>
      <c r="T43" s="3227">
        <f>G43</f>
        <v>4250</v>
      </c>
      <c r="U43" s="3227"/>
      <c r="V43" s="3227">
        <f>I43</f>
        <v>5100</v>
      </c>
      <c r="W43" s="3227"/>
      <c r="X43" s="255"/>
      <c r="Y43" s="394"/>
      <c r="Z43" s="255"/>
      <c r="AA43" s="255"/>
      <c r="AB43" s="255"/>
      <c r="AC43" s="255"/>
    </row>
    <row r="44" spans="1:29" ht="15">
      <c r="A44" s="236" t="s">
        <v>943</v>
      </c>
      <c r="B44" s="1542"/>
      <c r="C44" s="1543">
        <f>R45</f>
        <v>6267</v>
      </c>
      <c r="D44" s="1544"/>
      <c r="E44" s="1543">
        <f>R44</f>
        <v>5432</v>
      </c>
      <c r="F44" s="1545"/>
      <c r="G44" s="1546">
        <f>T44</f>
        <v>4759</v>
      </c>
      <c r="H44" s="1544"/>
      <c r="I44" s="1543">
        <f>V44</f>
        <v>8611</v>
      </c>
      <c r="J44" s="1544"/>
      <c r="K44" s="1582"/>
      <c r="L44" s="324"/>
      <c r="M44" s="304"/>
      <c r="N44" s="304"/>
      <c r="O44" s="244"/>
      <c r="P44" s="3218" t="str">
        <f>A44</f>
        <v>比较价值（元/平方米）</v>
      </c>
      <c r="Q44" s="3218"/>
      <c r="R44" s="3223">
        <f>ROUND(PRODUCT(R43,AA9:AA42),0)</f>
        <v>5432</v>
      </c>
      <c r="S44" s="3223"/>
      <c r="T44" s="3223">
        <f>ROUND(PRODUCT(T43,AB9:AB42),0)</f>
        <v>4759</v>
      </c>
      <c r="U44" s="3223"/>
      <c r="V44" s="3223">
        <f>ROUND(PRODUCT(V43,AC9:AC42),0)</f>
        <v>8611</v>
      </c>
      <c r="W44" s="3223"/>
      <c r="X44" s="255"/>
      <c r="Y44" s="255"/>
      <c r="Z44" s="255"/>
      <c r="AA44" s="255"/>
      <c r="AB44" s="255"/>
      <c r="AC44" s="255"/>
    </row>
    <row r="45" spans="1:29" ht="15">
      <c r="A45" s="241" t="s">
        <v>944</v>
      </c>
      <c r="B45" s="242"/>
      <c r="C45" s="1547">
        <f>R45</f>
        <v>6267</v>
      </c>
      <c r="D45" s="1547"/>
      <c r="E45" s="1547"/>
      <c r="F45" s="1547"/>
      <c r="G45" s="1547"/>
      <c r="H45" s="1547"/>
      <c r="I45" s="1547"/>
      <c r="J45" s="1547"/>
      <c r="K45" s="1583"/>
      <c r="L45" s="324"/>
      <c r="M45" s="304"/>
      <c r="N45" s="304"/>
      <c r="O45" s="244"/>
      <c r="P45" s="3224" t="str">
        <f>A45</f>
        <v>估价对象XX用房的比较价值（楼面单价，元/平方米）</v>
      </c>
      <c r="Q45" s="3225"/>
      <c r="R45" s="3226">
        <f>ROUND(AVERAGE(R44:V44),0)</f>
        <v>6267</v>
      </c>
      <c r="S45" s="3226"/>
      <c r="T45" s="3226"/>
      <c r="U45" s="3226"/>
      <c r="V45" s="3226"/>
      <c r="W45" s="3226"/>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945</v>
      </c>
      <c r="D48" s="247"/>
      <c r="E48" s="248">
        <f>IF(E43&lt;E44,E44/E43-1,E43/E44-1)</f>
        <v>8.6400000000000032E-2</v>
      </c>
      <c r="F48" s="249" t="str">
        <f>IF(OR(E48&gt;=0.3,E48&lt;=-0.3),"超过30%","")</f>
        <v/>
      </c>
      <c r="G48" s="248">
        <f>IF(G43&lt;G44,G44/G43-1,G43/G44-1)</f>
        <v>0.119764705882353</v>
      </c>
      <c r="H48" s="249" t="str">
        <f>IF(OR(G48&gt;=0.3,G48&lt;=-0.3),"超过30%","")</f>
        <v/>
      </c>
      <c r="I48" s="248">
        <f>IF(I43&lt;I44,I44/I43-1,I43/I44-1)</f>
        <v>0.68843137254901965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946</v>
      </c>
      <c r="D49" s="250"/>
      <c r="E49" s="248">
        <f>IF(E44&lt;G44,G44/E44-1,E44/G44-1)</f>
        <v>0.14141626392099171</v>
      </c>
      <c r="F49" s="249" t="str">
        <f>IF(OR(E49&gt;=0.2,E49&lt;=-0.2),"超过20%","")</f>
        <v/>
      </c>
      <c r="G49" s="248">
        <f>IF(G44&lt;I44,I44/G44-1,G44/I44-1)</f>
        <v>0.80941374238285357</v>
      </c>
      <c r="H49" s="249" t="str">
        <f>IF(OR(G49&gt;=0.2,G49&lt;=-0.2),"超过20%","")</f>
        <v>超过20%</v>
      </c>
      <c r="I49" s="248">
        <f>IF(I44&lt;E44,E44/I44-1,I44/E44-1)</f>
        <v>0.5852356406480117</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947</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948</v>
      </c>
      <c r="B52" s="1549" t="s">
        <v>949</v>
      </c>
      <c r="C52" s="1550" t="s">
        <v>950</v>
      </c>
      <c r="D52" s="1551" t="s">
        <v>951</v>
      </c>
      <c r="E52" s="1552" t="s">
        <v>952</v>
      </c>
      <c r="F52" s="1553" t="s">
        <v>953</v>
      </c>
      <c r="G52" s="3259" t="s">
        <v>954</v>
      </c>
      <c r="H52" s="3260"/>
      <c r="I52" s="1584" t="s">
        <v>344</v>
      </c>
      <c r="J52" s="1585" t="str">
        <f>项目基本情况!F39</f>
        <v>山东省青岛市</v>
      </c>
      <c r="K52" s="1586" t="s">
        <v>955</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956</v>
      </c>
      <c r="B53" s="1555">
        <f>C45</f>
        <v>6267</v>
      </c>
      <c r="C53" s="1556">
        <v>1</v>
      </c>
      <c r="D53" s="1557">
        <v>1</v>
      </c>
      <c r="E53" s="1556">
        <f>'数据-汇总表'!E8+'数据-汇总表'!E9</f>
        <v>21576.35</v>
      </c>
      <c r="F53" s="1558">
        <f t="shared" ref="F53:F62" si="14">ROUND(B53*E53/10000,0)</f>
        <v>13522</v>
      </c>
      <c r="G53" s="3261"/>
      <c r="H53" s="3262"/>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957</v>
      </c>
      <c r="B54" s="1560">
        <f>ROUND($C$45*C54*D54,0)</f>
        <v>1097</v>
      </c>
      <c r="C54" s="1410">
        <f t="shared" ref="C54:C62" si="15">IF($C$52="北京市系数",I54,J54)</f>
        <v>0.7</v>
      </c>
      <c r="D54" s="1561">
        <v>0.25</v>
      </c>
      <c r="E54" s="1562">
        <v>9.09</v>
      </c>
      <c r="F54" s="1558">
        <f t="shared" si="14"/>
        <v>1</v>
      </c>
      <c r="G54" s="3258" t="s">
        <v>958</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959</v>
      </c>
      <c r="B55" s="1560">
        <f t="shared" ref="B55:B62" si="16">ROUND($C$45*C55*D55,0)</f>
        <v>627</v>
      </c>
      <c r="C55" s="1410">
        <f t="shared" si="15"/>
        <v>0.4</v>
      </c>
      <c r="D55" s="1561">
        <v>0.25</v>
      </c>
      <c r="E55" s="1562">
        <v>0</v>
      </c>
      <c r="F55" s="1558">
        <f t="shared" si="14"/>
        <v>0</v>
      </c>
      <c r="G55" s="3258"/>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960</v>
      </c>
      <c r="B56" s="1560">
        <f t="shared" si="16"/>
        <v>439</v>
      </c>
      <c r="C56" s="1410">
        <f t="shared" si="15"/>
        <v>0.28000000000000003</v>
      </c>
      <c r="D56" s="1561">
        <v>0.25</v>
      </c>
      <c r="E56" s="1562">
        <v>0</v>
      </c>
      <c r="F56" s="1558">
        <f t="shared" si="14"/>
        <v>0</v>
      </c>
      <c r="G56" s="3258"/>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961</v>
      </c>
      <c r="B57" s="1560">
        <f t="shared" si="16"/>
        <v>392</v>
      </c>
      <c r="C57" s="1410">
        <f t="shared" si="15"/>
        <v>0.25</v>
      </c>
      <c r="D57" s="1561">
        <v>0.25</v>
      </c>
      <c r="E57" s="1562">
        <v>0</v>
      </c>
      <c r="F57" s="1558">
        <f t="shared" si="14"/>
        <v>0</v>
      </c>
      <c r="G57" s="3258"/>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392</v>
      </c>
      <c r="C58" s="1410">
        <f t="shared" si="15"/>
        <v>0.25</v>
      </c>
      <c r="D58" s="1561">
        <v>0.25</v>
      </c>
      <c r="E58" s="1567">
        <f>'数据-汇总表'!E11</f>
        <v>0</v>
      </c>
      <c r="F58" s="1558">
        <f t="shared" si="14"/>
        <v>0</v>
      </c>
      <c r="G58" s="1563" t="s">
        <v>962</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963</v>
      </c>
      <c r="B59" s="1560">
        <f t="shared" si="16"/>
        <v>392</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964</v>
      </c>
      <c r="B60" s="1560">
        <f t="shared" si="16"/>
        <v>235</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965</v>
      </c>
      <c r="B61" s="1560">
        <f t="shared" si="16"/>
        <v>313</v>
      </c>
      <c r="C61" s="1410">
        <f t="shared" si="15"/>
        <v>0.2</v>
      </c>
      <c r="D61" s="1561">
        <v>0.25</v>
      </c>
      <c r="E61" s="1567">
        <f>'数据-汇总表'!E14</f>
        <v>0</v>
      </c>
      <c r="F61" s="1558">
        <f t="shared" si="14"/>
        <v>0</v>
      </c>
      <c r="G61" s="1563" t="s">
        <v>958</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966</v>
      </c>
      <c r="B62" s="1560">
        <f t="shared" si="16"/>
        <v>313</v>
      </c>
      <c r="C62" s="1410">
        <f t="shared" si="15"/>
        <v>0.2</v>
      </c>
      <c r="D62" s="1561">
        <v>0.25</v>
      </c>
      <c r="E62" s="1567">
        <f>'数据-汇总表'!E15</f>
        <v>0</v>
      </c>
      <c r="F62" s="1558">
        <f t="shared" si="14"/>
        <v>0</v>
      </c>
      <c r="G62" s="1569" t="s">
        <v>962</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967</v>
      </c>
      <c r="B63" s="1572" t="s">
        <v>968</v>
      </c>
      <c r="C63" s="1572" t="s">
        <v>968</v>
      </c>
      <c r="D63" s="1572" t="s">
        <v>968</v>
      </c>
      <c r="E63" s="1572">
        <f>IF(B43="楼面地价",SUM(E53:E62),'数据-汇总表'!D3)</f>
        <v>21585.439999999999</v>
      </c>
      <c r="F63" s="1573">
        <f>IF(B43="楼面地价",SUM(F53:F62),ROUND(C45*E63/10000,0))</f>
        <v>13523</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969</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1030</v>
      </c>
      <c r="B67" s="259"/>
      <c r="C67" s="1592" t="s">
        <v>978</v>
      </c>
      <c r="D67" s="1593" t="s">
        <v>979</v>
      </c>
      <c r="E67" s="1593" t="s">
        <v>1031</v>
      </c>
      <c r="F67" s="1593" t="s">
        <v>1032</v>
      </c>
      <c r="G67" s="1593" t="s">
        <v>1033</v>
      </c>
      <c r="H67" s="1593" t="s">
        <v>1034</v>
      </c>
      <c r="I67" s="1593" t="s">
        <v>1035</v>
      </c>
      <c r="J67" s="1593" t="s">
        <v>1036</v>
      </c>
      <c r="K67" s="1593" t="s">
        <v>1037</v>
      </c>
      <c r="L67" s="1593" t="s">
        <v>1038</v>
      </c>
      <c r="M67" s="1597" t="s">
        <v>980</v>
      </c>
      <c r="N67" s="1598" t="s">
        <v>981</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982</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911</v>
      </c>
      <c r="B70" s="263"/>
      <c r="C70" s="271" t="s">
        <v>912</v>
      </c>
      <c r="D70" s="272" t="s">
        <v>983</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984</v>
      </c>
      <c r="B72" s="275" t="s">
        <v>915</v>
      </c>
      <c r="C72" s="277" t="s">
        <v>1039</v>
      </c>
      <c r="D72" s="277" t="s">
        <v>1040</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918</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919</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922</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928</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986</v>
      </c>
      <c r="D97" s="282" t="s">
        <v>987</v>
      </c>
      <c r="E97" s="282" t="s">
        <v>988</v>
      </c>
      <c r="F97" s="282" t="s">
        <v>989</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929</v>
      </c>
      <c r="C99" s="289" t="s">
        <v>990</v>
      </c>
      <c r="D99" s="289" t="s">
        <v>991</v>
      </c>
      <c r="E99" s="289" t="s">
        <v>992</v>
      </c>
      <c r="F99" s="289" t="s">
        <v>993</v>
      </c>
      <c r="G99" s="289" t="s">
        <v>994</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930</v>
      </c>
      <c r="C101" s="398" t="s">
        <v>995</v>
      </c>
      <c r="D101" s="398" t="s">
        <v>996</v>
      </c>
      <c r="E101" s="398" t="s">
        <v>997</v>
      </c>
      <c r="F101" s="398" t="s">
        <v>1041</v>
      </c>
      <c r="G101" s="398" t="s">
        <v>1042</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933</v>
      </c>
      <c r="B109" s="275" t="s">
        <v>934</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935</v>
      </c>
      <c r="C112" s="398" t="s">
        <v>1000</v>
      </c>
      <c r="D112" s="398" t="s">
        <v>1001</v>
      </c>
      <c r="E112" s="398" t="s">
        <v>1002</v>
      </c>
      <c r="F112" s="398" t="s">
        <v>1003</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939</v>
      </c>
      <c r="C114" s="1595" t="s">
        <v>1007</v>
      </c>
      <c r="D114" s="1595" t="s">
        <v>940</v>
      </c>
      <c r="E114" s="1595" t="s">
        <v>1008</v>
      </c>
      <c r="F114" s="1595" t="s">
        <v>1009</v>
      </c>
      <c r="G114" s="1595" t="s">
        <v>1010</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941</v>
      </c>
      <c r="C116" s="289" t="s">
        <v>167</v>
      </c>
      <c r="D116" s="289" t="s">
        <v>180</v>
      </c>
      <c r="E116" s="398" t="s">
        <v>1011</v>
      </c>
      <c r="F116" s="398" t="s">
        <v>1012</v>
      </c>
      <c r="G116" s="398" t="s">
        <v>1013</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1043</v>
      </c>
      <c r="B1" s="1165"/>
      <c r="C1" s="1166" t="s">
        <v>302</v>
      </c>
      <c r="D1" s="1167">
        <f>SUM(D29:D30,D33:D39)</f>
        <v>0</v>
      </c>
      <c r="E1" s="1166" t="s">
        <v>305</v>
      </c>
      <c r="F1" s="1168"/>
      <c r="G1" s="1169"/>
      <c r="H1" s="1169"/>
      <c r="I1" s="1169"/>
      <c r="J1" s="1169"/>
      <c r="K1" s="1169"/>
      <c r="L1" s="1348" t="s">
        <v>1044</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1045</v>
      </c>
      <c r="B2" s="1170" t="e">
        <f>C26</f>
        <v>#DIV/0!</v>
      </c>
      <c r="C2" s="1171" t="s">
        <v>1046</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1047</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798</v>
      </c>
      <c r="B3" s="1170" t="e">
        <f>ROUND(B2*10000/D1,0)</f>
        <v>#DIV/0!</v>
      </c>
      <c r="C3" s="1171" t="s">
        <v>1048</v>
      </c>
      <c r="D3" s="1172" t="s">
        <v>1049</v>
      </c>
      <c r="E3" s="1176" t="s">
        <v>1050</v>
      </c>
      <c r="F3" s="1177" t="s">
        <v>445</v>
      </c>
      <c r="G3" s="1178">
        <f>IF(F3="宗地容积率",'数据-汇总表'!I4,IF(F3="估价对象容积率",'数据-汇总表'!I6,'数据-汇总表'!I7))</f>
        <v>0</v>
      </c>
      <c r="H3" s="1179" t="s">
        <v>1051</v>
      </c>
      <c r="I3" s="1357">
        <v>5</v>
      </c>
      <c r="J3" s="1353" t="s">
        <v>1052</v>
      </c>
      <c r="K3" s="1169"/>
      <c r="L3" s="1354" t="s">
        <v>1053</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1054</v>
      </c>
      <c r="B4" s="1181" t="e">
        <f>ROUND(B2*10000/F1,0)</f>
        <v>#DIV/0!</v>
      </c>
      <c r="C4" s="1182" t="s">
        <v>1048</v>
      </c>
      <c r="D4" s="1182" t="e">
        <f>ROUND(B2/(F1/666.67),0)</f>
        <v>#DIV/0!</v>
      </c>
      <c r="E4" s="1182" t="s">
        <v>1055</v>
      </c>
      <c r="F4" s="1183"/>
      <c r="G4" s="1183"/>
      <c r="H4" s="1183"/>
      <c r="I4" s="1183"/>
      <c r="J4" s="1358"/>
      <c r="K4" s="1169"/>
      <c r="L4" s="1354" t="s">
        <v>1056</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744</v>
      </c>
      <c r="B5" s="1185" t="s">
        <v>1057</v>
      </c>
      <c r="C5" s="1186">
        <f>ROUND(IF(E2="商业",IF(F16="增加",C6*C7+C16,C6*C7-C16),IF(E2="住宅",IF(F16="增加",C6*C12+C16,C6*C12-C16),IF(F16="增加",C6+C16,C6-C16))),0)</f>
        <v>12744</v>
      </c>
      <c r="D5" s="1187"/>
      <c r="E5" s="1188"/>
      <c r="F5" s="1188"/>
      <c r="G5" s="1189"/>
      <c r="H5" s="1189"/>
      <c r="I5" s="1189"/>
      <c r="J5" s="1359"/>
      <c r="K5" s="1360"/>
      <c r="L5" s="1354" t="s">
        <v>1058</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1059</v>
      </c>
      <c r="B6" s="1191" t="s">
        <v>1057</v>
      </c>
      <c r="C6" s="1192">
        <f>SUMIF(L1:L12,基准地价!G2,M1:M12)</f>
        <v>12760</v>
      </c>
      <c r="D6" s="1193" t="s">
        <v>1060</v>
      </c>
      <c r="E6" s="1194"/>
      <c r="F6" s="1194"/>
      <c r="G6" s="1195"/>
      <c r="H6" s="1195"/>
      <c r="I6" s="1195"/>
      <c r="J6" s="1361"/>
      <c r="K6" s="1362"/>
      <c r="L6" s="1354" t="s">
        <v>1061</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65" t="str">
        <f>IF(E2="商业",IF(C8="不临58条商业街","",2),"")</f>
        <v/>
      </c>
      <c r="B7" s="1196" t="s">
        <v>1062</v>
      </c>
      <c r="C7" s="1197">
        <f>IF(C8="不临58条商业街",1,ROUND(1+(1.6*E8+1.2*E9+0.8*E10+0.4*E11)*C9,4))</f>
        <v>1</v>
      </c>
      <c r="D7" s="1198" t="s">
        <v>1063</v>
      </c>
      <c r="E7" s="1199">
        <v>60</v>
      </c>
      <c r="F7" s="1200"/>
      <c r="G7" s="1201"/>
      <c r="H7" s="1201"/>
      <c r="I7" s="1201"/>
      <c r="J7" s="1363"/>
      <c r="K7" s="1362"/>
      <c r="L7" s="1354" t="s">
        <v>1064</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266"/>
      <c r="B8" s="1179" t="s">
        <v>1065</v>
      </c>
      <c r="C8" s="1202" t="s">
        <v>1066</v>
      </c>
      <c r="D8" s="1203" t="s">
        <v>1067</v>
      </c>
      <c r="E8" s="1204">
        <f>ROUND(C11/E7,4)</f>
        <v>0</v>
      </c>
      <c r="F8" s="1205" t="s">
        <v>1068</v>
      </c>
      <c r="G8" s="1206"/>
      <c r="H8" s="1206"/>
      <c r="I8" s="1206"/>
      <c r="J8" s="1364"/>
      <c r="K8" s="1169"/>
      <c r="L8" s="1354" t="s">
        <v>1069</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266"/>
      <c r="B9" s="1179" t="s">
        <v>1070</v>
      </c>
      <c r="C9" s="1207">
        <f>SUMIF(修正!C59:C119,C8,修正!E59:E119)</f>
        <v>0</v>
      </c>
      <c r="D9" s="1208" t="s">
        <v>1071</v>
      </c>
      <c r="E9" s="1208">
        <f>ROUND(C11/E7,4)</f>
        <v>0</v>
      </c>
      <c r="F9" s="1205" t="s">
        <v>1072</v>
      </c>
      <c r="G9" s="1206"/>
      <c r="H9" s="1206"/>
      <c r="I9" s="1206"/>
      <c r="J9" s="1364"/>
      <c r="K9" s="1169"/>
      <c r="L9" s="1354" t="s">
        <v>1073</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266"/>
      <c r="B10" s="1179" t="s">
        <v>1074</v>
      </c>
      <c r="C10" s="1208">
        <f>SUMIF(修正!C59:C119,C8,修正!F59:F119)</f>
        <v>0</v>
      </c>
      <c r="D10" s="1208" t="s">
        <v>1075</v>
      </c>
      <c r="E10" s="1208">
        <f>ROUND(C11/E7,4)</f>
        <v>0</v>
      </c>
      <c r="F10" s="1205" t="s">
        <v>1076</v>
      </c>
      <c r="G10" s="1206"/>
      <c r="H10" s="1206"/>
      <c r="I10" s="1206"/>
      <c r="J10" s="1364"/>
      <c r="K10" s="1169"/>
      <c r="L10" s="1354" t="s">
        <v>1077</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266"/>
      <c r="B11" s="1209" t="s">
        <v>1078</v>
      </c>
      <c r="C11" s="1210">
        <f>C10/4</f>
        <v>0</v>
      </c>
      <c r="D11" s="1210" t="s">
        <v>1079</v>
      </c>
      <c r="E11" s="1210">
        <f>ROUND(C11/E7,4)</f>
        <v>0</v>
      </c>
      <c r="F11" s="1211" t="s">
        <v>1080</v>
      </c>
      <c r="G11" s="1212"/>
      <c r="H11" s="1212"/>
      <c r="I11" s="1212"/>
      <c r="J11" s="1365"/>
      <c r="K11" s="1169"/>
      <c r="L11" s="1354" t="s">
        <v>1081</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65" t="s">
        <v>1082</v>
      </c>
      <c r="B12" s="1213" t="s">
        <v>1083</v>
      </c>
      <c r="C12" s="1197">
        <f>ROUND(C15*D15*E15*F15*G15*H15*I15*J15,4)</f>
        <v>1.32</v>
      </c>
      <c r="D12" s="1214" t="s">
        <v>1084</v>
      </c>
      <c r="E12" s="1215"/>
      <c r="F12" s="1215"/>
      <c r="G12" s="1216"/>
      <c r="H12" s="1216"/>
      <c r="I12" s="1216"/>
      <c r="J12" s="1366"/>
      <c r="K12" s="1169"/>
      <c r="L12" s="1367" t="s">
        <v>1085</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267"/>
      <c r="B13" s="1217" t="s">
        <v>1086</v>
      </c>
      <c r="C13" s="1218" t="s">
        <v>1087</v>
      </c>
      <c r="D13" s="1096" t="s">
        <v>1088</v>
      </c>
      <c r="E13" s="1096" t="s">
        <v>1089</v>
      </c>
      <c r="F13" s="1219" t="s">
        <v>1090</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267"/>
      <c r="B14" s="1222"/>
      <c r="C14" s="1223" t="s">
        <v>1091</v>
      </c>
      <c r="D14" s="1224" t="s">
        <v>323</v>
      </c>
      <c r="E14" s="1224" t="s">
        <v>323</v>
      </c>
      <c r="F14" s="1225" t="s">
        <v>1092</v>
      </c>
      <c r="G14" s="1226" t="s">
        <v>1093</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268"/>
      <c r="B15" s="1228" t="s">
        <v>1094</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265" t="s">
        <v>49</v>
      </c>
      <c r="B16" s="1196" t="s">
        <v>1095</v>
      </c>
      <c r="C16" s="1231">
        <f>ROUND(SUM(G17:J17)/C17,0)</f>
        <v>16</v>
      </c>
      <c r="D16" s="1232" t="s">
        <v>1096</v>
      </c>
      <c r="E16" s="1233" t="s">
        <v>940</v>
      </c>
      <c r="F16" s="1234" t="s">
        <v>1097</v>
      </c>
      <c r="G16" s="1235" t="s">
        <v>340</v>
      </c>
      <c r="H16" s="1235" t="s">
        <v>67</v>
      </c>
      <c r="I16" s="1235" t="s">
        <v>67</v>
      </c>
      <c r="J16" s="1235" t="s">
        <v>67</v>
      </c>
      <c r="K16" s="1169"/>
      <c r="L16" s="1377" t="s">
        <v>1098</v>
      </c>
      <c r="M16" s="1207">
        <v>0.25</v>
      </c>
      <c r="N16" s="1207">
        <v>0.2</v>
      </c>
      <c r="O16" s="1207">
        <v>0.15</v>
      </c>
      <c r="P16" s="1378">
        <v>0.1</v>
      </c>
      <c r="Q16" s="1434"/>
      <c r="R16" s="1434"/>
      <c r="S16" s="1434"/>
      <c r="T16" s="1434"/>
      <c r="U16" s="1434"/>
      <c r="V16" s="1434"/>
      <c r="W16" s="1434"/>
      <c r="X16" s="1434"/>
      <c r="Y16" s="1434"/>
      <c r="Z16" s="1436"/>
    </row>
    <row r="17" spans="1:37" ht="12.75">
      <c r="A17" s="3266"/>
      <c r="B17" s="1236" t="s">
        <v>1099</v>
      </c>
      <c r="C17" s="1237">
        <f>SUMPRODUCT((修正!A2:A5=E2)*(修正!B1:M1=G2)*(修正!B2:M5))</f>
        <v>2.5</v>
      </c>
      <c r="D17" s="1238" t="s">
        <v>1100</v>
      </c>
      <c r="E17" s="1239" t="str">
        <f>IF(OR(G2="八级",G2="九级",G2="十级",G2="十一级",G2="十二级"),"五通一平","七通一平")</f>
        <v>七通一平</v>
      </c>
      <c r="F17" s="1240" t="s">
        <v>1101</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1102</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750</v>
      </c>
      <c r="B18" s="1242" t="s">
        <v>1103</v>
      </c>
      <c r="C18" s="1243">
        <f>SUMIF(修正!C18:C39,E3,修正!E18:E39)</f>
        <v>1.1000000000000001</v>
      </c>
      <c r="D18" s="1244"/>
      <c r="E18" s="1245"/>
      <c r="F18" s="1246"/>
      <c r="G18" s="1247"/>
      <c r="H18" s="1247"/>
      <c r="I18" s="1247"/>
      <c r="J18" s="1383"/>
      <c r="K18" s="1260"/>
      <c r="L18" s="1384" t="s">
        <v>1104</v>
      </c>
      <c r="M18" s="1385">
        <f>ROUNDDOWN(DATEDIF(E19,G19,"M")/3,0)</f>
        <v>15</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752</v>
      </c>
      <c r="B19" s="1242" t="s">
        <v>1105</v>
      </c>
      <c r="C19" s="1248">
        <f>ROUND(1*(1+I19*M18),4)</f>
        <v>1</v>
      </c>
      <c r="D19" s="1249" t="s">
        <v>1106</v>
      </c>
      <c r="E19" s="1250">
        <v>41640</v>
      </c>
      <c r="F19" s="1249" t="s">
        <v>274</v>
      </c>
      <c r="G19" s="1251">
        <f>'数据-取费表'!B2</f>
        <v>43041</v>
      </c>
      <c r="H19" s="1252" t="s">
        <v>1107</v>
      </c>
      <c r="I19" s="1388">
        <f>IF(H19="季度增幅（计算）",SUMIF(L21:L24,E2,N21:N24),SUMIF(L21:L24,E2,M21:M24))</f>
        <v>0</v>
      </c>
      <c r="J19" s="1383"/>
      <c r="K19" s="1260"/>
      <c r="L19" s="1389" t="s">
        <v>1108</v>
      </c>
      <c r="M19" s="1390" t="s">
        <v>1109</v>
      </c>
      <c r="N19" s="1391" t="s">
        <v>971</v>
      </c>
      <c r="O19" s="1392" t="s">
        <v>1034</v>
      </c>
      <c r="P19" s="1392" t="s">
        <v>1033</v>
      </c>
      <c r="Q19" s="1392" t="s">
        <v>1032</v>
      </c>
      <c r="R19" s="1392" t="s">
        <v>1031</v>
      </c>
      <c r="S19" s="1392" t="s">
        <v>979</v>
      </c>
      <c r="T19" s="1392" t="s">
        <v>978</v>
      </c>
      <c r="U19" s="1392" t="s">
        <v>977</v>
      </c>
      <c r="V19" s="1437" t="s">
        <v>976</v>
      </c>
      <c r="W19" s="1438" t="s">
        <v>975</v>
      </c>
      <c r="X19" s="1392" t="s">
        <v>974</v>
      </c>
      <c r="Y19" s="1392" t="s">
        <v>973</v>
      </c>
      <c r="Z19" s="1456" t="s">
        <v>972</v>
      </c>
      <c r="AA19" s="1457" t="s">
        <v>971</v>
      </c>
      <c r="AB19" s="1458" t="s">
        <v>1110</v>
      </c>
      <c r="AC19" s="1458" t="s">
        <v>1111</v>
      </c>
      <c r="AD19" s="1459" t="s">
        <v>1112</v>
      </c>
      <c r="AE19" s="1455"/>
      <c r="AF19" s="1460"/>
      <c r="AG19" s="1472"/>
      <c r="AH19" s="1160"/>
      <c r="AI19" s="1471"/>
      <c r="AJ19" s="1471"/>
      <c r="AK19" s="1471"/>
    </row>
    <row r="20" spans="1:37" s="1158" customFormat="1" ht="24">
      <c r="A20" s="1253" t="s">
        <v>754</v>
      </c>
      <c r="B20" s="1242" t="s">
        <v>1113</v>
      </c>
      <c r="C20" s="1248" t="e">
        <f>ROUND(POWER(1+G20,J20-I20)*(POWER(1+G20,I20)-1)/(POWER(1+G20,J20)-1),4)</f>
        <v>#DIV/0!</v>
      </c>
      <c r="D20" s="1254" t="s">
        <v>1114</v>
      </c>
      <c r="E20" s="1255">
        <v>4.3499999999999997E-2</v>
      </c>
      <c r="F20" s="1254" t="s">
        <v>1102</v>
      </c>
      <c r="G20" s="1256">
        <f>SUMIF(M15:P15,E2,M17:P17)</f>
        <v>5.1999999999999998E-2</v>
      </c>
      <c r="H20" s="1254" t="s">
        <v>1115</v>
      </c>
      <c r="I20" s="1393" t="e">
        <f>SUMIF('数据-取费表'!C6:C15,E2,'数据-取费表'!F6:F15)/COUNTIF('数据-取费表'!C6:C15,E2)</f>
        <v>#DIV/0!</v>
      </c>
      <c r="J20" s="1394">
        <f>IF(E2="住宅",70,IF(E2="商业",40,50))</f>
        <v>50</v>
      </c>
      <c r="K20" s="1260"/>
      <c r="L20" s="1395" t="s">
        <v>1116</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776</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1059</v>
      </c>
      <c r="B22" s="1262" t="s">
        <v>1117</v>
      </c>
      <c r="C22" s="1263" t="s">
        <v>1118</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1119</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1082</v>
      </c>
      <c r="B23" s="1262" t="s">
        <v>1120</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1121</v>
      </c>
      <c r="B24" s="1185" t="s">
        <v>1122</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1123</v>
      </c>
      <c r="B25" s="1272" t="s">
        <v>1124</v>
      </c>
      <c r="C25" s="1273"/>
      <c r="D25" s="1201"/>
      <c r="E25" s="1201"/>
      <c r="F25" s="1274"/>
      <c r="G25" s="1201"/>
      <c r="H25" s="1201"/>
      <c r="I25" s="1201"/>
      <c r="J25" s="1363"/>
      <c r="K25" s="1169"/>
      <c r="L25" s="1404" t="s">
        <v>1116</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1125</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1126</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1127</v>
      </c>
      <c r="C28" s="1286" t="s">
        <v>1128</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1129</v>
      </c>
      <c r="C29" s="1276" t="e">
        <f>ROUND(C5*C18*C19*C20*C21*C24,0)</f>
        <v>#DIV/0!</v>
      </c>
      <c r="D29" s="1291"/>
      <c r="E29" s="1292" t="e">
        <f>ROUND(C29*D29/10000,0)</f>
        <v>#DIV/0!</v>
      </c>
      <c r="F29" s="1293" t="s">
        <v>1130</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1131</v>
      </c>
      <c r="C30" s="1229" t="e">
        <f>ROUND(IF(E2="工业",C29*M39,C29*M38),0)</f>
        <v>#DIV/0!</v>
      </c>
      <c r="D30" s="1297"/>
      <c r="E30" s="1292" t="e">
        <f>ROUND(C30*D30/10000,0)</f>
        <v>#DIV/0!</v>
      </c>
      <c r="F30" s="1298" t="s">
        <v>1132</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1133</v>
      </c>
      <c r="C31" s="1302" t="s">
        <v>1134</v>
      </c>
      <c r="D31" s="1216"/>
      <c r="E31" s="1302"/>
      <c r="F31" s="1302"/>
      <c r="G31" s="1214" t="s">
        <v>1132</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1128</v>
      </c>
      <c r="D32" s="1305" t="s">
        <v>302</v>
      </c>
      <c r="E32" s="1305" t="s">
        <v>537</v>
      </c>
      <c r="F32" s="1167" t="s">
        <v>1135</v>
      </c>
      <c r="G32" s="1306" t="s">
        <v>1128</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1136</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1137</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1138</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1139</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1140</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1141</v>
      </c>
      <c r="M37" s="1423"/>
      <c r="N37" s="1351"/>
      <c r="O37" s="1351"/>
      <c r="P37" s="1351"/>
      <c r="Q37" s="1351"/>
      <c r="R37" s="1351"/>
      <c r="S37" s="1351"/>
      <c r="T37" s="1351"/>
      <c r="U37" s="1351"/>
      <c r="V37" s="1351"/>
      <c r="W37" s="1351"/>
      <c r="X37" s="1351"/>
      <c r="Y37" s="1351"/>
      <c r="Z37" s="1451"/>
    </row>
    <row r="38" spans="1:37" ht="12.75">
      <c r="A38" s="1307"/>
      <c r="B38" s="1218" t="s">
        <v>1142</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1143</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1144</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1145</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1146</v>
      </c>
      <c r="B46" s="1326" t="s">
        <v>1147</v>
      </c>
      <c r="C46" s="1327" t="s">
        <v>1148</v>
      </c>
      <c r="D46" s="1328" t="s">
        <v>1149</v>
      </c>
      <c r="E46" s="1328" t="s">
        <v>1150</v>
      </c>
      <c r="F46" s="1329" t="s">
        <v>1151</v>
      </c>
      <c r="G46" s="1330" t="s">
        <v>1152</v>
      </c>
      <c r="H46" s="1328" t="s">
        <v>1153</v>
      </c>
      <c r="I46" s="1429" t="s">
        <v>1154</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1155</v>
      </c>
      <c r="B47" s="1331" t="str">
        <f>估价对象房地状况!C16</f>
        <v>估价对象周边商业氛围一般，以住宅底商类型商业为主，人流量大，商业繁华度一般</v>
      </c>
      <c r="C47" s="1332" t="s">
        <v>925</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925</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925</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1156</v>
      </c>
      <c r="B50" s="1339" t="s">
        <v>1157</v>
      </c>
      <c r="C50" s="1332" t="s">
        <v>925</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1158</v>
      </c>
      <c r="B51" s="1326" t="str">
        <f>估价对象房地状况!C24</f>
        <v>城市次干道——银木街</v>
      </c>
      <c r="C51" s="1332" t="s">
        <v>925</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1159</v>
      </c>
      <c r="B52" s="1340" t="s">
        <v>1160</v>
      </c>
      <c r="C52" s="1332" t="s">
        <v>925</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1161</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925</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1162</v>
      </c>
      <c r="B54" s="1326" t="str">
        <f>估价对象房地状况!C22</f>
        <v>估价对象所在区域基础设施水平达到“六通一平”</v>
      </c>
      <c r="C54" s="1332" t="s">
        <v>925</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1163</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925</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1146</v>
      </c>
      <c r="B57" s="1326"/>
      <c r="C57" s="1327" t="s">
        <v>1148</v>
      </c>
      <c r="D57" s="1328" t="s">
        <v>1149</v>
      </c>
      <c r="E57" s="1328" t="s">
        <v>1150</v>
      </c>
      <c r="F57" s="1329" t="s">
        <v>1151</v>
      </c>
      <c r="G57" s="1330" t="s">
        <v>1152</v>
      </c>
      <c r="H57" s="1328" t="s">
        <v>1153</v>
      </c>
      <c r="I57" s="1429" t="s">
        <v>1154</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925</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925</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925</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1156</v>
      </c>
      <c r="B61" s="1339" t="s">
        <v>1157</v>
      </c>
      <c r="C61" s="1332" t="s">
        <v>925</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1158</v>
      </c>
      <c r="B62" s="1326" t="str">
        <f>估价对象房地状况!C24</f>
        <v>城市次干道——银木街</v>
      </c>
      <c r="C62" s="1332" t="s">
        <v>925</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1159</v>
      </c>
      <c r="B63" s="1340" t="s">
        <v>1160</v>
      </c>
      <c r="C63" s="1332" t="s">
        <v>925</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1161</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925</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1162</v>
      </c>
      <c r="B65" s="1342" t="str">
        <f>估价对象房地状况!C22</f>
        <v>估价对象所在区域基础设施水平达到“六通一平”</v>
      </c>
      <c r="C65" s="1332" t="s">
        <v>925</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1163</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925</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1146</v>
      </c>
      <c r="B68" s="1326"/>
      <c r="C68" s="1327" t="s">
        <v>1148</v>
      </c>
      <c r="D68" s="1328" t="s">
        <v>1149</v>
      </c>
      <c r="E68" s="1328" t="s">
        <v>1150</v>
      </c>
      <c r="F68" s="1329" t="s">
        <v>1151</v>
      </c>
      <c r="G68" s="1330" t="s">
        <v>1152</v>
      </c>
      <c r="H68" s="1328" t="s">
        <v>1153</v>
      </c>
      <c r="I68" s="1429" t="s">
        <v>1154</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924</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925</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924</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1164</v>
      </c>
      <c r="B72" s="1326" t="str">
        <f>估价对象房地状况!C24</f>
        <v>城市次干道——银木街</v>
      </c>
      <c r="C72" s="1474" t="s">
        <v>925</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1161</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927</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1162</v>
      </c>
      <c r="B74" s="1342" t="str">
        <f>估价对象房地状况!C22</f>
        <v>估价对象所在区域基础设施水平达到“六通一平”</v>
      </c>
      <c r="C74" s="1474" t="s">
        <v>925</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1159</v>
      </c>
      <c r="B75" s="1340" t="s">
        <v>1160</v>
      </c>
      <c r="C75" s="1474" t="s">
        <v>924</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1163</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1165</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1166</v>
      </c>
      <c r="B77" s="1478" t="s">
        <v>1167</v>
      </c>
      <c r="C77" s="1474" t="s">
        <v>926</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1146</v>
      </c>
      <c r="B79" s="1326"/>
      <c r="C79" s="1327" t="s">
        <v>1148</v>
      </c>
      <c r="D79" s="1328" t="s">
        <v>1149</v>
      </c>
      <c r="E79" s="1328" t="s">
        <v>1150</v>
      </c>
      <c r="F79" s="1329" t="s">
        <v>1151</v>
      </c>
      <c r="G79" s="1330" t="s">
        <v>1152</v>
      </c>
      <c r="H79" s="1328" t="s">
        <v>1153</v>
      </c>
      <c r="I79" s="1429" t="s">
        <v>1154</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924</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924</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925</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1164</v>
      </c>
      <c r="B83" s="1326" t="str">
        <f>估价对象房地状况!G22</f>
        <v>城市支路——裕民中路</v>
      </c>
      <c r="C83" s="1332" t="s">
        <v>926</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1161</v>
      </c>
      <c r="B84" s="1342" t="str">
        <f>估价对象房地状况!G19</f>
        <v>估价对象所在区域公共配套设施齐备情况</v>
      </c>
      <c r="C84" s="1332" t="s">
        <v>927</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1162</v>
      </c>
      <c r="B85" s="1342" t="str">
        <f>估价对象房地状况!G20</f>
        <v>估价对象所在区域基础设施水平</v>
      </c>
      <c r="C85" s="1332" t="s">
        <v>1165</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1159</v>
      </c>
      <c r="B86" s="1340" t="s">
        <v>1160</v>
      </c>
      <c r="C86" s="1332" t="s">
        <v>927</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925</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63" t="s">
        <v>1168</v>
      </c>
      <c r="B90" s="3263"/>
      <c r="C90" s="3263"/>
      <c r="D90" s="3263"/>
      <c r="E90" s="3263"/>
      <c r="F90" s="3263"/>
      <c r="G90" s="3263"/>
      <c r="H90" s="3263"/>
      <c r="I90" s="3263"/>
      <c r="J90" s="3263"/>
      <c r="K90" s="1157"/>
      <c r="L90" s="1157"/>
      <c r="M90" s="1157"/>
      <c r="N90" s="1157"/>
    </row>
    <row r="91" spans="1:37">
      <c r="A91" s="3269" t="s">
        <v>267</v>
      </c>
      <c r="B91" s="3269" t="s">
        <v>1169</v>
      </c>
      <c r="C91" s="1481" t="s">
        <v>1170</v>
      </c>
      <c r="D91" s="1482"/>
      <c r="E91" s="1482"/>
      <c r="F91" s="1482"/>
      <c r="G91" s="1482"/>
      <c r="H91" s="1482"/>
      <c r="I91" s="1482"/>
      <c r="J91" s="1507"/>
      <c r="K91" s="1143"/>
      <c r="L91" s="1143"/>
      <c r="M91" s="1143"/>
      <c r="N91" s="1143"/>
    </row>
    <row r="92" spans="1:37">
      <c r="A92" s="3269"/>
      <c r="B92" s="3269"/>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270" t="s">
        <v>1171</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271"/>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271"/>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271"/>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271"/>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271"/>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271"/>
      <c r="B99" s="1483" t="s">
        <v>1172</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272"/>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270" t="s">
        <v>1173</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271"/>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271"/>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271"/>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271"/>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271"/>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271"/>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271"/>
      <c r="B108" s="3273" t="s">
        <v>1174</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272"/>
      <c r="B109" s="3274"/>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64" t="s">
        <v>1175</v>
      </c>
      <c r="B110" s="3264"/>
      <c r="C110" s="3264"/>
      <c r="D110" s="3264"/>
      <c r="E110" s="3264"/>
      <c r="F110" s="3264"/>
      <c r="G110" s="3264"/>
      <c r="H110" s="3264"/>
      <c r="I110" s="3264"/>
      <c r="J110" s="3264"/>
      <c r="K110" s="1489"/>
      <c r="L110" s="1489"/>
      <c r="M110" s="1489"/>
      <c r="N110" s="1489"/>
    </row>
    <row r="113" spans="1:13" ht="24.75">
      <c r="A113" s="1490" t="s">
        <v>1176</v>
      </c>
      <c r="B113" s="1491">
        <f>G3</f>
        <v>0</v>
      </c>
      <c r="C113" s="1492" t="s">
        <v>1177</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1178</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1179</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1180</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22" workbookViewId="0">
      <selection activeCell="A30" sqref="A30"/>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青岛福瀛房地产开发有限公司：</v>
      </c>
    </row>
    <row r="4" spans="1:1" ht="37.5">
      <c r="A4" s="2790" t="str">
        <f>"    受贵公司委托，我公司对"&amp;项目基本情况!K2&amp;"进行了预评估。"</f>
        <v xml:space="preserve">    受贵公司委托，我公司对山东省青岛市黄岛区滨海大道以南、石雀滩路北B地块1宗住宅用途出让国有建设用地使用权进行了预评估。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青岛福瀛房地产开发有限公司使用的、位于山东省青岛市黄岛区滨海大道以南、石雀滩路北B地块1宗住宅用途出让国有建设用地使用权。根据《房地产权证》[青房地权市字第201575118号]，估价对象（分摊）出让国有建设用地使用权面积为17111平方米，规划建筑面积为36595.41平方米。</v>
      </c>
    </row>
    <row r="8" spans="1:1" ht="56.25">
      <c r="A8" s="2792" t="s">
        <v>9</v>
      </c>
    </row>
    <row r="9" spans="1:1" ht="7.35" customHeight="1">
      <c r="A9" s="2793"/>
    </row>
    <row r="10" spans="1:1" ht="18.75">
      <c r="A10" s="2791" t="s">
        <v>10</v>
      </c>
    </row>
    <row r="11" spans="1:1" ht="75">
      <c r="A11" s="2794" t="str">
        <f>IF(项目基本情况!B7="抵押",IF(项目基本情况!B5=项目基本情况!B6,定义!C51,定义!B51),定义!D51)</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4"/>
    </row>
    <row r="13" spans="1:1" ht="18.75">
      <c r="A13" s="2795" t="s">
        <v>11</v>
      </c>
    </row>
    <row r="14" spans="1:1" ht="18.75">
      <c r="A14" s="2796" t="str">
        <f>"    "&amp;TEXT(项目基本情况!D3,"yyyy年m月d日;;")&amp;"（估价人员勘察现场之日）"</f>
        <v xml:space="preserve">    2017年11月2日（估价人员勘察现场之日）</v>
      </c>
    </row>
    <row r="15" spans="1:1" ht="7.35" customHeight="1">
      <c r="A15" s="2796"/>
    </row>
    <row r="16" spans="1:1" ht="18.75">
      <c r="A16" s="2795" t="s">
        <v>12</v>
      </c>
    </row>
    <row r="17" spans="1:4" ht="18.75">
      <c r="A17" s="2790" t="s">
        <v>13</v>
      </c>
    </row>
    <row r="18" spans="1:4" ht="37.5">
      <c r="A18" s="2790" t="str">
        <f>"    根据"&amp;项目基本情况!F11&amp;"，本次评估估价对象证载（地类）用途为"&amp;项目基本情况!B11&amp;"。"</f>
        <v xml:space="preserve">    根据《房地产权证》[青房地权市字第201575118号]，本次评估估价对象证载（地类）用途为居住用地。</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根据《房地产权证》[青房地权市字第201575118号]，估价对象（分摊）出让国有建设用地使用权面积为17111平方米，规划建筑面积为36595.41平方米。</v>
      </c>
    </row>
    <row r="24" spans="1:4" ht="18.75">
      <c r="A24" s="2790" t="s">
        <v>16</v>
      </c>
    </row>
    <row r="25" spans="1:4" ht="56.2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本次估价对象为出让国有建设用地使用权，《房地产权证》[青房地权市字第201575118号]证载土地终止日期为住宅2051年6月17日。截至估价期日，出让国有建设用地使用权剩余土地使用年限为住宅33.64年。</v>
      </c>
    </row>
    <row r="26" spans="1:4" ht="18.75">
      <c r="A26" s="2790" t="str">
        <f>"    本次评估设定估价对象剩余土地使用年限为"&amp;项目基本情况!D18&amp;"。"</f>
        <v xml:space="preserve">    本次评估设定估价对象剩余土地使用年限为住宅33.64年。</v>
      </c>
    </row>
    <row r="27" spans="1:4" ht="18.75">
      <c r="A27" s="2790" t="s">
        <v>17</v>
      </c>
    </row>
    <row r="28" spans="1:4" ht="93.75">
      <c r="A28" s="2790" t="str">
        <f>定义!C53</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row>
    <row r="29" spans="1:4" ht="56.25">
      <c r="A29" s="2790"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1181</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1182</v>
      </c>
      <c r="B16" s="1134"/>
      <c r="C16" s="1135"/>
      <c r="D16" s="1135"/>
      <c r="E16" s="1134"/>
      <c r="F16" s="1135"/>
      <c r="G16" s="1135"/>
    </row>
    <row r="17" spans="1:9" ht="19.5" customHeight="1">
      <c r="A17" s="1130" t="s">
        <v>267</v>
      </c>
      <c r="B17" s="1136" t="s">
        <v>1183</v>
      </c>
      <c r="C17" s="1136" t="s">
        <v>1184</v>
      </c>
      <c r="D17" s="1137"/>
      <c r="E17" s="1130" t="s">
        <v>1185</v>
      </c>
      <c r="F17" s="1138"/>
      <c r="G17" s="1138"/>
    </row>
    <row r="18" spans="1:9" s="1116" customFormat="1" ht="19.5" customHeight="1">
      <c r="A18" s="3269" t="s">
        <v>293</v>
      </c>
      <c r="B18" s="1139" t="s">
        <v>1186</v>
      </c>
      <c r="C18" s="1140" t="s">
        <v>1187</v>
      </c>
      <c r="D18" s="1141"/>
      <c r="E18" s="1139">
        <v>1</v>
      </c>
      <c r="F18" s="1142" t="s">
        <v>1188</v>
      </c>
      <c r="G18" s="1143"/>
      <c r="H18" s="1080"/>
      <c r="I18" s="1080"/>
    </row>
    <row r="19" spans="1:9" s="1116" customFormat="1" ht="19.5" customHeight="1">
      <c r="A19" s="3269"/>
      <c r="B19" s="3269" t="s">
        <v>1189</v>
      </c>
      <c r="C19" s="1140" t="s">
        <v>1190</v>
      </c>
      <c r="D19" s="1141"/>
      <c r="E19" s="1139">
        <v>0.9</v>
      </c>
      <c r="F19" s="1142" t="s">
        <v>1191</v>
      </c>
      <c r="G19" s="1143"/>
      <c r="H19" s="1080"/>
      <c r="I19" s="1080"/>
    </row>
    <row r="20" spans="1:9" s="1116" customFormat="1" ht="19.5" customHeight="1">
      <c r="A20" s="3269"/>
      <c r="B20" s="3269"/>
      <c r="C20" s="1140" t="s">
        <v>1192</v>
      </c>
      <c r="D20" s="1141"/>
      <c r="E20" s="1139">
        <v>1.1000000000000001</v>
      </c>
      <c r="F20" s="1142" t="s">
        <v>1193</v>
      </c>
      <c r="G20" s="1143"/>
      <c r="H20" s="1080"/>
      <c r="I20" s="1080"/>
    </row>
    <row r="21" spans="1:9" s="1116" customFormat="1" ht="19.5" customHeight="1">
      <c r="A21" s="3269"/>
      <c r="B21" s="3269"/>
      <c r="C21" s="1140" t="s">
        <v>1194</v>
      </c>
      <c r="D21" s="1141"/>
      <c r="E21" s="1139">
        <v>0.8</v>
      </c>
      <c r="F21" s="1142" t="s">
        <v>1195</v>
      </c>
      <c r="G21" s="1143"/>
      <c r="H21" s="1080"/>
      <c r="I21" s="1080"/>
    </row>
    <row r="22" spans="1:9" s="1116" customFormat="1" ht="19.5" customHeight="1">
      <c r="A22" s="3269"/>
      <c r="B22" s="3269"/>
      <c r="C22" s="1140" t="s">
        <v>1196</v>
      </c>
      <c r="D22" s="1141"/>
      <c r="E22" s="1139">
        <v>0.5</v>
      </c>
      <c r="F22" s="1142"/>
      <c r="G22" s="1143"/>
      <c r="H22" s="1080"/>
      <c r="I22" s="1080"/>
    </row>
    <row r="23" spans="1:9" s="1116" customFormat="1" ht="19.5" customHeight="1">
      <c r="A23" s="3269" t="s">
        <v>294</v>
      </c>
      <c r="B23" s="1139" t="s">
        <v>1186</v>
      </c>
      <c r="C23" s="1140" t="s">
        <v>1197</v>
      </c>
      <c r="D23" s="1141"/>
      <c r="E23" s="1139">
        <v>1</v>
      </c>
      <c r="F23" s="1142" t="s">
        <v>1198</v>
      </c>
      <c r="G23" s="1143"/>
      <c r="H23" s="1080"/>
      <c r="I23" s="1080"/>
    </row>
    <row r="24" spans="1:9" s="1116" customFormat="1" ht="19.5" customHeight="1">
      <c r="A24" s="3269"/>
      <c r="B24" s="3269" t="s">
        <v>1189</v>
      </c>
      <c r="C24" s="1140" t="s">
        <v>1199</v>
      </c>
      <c r="D24" s="1141"/>
      <c r="E24" s="1139">
        <v>0.5</v>
      </c>
      <c r="F24" s="1142"/>
      <c r="G24" s="1143"/>
      <c r="H24" s="1080"/>
      <c r="I24" s="1080"/>
    </row>
    <row r="25" spans="1:9" s="1116" customFormat="1" ht="19.5" customHeight="1">
      <c r="A25" s="3269"/>
      <c r="B25" s="3269"/>
      <c r="C25" s="1140" t="s">
        <v>1050</v>
      </c>
      <c r="D25" s="1141"/>
      <c r="E25" s="1139">
        <v>1.1000000000000001</v>
      </c>
      <c r="F25" s="1142"/>
      <c r="G25" s="1143"/>
      <c r="H25" s="1080"/>
      <c r="I25" s="1080"/>
    </row>
    <row r="26" spans="1:9" s="1116" customFormat="1" ht="19.5" customHeight="1">
      <c r="A26" s="3269"/>
      <c r="B26" s="3269"/>
      <c r="C26" s="1140" t="s">
        <v>1200</v>
      </c>
      <c r="D26" s="1141"/>
      <c r="E26" s="1139">
        <v>1.1000000000000001</v>
      </c>
      <c r="F26" s="1142"/>
      <c r="G26" s="1143"/>
      <c r="H26" s="1080"/>
      <c r="I26" s="1080"/>
    </row>
    <row r="27" spans="1:9" s="1116" customFormat="1" ht="19.5" customHeight="1">
      <c r="A27" s="3269"/>
      <c r="B27" s="3269"/>
      <c r="C27" s="1140" t="s">
        <v>1201</v>
      </c>
      <c r="D27" s="1141"/>
      <c r="E27" s="1139">
        <v>0.9</v>
      </c>
      <c r="F27" s="1142" t="s">
        <v>1202</v>
      </c>
      <c r="G27" s="1143"/>
      <c r="H27" s="1080"/>
      <c r="I27" s="1080"/>
    </row>
    <row r="28" spans="1:9" s="1116" customFormat="1" ht="19.5" customHeight="1">
      <c r="A28" s="3269"/>
      <c r="B28" s="3269"/>
      <c r="C28" s="1140" t="s">
        <v>1203</v>
      </c>
      <c r="D28" s="1141"/>
      <c r="E28" s="1139">
        <v>0.9</v>
      </c>
      <c r="F28" s="1142" t="s">
        <v>1204</v>
      </c>
      <c r="G28" s="1143"/>
      <c r="H28" s="1080"/>
      <c r="I28" s="1080"/>
    </row>
    <row r="29" spans="1:9" s="1116" customFormat="1" ht="19.5" customHeight="1">
      <c r="A29" s="3269"/>
      <c r="B29" s="3269"/>
      <c r="C29" s="1140" t="s">
        <v>1205</v>
      </c>
      <c r="D29" s="1141"/>
      <c r="E29" s="1139">
        <v>0.9</v>
      </c>
      <c r="F29" s="1142" t="s">
        <v>1206</v>
      </c>
      <c r="G29" s="1143"/>
      <c r="H29" s="1080"/>
      <c r="I29" s="1080"/>
    </row>
    <row r="30" spans="1:9" s="1116" customFormat="1" ht="19.5" customHeight="1">
      <c r="A30" s="3269"/>
      <c r="B30" s="3269"/>
      <c r="C30" s="1140" t="s">
        <v>1207</v>
      </c>
      <c r="D30" s="1141"/>
      <c r="E30" s="1139">
        <v>0.9</v>
      </c>
      <c r="F30" s="1142" t="s">
        <v>1208</v>
      </c>
      <c r="G30" s="1143"/>
      <c r="H30" s="1080"/>
      <c r="I30" s="1080"/>
    </row>
    <row r="31" spans="1:9" s="1116" customFormat="1" ht="19.5" customHeight="1">
      <c r="A31" s="3269"/>
      <c r="B31" s="3269"/>
      <c r="C31" s="1140" t="s">
        <v>1209</v>
      </c>
      <c r="D31" s="1141"/>
      <c r="E31" s="1139">
        <v>0.8</v>
      </c>
      <c r="F31" s="1142" t="s">
        <v>1210</v>
      </c>
      <c r="G31" s="1143"/>
      <c r="H31" s="1080"/>
      <c r="I31" s="1080"/>
    </row>
    <row r="32" spans="1:9" s="1116" customFormat="1" ht="19.5" customHeight="1">
      <c r="A32" s="3269"/>
      <c r="B32" s="3269"/>
      <c r="C32" s="1140" t="s">
        <v>1211</v>
      </c>
      <c r="D32" s="1141"/>
      <c r="E32" s="1139">
        <v>0.8</v>
      </c>
      <c r="F32" s="1142" t="s">
        <v>1212</v>
      </c>
      <c r="G32" s="1143"/>
      <c r="H32" s="1080"/>
      <c r="I32" s="1080"/>
    </row>
    <row r="33" spans="1:9" s="1116" customFormat="1" ht="19.5" customHeight="1">
      <c r="A33" s="3269" t="s">
        <v>1213</v>
      </c>
      <c r="B33" s="1139" t="s">
        <v>1186</v>
      </c>
      <c r="C33" s="1140" t="s">
        <v>1214</v>
      </c>
      <c r="D33" s="1141"/>
      <c r="E33" s="1139">
        <v>1</v>
      </c>
      <c r="F33" s="1142" t="s">
        <v>1215</v>
      </c>
      <c r="G33" s="1143"/>
      <c r="H33" s="1080"/>
      <c r="I33" s="1080"/>
    </row>
    <row r="34" spans="1:9" s="1116" customFormat="1" ht="19.5" customHeight="1">
      <c r="A34" s="3269"/>
      <c r="B34" s="1139" t="s">
        <v>1189</v>
      </c>
      <c r="C34" s="1140" t="s">
        <v>1216</v>
      </c>
      <c r="D34" s="1141"/>
      <c r="E34" s="1139">
        <v>1.5</v>
      </c>
      <c r="F34" s="1142" t="s">
        <v>1217</v>
      </c>
      <c r="G34" s="1143"/>
      <c r="H34" s="1080"/>
      <c r="I34" s="1080"/>
    </row>
    <row r="35" spans="1:9" s="1116" customFormat="1" ht="19.5" customHeight="1">
      <c r="A35" s="3269" t="s">
        <v>114</v>
      </c>
      <c r="B35" s="1139" t="s">
        <v>1186</v>
      </c>
      <c r="C35" s="1140" t="s">
        <v>1218</v>
      </c>
      <c r="D35" s="1141"/>
      <c r="E35" s="1139">
        <v>1</v>
      </c>
      <c r="F35" s="1142" t="s">
        <v>1219</v>
      </c>
      <c r="G35" s="1143"/>
      <c r="H35" s="1080"/>
      <c r="I35" s="1080"/>
    </row>
    <row r="36" spans="1:9" s="1116" customFormat="1" ht="19.5" customHeight="1">
      <c r="A36" s="3269"/>
      <c r="B36" s="3269" t="s">
        <v>1189</v>
      </c>
      <c r="C36" s="1140" t="s">
        <v>1220</v>
      </c>
      <c r="D36" s="1141"/>
      <c r="E36" s="1139">
        <v>1</v>
      </c>
      <c r="F36" s="1142" t="s">
        <v>1221</v>
      </c>
      <c r="G36" s="1143"/>
      <c r="H36" s="1080"/>
      <c r="I36" s="1080"/>
    </row>
    <row r="37" spans="1:9" s="1116" customFormat="1" ht="19.5" customHeight="1">
      <c r="A37" s="3269"/>
      <c r="B37" s="3269"/>
      <c r="C37" s="1140" t="s">
        <v>1222</v>
      </c>
      <c r="D37" s="1141"/>
      <c r="E37" s="1139">
        <v>1.5</v>
      </c>
      <c r="F37" s="1142" t="s">
        <v>1223</v>
      </c>
      <c r="G37" s="1143"/>
      <c r="H37" s="1080"/>
      <c r="I37" s="1080"/>
    </row>
    <row r="38" spans="1:9" s="1116" customFormat="1" ht="19.5" customHeight="1">
      <c r="A38" s="3269"/>
      <c r="B38" s="3269"/>
      <c r="C38" s="1140" t="s">
        <v>1224</v>
      </c>
      <c r="D38" s="1141"/>
      <c r="E38" s="1139">
        <v>1</v>
      </c>
      <c r="F38" s="1142" t="s">
        <v>1225</v>
      </c>
      <c r="G38" s="1143"/>
      <c r="H38" s="1080"/>
      <c r="I38" s="1080"/>
    </row>
    <row r="39" spans="1:9" s="1116" customFormat="1" ht="19.5" customHeight="1">
      <c r="A39" s="3269"/>
      <c r="B39" s="3269"/>
      <c r="C39" s="1140" t="s">
        <v>1226</v>
      </c>
      <c r="D39" s="1141"/>
      <c r="E39" s="1139">
        <v>1</v>
      </c>
      <c r="F39" s="1142" t="s">
        <v>1227</v>
      </c>
      <c r="G39" s="1143"/>
      <c r="H39" s="1080"/>
      <c r="I39" s="1080"/>
    </row>
    <row r="40" spans="1:9" s="1116" customFormat="1" ht="19.5" customHeight="1">
      <c r="A40" s="1144" t="s">
        <v>1228</v>
      </c>
      <c r="B40" s="1144"/>
      <c r="C40" s="1144"/>
      <c r="D40" s="1144"/>
      <c r="E40" s="1144"/>
      <c r="F40" s="1142"/>
      <c r="G40" s="1142"/>
      <c r="H40" s="1080"/>
      <c r="I40" s="1080"/>
    </row>
    <row r="42" spans="1:9" ht="19.5" customHeight="1">
      <c r="A42" s="1145"/>
      <c r="B42" s="1130" t="s">
        <v>1229</v>
      </c>
      <c r="C42" s="1130" t="s">
        <v>1229</v>
      </c>
      <c r="D42" s="1130" t="s">
        <v>1229</v>
      </c>
      <c r="E42" s="1132" t="s">
        <v>1229</v>
      </c>
      <c r="F42" s="1132" t="s">
        <v>1229</v>
      </c>
      <c r="G42" s="1132" t="s">
        <v>1142</v>
      </c>
      <c r="H42" s="1132" t="s">
        <v>1229</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1230</v>
      </c>
      <c r="G44" s="1137" t="s">
        <v>1230</v>
      </c>
      <c r="H44" s="1137" t="s">
        <v>1230</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1231</v>
      </c>
      <c r="E58" s="1134"/>
      <c r="F58" s="1134"/>
    </row>
    <row r="59" spans="1:8" s="1080" customFormat="1" ht="19.5" customHeight="1">
      <c r="A59" s="1139" t="s">
        <v>1232</v>
      </c>
      <c r="B59" s="1139" t="s">
        <v>1233</v>
      </c>
      <c r="C59" s="1139" t="s">
        <v>1234</v>
      </c>
      <c r="D59" s="1139" t="s">
        <v>1235</v>
      </c>
      <c r="E59" s="1139" t="s">
        <v>1070</v>
      </c>
      <c r="F59" s="1139" t="s">
        <v>1236</v>
      </c>
    </row>
    <row r="60" spans="1:8" s="1080" customFormat="1" ht="19.5" customHeight="1">
      <c r="A60" s="1139"/>
      <c r="B60" s="1139"/>
      <c r="C60" s="1139" t="s">
        <v>1066</v>
      </c>
      <c r="D60" s="1139"/>
      <c r="E60" s="1150" t="s">
        <v>67</v>
      </c>
      <c r="F60" s="1139" t="s">
        <v>67</v>
      </c>
    </row>
    <row r="61" spans="1:8" s="1080" customFormat="1" ht="24">
      <c r="A61" s="1139">
        <v>1</v>
      </c>
      <c r="B61" s="3269" t="s">
        <v>1237</v>
      </c>
      <c r="C61" s="1130" t="s">
        <v>1238</v>
      </c>
      <c r="D61" s="1130" t="s">
        <v>1239</v>
      </c>
      <c r="E61" s="1150">
        <v>0.5</v>
      </c>
      <c r="F61" s="1139">
        <v>80</v>
      </c>
      <c r="H61" s="1080">
        <f>SUMIF(C59:C119,基准地价!C8,E59:E119)</f>
        <v>0</v>
      </c>
    </row>
    <row r="62" spans="1:8" s="1080" customFormat="1" ht="24">
      <c r="A62" s="1139">
        <v>2</v>
      </c>
      <c r="B62" s="3269"/>
      <c r="C62" s="1130" t="s">
        <v>1240</v>
      </c>
      <c r="D62" s="1130" t="s">
        <v>1241</v>
      </c>
      <c r="E62" s="1150">
        <v>0.5</v>
      </c>
      <c r="F62" s="1139">
        <v>80</v>
      </c>
    </row>
    <row r="63" spans="1:8" s="1080" customFormat="1" ht="36">
      <c r="A63" s="1139">
        <v>3</v>
      </c>
      <c r="B63" s="3269"/>
      <c r="C63" s="1130" t="s">
        <v>1242</v>
      </c>
      <c r="D63" s="1130" t="s">
        <v>1243</v>
      </c>
      <c r="E63" s="1150">
        <v>0.5</v>
      </c>
      <c r="F63" s="1139">
        <v>80</v>
      </c>
    </row>
    <row r="64" spans="1:8" s="1080" customFormat="1" ht="36">
      <c r="A64" s="1139">
        <v>4</v>
      </c>
      <c r="B64" s="3269"/>
      <c r="C64" s="1130" t="s">
        <v>1244</v>
      </c>
      <c r="D64" s="1130" t="s">
        <v>1245</v>
      </c>
      <c r="E64" s="1150">
        <v>0.4</v>
      </c>
      <c r="F64" s="1139">
        <v>60</v>
      </c>
    </row>
    <row r="65" spans="1:6" s="1080" customFormat="1" ht="36">
      <c r="A65" s="1139">
        <v>5</v>
      </c>
      <c r="B65" s="3269"/>
      <c r="C65" s="1130" t="s">
        <v>1246</v>
      </c>
      <c r="D65" s="1130" t="s">
        <v>1247</v>
      </c>
      <c r="E65" s="1150">
        <v>0.2</v>
      </c>
      <c r="F65" s="1139">
        <v>30</v>
      </c>
    </row>
    <row r="66" spans="1:6" s="1080" customFormat="1" ht="36">
      <c r="A66" s="1139">
        <v>6</v>
      </c>
      <c r="B66" s="3269"/>
      <c r="C66" s="1130" t="s">
        <v>1248</v>
      </c>
      <c r="D66" s="1130" t="s">
        <v>1249</v>
      </c>
      <c r="E66" s="1150">
        <v>0.3</v>
      </c>
      <c r="F66" s="1139">
        <v>50</v>
      </c>
    </row>
    <row r="67" spans="1:6" s="1080" customFormat="1" ht="36">
      <c r="A67" s="1139">
        <v>7</v>
      </c>
      <c r="B67" s="3269"/>
      <c r="C67" s="1130" t="s">
        <v>1250</v>
      </c>
      <c r="D67" s="1130" t="s">
        <v>1251</v>
      </c>
      <c r="E67" s="1150">
        <v>0.2</v>
      </c>
      <c r="F67" s="1139">
        <v>30</v>
      </c>
    </row>
    <row r="68" spans="1:6" s="1080" customFormat="1" ht="36">
      <c r="A68" s="1139">
        <v>8</v>
      </c>
      <c r="B68" s="3269"/>
      <c r="C68" s="1130" t="s">
        <v>1252</v>
      </c>
      <c r="D68" s="1130" t="s">
        <v>1253</v>
      </c>
      <c r="E68" s="1150">
        <v>0.2</v>
      </c>
      <c r="F68" s="1139">
        <v>30</v>
      </c>
    </row>
    <row r="69" spans="1:6" s="1080" customFormat="1" ht="36">
      <c r="A69" s="1139">
        <v>9</v>
      </c>
      <c r="B69" s="3269"/>
      <c r="C69" s="1130" t="s">
        <v>1254</v>
      </c>
      <c r="D69" s="1130" t="s">
        <v>1255</v>
      </c>
      <c r="E69" s="1150">
        <v>0.2</v>
      </c>
      <c r="F69" s="1139">
        <v>30</v>
      </c>
    </row>
    <row r="70" spans="1:6" s="1080" customFormat="1" ht="48">
      <c r="A70" s="1139">
        <v>10</v>
      </c>
      <c r="B70" s="3269"/>
      <c r="C70" s="1130" t="s">
        <v>1256</v>
      </c>
      <c r="D70" s="1130" t="s">
        <v>1257</v>
      </c>
      <c r="E70" s="1150">
        <v>0.2</v>
      </c>
      <c r="F70" s="1139">
        <v>30</v>
      </c>
    </row>
    <row r="71" spans="1:6" s="1080" customFormat="1" ht="48">
      <c r="A71" s="1139">
        <v>11</v>
      </c>
      <c r="B71" s="3269"/>
      <c r="C71" s="1130" t="s">
        <v>1258</v>
      </c>
      <c r="D71" s="1130" t="s">
        <v>1259</v>
      </c>
      <c r="E71" s="1150">
        <v>0.2</v>
      </c>
      <c r="F71" s="1139">
        <v>30</v>
      </c>
    </row>
    <row r="72" spans="1:6" s="1080" customFormat="1" ht="36">
      <c r="A72" s="1139">
        <v>12</v>
      </c>
      <c r="B72" s="3269"/>
      <c r="C72" s="1130" t="s">
        <v>1260</v>
      </c>
      <c r="D72" s="1130" t="s">
        <v>1261</v>
      </c>
      <c r="E72" s="1150">
        <v>0.5</v>
      </c>
      <c r="F72" s="1139">
        <v>80</v>
      </c>
    </row>
    <row r="73" spans="1:6" s="1080" customFormat="1" ht="24">
      <c r="A73" s="1139">
        <v>13</v>
      </c>
      <c r="B73" s="3269"/>
      <c r="C73" s="1130" t="s">
        <v>1262</v>
      </c>
      <c r="D73" s="1130" t="s">
        <v>1263</v>
      </c>
      <c r="E73" s="1150">
        <v>0.4</v>
      </c>
      <c r="F73" s="1139">
        <v>60</v>
      </c>
    </row>
    <row r="74" spans="1:6" s="1080" customFormat="1" ht="24">
      <c r="A74" s="1139">
        <v>14</v>
      </c>
      <c r="B74" s="3269"/>
      <c r="C74" s="1130" t="s">
        <v>1264</v>
      </c>
      <c r="D74" s="1130" t="s">
        <v>1265</v>
      </c>
      <c r="E74" s="1150">
        <v>0.2</v>
      </c>
      <c r="F74" s="1139">
        <v>30</v>
      </c>
    </row>
    <row r="75" spans="1:6" s="1080" customFormat="1" ht="24">
      <c r="A75" s="1139">
        <v>15</v>
      </c>
      <c r="B75" s="3269"/>
      <c r="C75" s="1130" t="s">
        <v>1266</v>
      </c>
      <c r="D75" s="1130" t="s">
        <v>1267</v>
      </c>
      <c r="E75" s="1150">
        <v>0.2</v>
      </c>
      <c r="F75" s="1139">
        <v>30</v>
      </c>
    </row>
    <row r="76" spans="1:6" s="1080" customFormat="1" ht="24">
      <c r="A76" s="1139">
        <v>16</v>
      </c>
      <c r="B76" s="3269" t="s">
        <v>1268</v>
      </c>
      <c r="C76" s="1130" t="s">
        <v>1269</v>
      </c>
      <c r="D76" s="1130" t="s">
        <v>1270</v>
      </c>
      <c r="E76" s="1150">
        <v>0.5</v>
      </c>
      <c r="F76" s="1139">
        <v>80</v>
      </c>
    </row>
    <row r="77" spans="1:6" s="1080" customFormat="1" ht="24">
      <c r="A77" s="1139">
        <v>17</v>
      </c>
      <c r="B77" s="3269"/>
      <c r="C77" s="1130" t="s">
        <v>1271</v>
      </c>
      <c r="D77" s="1130" t="s">
        <v>1272</v>
      </c>
      <c r="E77" s="1150">
        <v>0.5</v>
      </c>
      <c r="F77" s="1139">
        <v>80</v>
      </c>
    </row>
    <row r="78" spans="1:6" s="1080" customFormat="1" ht="24">
      <c r="A78" s="1139">
        <v>18</v>
      </c>
      <c r="B78" s="3269"/>
      <c r="C78" s="1130" t="s">
        <v>1273</v>
      </c>
      <c r="D78" s="1130" t="s">
        <v>1274</v>
      </c>
      <c r="E78" s="1150">
        <v>0.2</v>
      </c>
      <c r="F78" s="1139">
        <v>30</v>
      </c>
    </row>
    <row r="79" spans="1:6" s="1080" customFormat="1" ht="24">
      <c r="A79" s="1139">
        <v>19</v>
      </c>
      <c r="B79" s="3269"/>
      <c r="C79" s="1130" t="s">
        <v>1275</v>
      </c>
      <c r="D79" s="1130" t="s">
        <v>1276</v>
      </c>
      <c r="E79" s="1150">
        <v>0.5</v>
      </c>
      <c r="F79" s="1139">
        <v>80</v>
      </c>
    </row>
    <row r="80" spans="1:6" s="1080" customFormat="1" ht="36">
      <c r="A80" s="1139">
        <v>20</v>
      </c>
      <c r="B80" s="3269"/>
      <c r="C80" s="1130" t="s">
        <v>1277</v>
      </c>
      <c r="D80" s="1130" t="s">
        <v>1278</v>
      </c>
      <c r="E80" s="1150">
        <v>0.2</v>
      </c>
      <c r="F80" s="1139">
        <v>30</v>
      </c>
    </row>
    <row r="81" spans="1:6" s="1080" customFormat="1" ht="36">
      <c r="A81" s="1139">
        <v>21</v>
      </c>
      <c r="B81" s="3269"/>
      <c r="C81" s="1130" t="s">
        <v>1279</v>
      </c>
      <c r="D81" s="1130" t="s">
        <v>1280</v>
      </c>
      <c r="E81" s="1150">
        <v>0.2</v>
      </c>
      <c r="F81" s="1139">
        <v>30</v>
      </c>
    </row>
    <row r="82" spans="1:6" s="1080" customFormat="1" ht="48">
      <c r="A82" s="1139">
        <v>22</v>
      </c>
      <c r="B82" s="3269"/>
      <c r="C82" s="1130" t="s">
        <v>1281</v>
      </c>
      <c r="D82" s="1130" t="s">
        <v>1282</v>
      </c>
      <c r="E82" s="1150">
        <v>0.2</v>
      </c>
      <c r="F82" s="1139">
        <v>30</v>
      </c>
    </row>
    <row r="83" spans="1:6" s="1080" customFormat="1" ht="48">
      <c r="A83" s="1139">
        <v>23</v>
      </c>
      <c r="B83" s="3269"/>
      <c r="C83" s="1130" t="s">
        <v>1283</v>
      </c>
      <c r="D83" s="1130" t="s">
        <v>1284</v>
      </c>
      <c r="E83" s="1150">
        <v>0.2</v>
      </c>
      <c r="F83" s="1139">
        <v>30</v>
      </c>
    </row>
    <row r="84" spans="1:6" s="1080" customFormat="1" ht="36">
      <c r="A84" s="1139">
        <v>24</v>
      </c>
      <c r="B84" s="3269"/>
      <c r="C84" s="1130" t="s">
        <v>1285</v>
      </c>
      <c r="D84" s="1130" t="s">
        <v>1286</v>
      </c>
      <c r="E84" s="1150">
        <v>0.2</v>
      </c>
      <c r="F84" s="1139">
        <v>30</v>
      </c>
    </row>
    <row r="85" spans="1:6" s="1080" customFormat="1" ht="36">
      <c r="A85" s="1139">
        <v>25</v>
      </c>
      <c r="B85" s="3269"/>
      <c r="C85" s="1130" t="s">
        <v>1287</v>
      </c>
      <c r="D85" s="1130" t="s">
        <v>1288</v>
      </c>
      <c r="E85" s="1150">
        <v>0.5</v>
      </c>
      <c r="F85" s="1139">
        <v>80</v>
      </c>
    </row>
    <row r="86" spans="1:6" s="1080" customFormat="1" ht="36">
      <c r="A86" s="1139">
        <v>26</v>
      </c>
      <c r="B86" s="3269"/>
      <c r="C86" s="1130" t="s">
        <v>1289</v>
      </c>
      <c r="D86" s="1130" t="s">
        <v>1290</v>
      </c>
      <c r="E86" s="1150">
        <v>0.2</v>
      </c>
      <c r="F86" s="1139">
        <v>30</v>
      </c>
    </row>
    <row r="87" spans="1:6" s="1080" customFormat="1" ht="36">
      <c r="A87" s="1139">
        <v>27</v>
      </c>
      <c r="B87" s="3269"/>
      <c r="C87" s="1130" t="s">
        <v>1291</v>
      </c>
      <c r="D87" s="1130" t="s">
        <v>1292</v>
      </c>
      <c r="E87" s="1150">
        <v>0.2</v>
      </c>
      <c r="F87" s="1139">
        <v>30</v>
      </c>
    </row>
    <row r="88" spans="1:6" s="1080" customFormat="1" ht="36">
      <c r="A88" s="1139">
        <v>28</v>
      </c>
      <c r="B88" s="3269"/>
      <c r="C88" s="1130" t="s">
        <v>1293</v>
      </c>
      <c r="D88" s="1130" t="s">
        <v>1294</v>
      </c>
      <c r="E88" s="1150">
        <v>0.2</v>
      </c>
      <c r="F88" s="1139">
        <v>30</v>
      </c>
    </row>
    <row r="89" spans="1:6" s="1080" customFormat="1" ht="24">
      <c r="A89" s="1139">
        <v>29</v>
      </c>
      <c r="B89" s="3269"/>
      <c r="C89" s="1130" t="s">
        <v>1295</v>
      </c>
      <c r="D89" s="1130" t="s">
        <v>1296</v>
      </c>
      <c r="E89" s="1150">
        <v>0.2</v>
      </c>
      <c r="F89" s="1139">
        <v>30</v>
      </c>
    </row>
    <row r="90" spans="1:6" s="1080" customFormat="1" ht="24">
      <c r="A90" s="1139">
        <v>30</v>
      </c>
      <c r="B90" s="3269"/>
      <c r="C90" s="1130" t="s">
        <v>1297</v>
      </c>
      <c r="D90" s="1130" t="s">
        <v>1298</v>
      </c>
      <c r="E90" s="1150">
        <v>0.2</v>
      </c>
      <c r="F90" s="1139">
        <v>30</v>
      </c>
    </row>
    <row r="91" spans="1:6" s="1080" customFormat="1" ht="36">
      <c r="A91" s="1139">
        <v>31</v>
      </c>
      <c r="B91" s="3269"/>
      <c r="C91" s="1130" t="s">
        <v>1299</v>
      </c>
      <c r="D91" s="1130" t="s">
        <v>1300</v>
      </c>
      <c r="E91" s="1150">
        <v>0.2</v>
      </c>
      <c r="F91" s="1139">
        <v>30</v>
      </c>
    </row>
    <row r="92" spans="1:6" s="1080" customFormat="1" ht="24">
      <c r="A92" s="1139">
        <v>32</v>
      </c>
      <c r="B92" s="3269" t="s">
        <v>1301</v>
      </c>
      <c r="C92" s="1139" t="s">
        <v>1302</v>
      </c>
      <c r="D92" s="1130" t="s">
        <v>1303</v>
      </c>
      <c r="E92" s="1150">
        <v>0.2</v>
      </c>
      <c r="F92" s="1139">
        <v>30</v>
      </c>
    </row>
    <row r="93" spans="1:6" s="1080" customFormat="1" ht="36">
      <c r="A93" s="1139">
        <v>33</v>
      </c>
      <c r="B93" s="3269"/>
      <c r="C93" s="1139" t="s">
        <v>1304</v>
      </c>
      <c r="D93" s="1130" t="s">
        <v>1305</v>
      </c>
      <c r="E93" s="1150">
        <v>0.2</v>
      </c>
      <c r="F93" s="1139">
        <v>30</v>
      </c>
    </row>
    <row r="94" spans="1:6" s="1080" customFormat="1" ht="48">
      <c r="A94" s="1139">
        <v>34</v>
      </c>
      <c r="B94" s="3269"/>
      <c r="C94" s="1139" t="s">
        <v>1306</v>
      </c>
      <c r="D94" s="1130" t="s">
        <v>1307</v>
      </c>
      <c r="E94" s="1150">
        <v>0.2</v>
      </c>
      <c r="F94" s="1139">
        <v>30</v>
      </c>
    </row>
    <row r="95" spans="1:6" s="1080" customFormat="1" ht="36">
      <c r="A95" s="1139">
        <v>35</v>
      </c>
      <c r="B95" s="3269"/>
      <c r="C95" s="1139" t="s">
        <v>1308</v>
      </c>
      <c r="D95" s="1130" t="s">
        <v>1309</v>
      </c>
      <c r="E95" s="1150">
        <v>0.2</v>
      </c>
      <c r="F95" s="1139">
        <v>30</v>
      </c>
    </row>
    <row r="96" spans="1:6" s="1080" customFormat="1" ht="48">
      <c r="A96" s="1139">
        <v>36</v>
      </c>
      <c r="B96" s="3269"/>
      <c r="C96" s="1130" t="s">
        <v>1310</v>
      </c>
      <c r="D96" s="1130" t="s">
        <v>1311</v>
      </c>
      <c r="E96" s="1150">
        <v>0.2</v>
      </c>
      <c r="F96" s="1139">
        <v>30</v>
      </c>
    </row>
    <row r="97" spans="1:6" s="1080" customFormat="1" ht="36">
      <c r="A97" s="1139">
        <v>37</v>
      </c>
      <c r="B97" s="3269"/>
      <c r="C97" s="1139" t="s">
        <v>1312</v>
      </c>
      <c r="D97" s="1130" t="s">
        <v>1313</v>
      </c>
      <c r="E97" s="1150">
        <v>0.2</v>
      </c>
      <c r="F97" s="1139">
        <v>30</v>
      </c>
    </row>
    <row r="98" spans="1:6" s="1080" customFormat="1" ht="36">
      <c r="A98" s="1139">
        <v>38</v>
      </c>
      <c r="B98" s="3269"/>
      <c r="C98" s="1139" t="s">
        <v>1314</v>
      </c>
      <c r="D98" s="1130" t="s">
        <v>1315</v>
      </c>
      <c r="E98" s="1150">
        <v>0.2</v>
      </c>
      <c r="F98" s="1139">
        <v>30</v>
      </c>
    </row>
    <row r="99" spans="1:6" s="1080" customFormat="1" ht="36">
      <c r="A99" s="1139">
        <v>39</v>
      </c>
      <c r="B99" s="3269" t="s">
        <v>1316</v>
      </c>
      <c r="C99" s="1139" t="s">
        <v>1317</v>
      </c>
      <c r="D99" s="1130" t="s">
        <v>1318</v>
      </c>
      <c r="E99" s="1150">
        <v>0.3</v>
      </c>
      <c r="F99" s="1139">
        <v>50</v>
      </c>
    </row>
    <row r="100" spans="1:6" s="1080" customFormat="1" ht="24">
      <c r="A100" s="1139">
        <v>40</v>
      </c>
      <c r="B100" s="3269"/>
      <c r="C100" s="1139" t="s">
        <v>1319</v>
      </c>
      <c r="D100" s="1130" t="s">
        <v>1320</v>
      </c>
      <c r="E100" s="1150">
        <v>0.2</v>
      </c>
      <c r="F100" s="1139">
        <v>30</v>
      </c>
    </row>
    <row r="101" spans="1:6" s="1080" customFormat="1" ht="36">
      <c r="A101" s="1139">
        <v>41</v>
      </c>
      <c r="B101" s="3269"/>
      <c r="C101" s="1139" t="s">
        <v>1321</v>
      </c>
      <c r="D101" s="1130" t="s">
        <v>1318</v>
      </c>
      <c r="E101" s="1150">
        <v>0.2</v>
      </c>
      <c r="F101" s="1139">
        <v>30</v>
      </c>
    </row>
    <row r="102" spans="1:6" s="1080" customFormat="1" ht="48">
      <c r="A102" s="1139">
        <v>42</v>
      </c>
      <c r="B102" s="1139" t="s">
        <v>1322</v>
      </c>
      <c r="C102" s="1130" t="s">
        <v>1323</v>
      </c>
      <c r="D102" s="1130" t="s">
        <v>1324</v>
      </c>
      <c r="E102" s="1150">
        <v>0.2</v>
      </c>
      <c r="F102" s="1139">
        <v>30</v>
      </c>
    </row>
    <row r="103" spans="1:6" s="1080" customFormat="1" ht="24">
      <c r="A103" s="1139">
        <v>43</v>
      </c>
      <c r="B103" s="1139" t="s">
        <v>1325</v>
      </c>
      <c r="C103" s="1139" t="s">
        <v>1326</v>
      </c>
      <c r="D103" s="1130" t="s">
        <v>1327</v>
      </c>
      <c r="E103" s="1150">
        <v>0.2</v>
      </c>
      <c r="F103" s="1139">
        <v>30</v>
      </c>
    </row>
    <row r="104" spans="1:6" s="1080" customFormat="1" ht="36">
      <c r="A104" s="1139">
        <v>44</v>
      </c>
      <c r="B104" s="1139" t="s">
        <v>1328</v>
      </c>
      <c r="C104" s="1139" t="s">
        <v>1329</v>
      </c>
      <c r="D104" s="1130" t="s">
        <v>1330</v>
      </c>
      <c r="E104" s="1150">
        <v>0.2</v>
      </c>
      <c r="F104" s="1139">
        <v>30</v>
      </c>
    </row>
    <row r="105" spans="1:6" s="1080" customFormat="1" ht="36">
      <c r="A105" s="1139">
        <v>45</v>
      </c>
      <c r="B105" s="3269" t="s">
        <v>1331</v>
      </c>
      <c r="C105" s="1139" t="s">
        <v>1332</v>
      </c>
      <c r="D105" s="1130" t="s">
        <v>1333</v>
      </c>
      <c r="E105" s="1150">
        <v>0.2</v>
      </c>
      <c r="F105" s="1139">
        <v>30</v>
      </c>
    </row>
    <row r="106" spans="1:6" s="1080" customFormat="1" ht="36">
      <c r="A106" s="1139">
        <v>46</v>
      </c>
      <c r="B106" s="3269"/>
      <c r="C106" s="1139" t="s">
        <v>1334</v>
      </c>
      <c r="D106" s="1130" t="s">
        <v>1335</v>
      </c>
      <c r="E106" s="1150">
        <v>0.2</v>
      </c>
      <c r="F106" s="1139">
        <v>30</v>
      </c>
    </row>
    <row r="107" spans="1:6" s="1080" customFormat="1" ht="36">
      <c r="A107" s="1139">
        <v>47</v>
      </c>
      <c r="B107" s="3269" t="s">
        <v>1336</v>
      </c>
      <c r="C107" s="1139" t="s">
        <v>1337</v>
      </c>
      <c r="D107" s="1130" t="s">
        <v>1338</v>
      </c>
      <c r="E107" s="1150">
        <v>0.3</v>
      </c>
      <c r="F107" s="1139">
        <v>50</v>
      </c>
    </row>
    <row r="108" spans="1:6" s="1080" customFormat="1" ht="36">
      <c r="A108" s="1139">
        <v>48</v>
      </c>
      <c r="B108" s="3269"/>
      <c r="C108" s="1139" t="s">
        <v>1339</v>
      </c>
      <c r="D108" s="1130" t="s">
        <v>1340</v>
      </c>
      <c r="E108" s="1150">
        <v>0.2</v>
      </c>
      <c r="F108" s="1139">
        <v>30</v>
      </c>
    </row>
    <row r="109" spans="1:6" s="1080" customFormat="1" ht="36">
      <c r="A109" s="1139">
        <v>49</v>
      </c>
      <c r="B109" s="1139" t="s">
        <v>1341</v>
      </c>
      <c r="C109" s="1139" t="s">
        <v>1342</v>
      </c>
      <c r="D109" s="1130" t="s">
        <v>1343</v>
      </c>
      <c r="E109" s="1150">
        <v>0.2</v>
      </c>
      <c r="F109" s="1139">
        <v>30</v>
      </c>
    </row>
    <row r="110" spans="1:6" s="1080" customFormat="1" ht="36">
      <c r="A110" s="1139">
        <v>50</v>
      </c>
      <c r="B110" s="1139" t="s">
        <v>1344</v>
      </c>
      <c r="C110" s="1139" t="s">
        <v>1345</v>
      </c>
      <c r="D110" s="1130" t="s">
        <v>1346</v>
      </c>
      <c r="E110" s="1150">
        <v>0.2</v>
      </c>
      <c r="F110" s="1139">
        <v>30</v>
      </c>
    </row>
    <row r="111" spans="1:6" s="1080" customFormat="1" ht="36">
      <c r="A111" s="1139">
        <v>51</v>
      </c>
      <c r="B111" s="3269" t="s">
        <v>1347</v>
      </c>
      <c r="C111" s="1139" t="s">
        <v>1348</v>
      </c>
      <c r="D111" s="1130" t="s">
        <v>1349</v>
      </c>
      <c r="E111" s="1150">
        <v>0.2</v>
      </c>
      <c r="F111" s="1139">
        <v>30</v>
      </c>
    </row>
    <row r="112" spans="1:6" s="1080" customFormat="1" ht="24">
      <c r="A112" s="1139">
        <v>52</v>
      </c>
      <c r="B112" s="3269"/>
      <c r="C112" s="1139" t="s">
        <v>1350</v>
      </c>
      <c r="D112" s="1130" t="s">
        <v>1351</v>
      </c>
      <c r="E112" s="1150">
        <v>0.2</v>
      </c>
      <c r="F112" s="1139">
        <v>30</v>
      </c>
    </row>
    <row r="113" spans="1:14" s="1080" customFormat="1" ht="24">
      <c r="A113" s="1139">
        <v>53</v>
      </c>
      <c r="B113" s="3269"/>
      <c r="C113" s="1139" t="s">
        <v>1352</v>
      </c>
      <c r="D113" s="1130" t="s">
        <v>1353</v>
      </c>
      <c r="E113" s="1150">
        <v>0.2</v>
      </c>
      <c r="F113" s="1139">
        <v>30</v>
      </c>
    </row>
    <row r="114" spans="1:14" ht="36">
      <c r="A114" s="1139">
        <v>54</v>
      </c>
      <c r="B114" s="1139" t="s">
        <v>1354</v>
      </c>
      <c r="C114" s="1139" t="s">
        <v>1355</v>
      </c>
      <c r="D114" s="1130" t="s">
        <v>1356</v>
      </c>
      <c r="E114" s="1150">
        <v>0.2</v>
      </c>
      <c r="F114" s="1139">
        <v>30</v>
      </c>
    </row>
    <row r="115" spans="1:14" ht="24">
      <c r="A115" s="1139">
        <v>55</v>
      </c>
      <c r="B115" s="1139" t="s">
        <v>1357</v>
      </c>
      <c r="C115" s="1139" t="s">
        <v>1358</v>
      </c>
      <c r="D115" s="1130" t="s">
        <v>1359</v>
      </c>
      <c r="E115" s="1150">
        <v>0.2</v>
      </c>
      <c r="F115" s="1139">
        <v>30</v>
      </c>
    </row>
    <row r="116" spans="1:14" ht="24">
      <c r="A116" s="1139">
        <v>56</v>
      </c>
      <c r="B116" s="3269" t="s">
        <v>1360</v>
      </c>
      <c r="C116" s="1139" t="s">
        <v>1361</v>
      </c>
      <c r="D116" s="1130" t="s">
        <v>1362</v>
      </c>
      <c r="E116" s="1150">
        <v>0.2</v>
      </c>
      <c r="F116" s="1139">
        <v>30</v>
      </c>
    </row>
    <row r="117" spans="1:14" ht="36">
      <c r="A117" s="1139">
        <v>57</v>
      </c>
      <c r="B117" s="3269"/>
      <c r="C117" s="1139" t="s">
        <v>1363</v>
      </c>
      <c r="D117" s="1130" t="s">
        <v>1364</v>
      </c>
      <c r="E117" s="1150">
        <v>0.2</v>
      </c>
      <c r="F117" s="1139">
        <v>30</v>
      </c>
    </row>
    <row r="118" spans="1:14" ht="36">
      <c r="A118" s="1139">
        <v>58</v>
      </c>
      <c r="B118" s="1139" t="s">
        <v>1365</v>
      </c>
      <c r="C118" s="1139" t="s">
        <v>1366</v>
      </c>
      <c r="D118" s="1130" t="s">
        <v>1367</v>
      </c>
      <c r="E118" s="1150">
        <v>0.2</v>
      </c>
      <c r="F118" s="1139">
        <v>30</v>
      </c>
    </row>
    <row r="119" spans="1:14" ht="13.5">
      <c r="A119" s="1139"/>
      <c r="B119" s="1139"/>
      <c r="C119" s="1139"/>
      <c r="D119" s="1139"/>
      <c r="E119" s="1150"/>
      <c r="F119" s="1139"/>
    </row>
    <row r="121" spans="1:14" ht="19.5" customHeight="1">
      <c r="A121" s="3263" t="s">
        <v>1168</v>
      </c>
      <c r="B121" s="3263"/>
      <c r="C121" s="3263"/>
      <c r="D121" s="3263"/>
      <c r="E121" s="3263"/>
      <c r="F121" s="3263"/>
      <c r="G121" s="3263"/>
      <c r="H121" s="3263"/>
      <c r="I121" s="3263"/>
      <c r="J121" s="3263"/>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275" t="s">
        <v>1368</v>
      </c>
      <c r="B1" s="3275"/>
      <c r="C1" s="3275"/>
      <c r="D1" s="3275"/>
      <c r="E1" s="3275"/>
      <c r="F1" s="3275"/>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276" t="s">
        <v>1369</v>
      </c>
      <c r="B2" s="3276"/>
      <c r="C2" s="3276"/>
      <c r="D2" s="3276"/>
      <c r="E2" s="3276"/>
      <c r="F2" s="3276"/>
      <c r="I2" s="1112" t="s">
        <v>1370</v>
      </c>
      <c r="J2" s="1092" t="s">
        <v>1371</v>
      </c>
      <c r="K2" s="1092" t="s">
        <v>1372</v>
      </c>
      <c r="L2" s="1092" t="s">
        <v>1373</v>
      </c>
      <c r="M2" s="1092" t="s">
        <v>1374</v>
      </c>
      <c r="N2" s="1092" t="s">
        <v>1375</v>
      </c>
      <c r="O2" s="1092" t="s">
        <v>1376</v>
      </c>
      <c r="P2" s="1092" t="s">
        <v>1377</v>
      </c>
      <c r="Q2" s="1092" t="s">
        <v>349</v>
      </c>
      <c r="R2" s="1092" t="s">
        <v>1378</v>
      </c>
      <c r="S2" s="1092" t="s">
        <v>1379</v>
      </c>
      <c r="T2" s="1092" t="s">
        <v>1380</v>
      </c>
    </row>
    <row r="3" spans="1:20" s="1078" customFormat="1" ht="19.5" customHeight="1">
      <c r="A3" s="3277" t="s">
        <v>1381</v>
      </c>
      <c r="B3" s="1082"/>
      <c r="C3" s="1083" t="s">
        <v>293</v>
      </c>
      <c r="D3" s="1083" t="s">
        <v>294</v>
      </c>
      <c r="E3" s="1083" t="s">
        <v>292</v>
      </c>
      <c r="F3" s="1083" t="s">
        <v>114</v>
      </c>
      <c r="G3" s="1084"/>
      <c r="I3" s="1112" t="s">
        <v>1382</v>
      </c>
      <c r="J3" s="1092" t="s">
        <v>1383</v>
      </c>
      <c r="K3" s="1092" t="s">
        <v>1384</v>
      </c>
      <c r="L3" s="1092" t="s">
        <v>1385</v>
      </c>
      <c r="M3" s="1092" t="s">
        <v>1386</v>
      </c>
      <c r="N3" s="1092" t="s">
        <v>1387</v>
      </c>
      <c r="O3" s="1092" t="s">
        <v>1388</v>
      </c>
      <c r="P3" s="1092" t="s">
        <v>1389</v>
      </c>
      <c r="Q3" s="1092" t="s">
        <v>1390</v>
      </c>
      <c r="R3" s="1092" t="s">
        <v>1391</v>
      </c>
      <c r="S3" s="1092" t="s">
        <v>1392</v>
      </c>
      <c r="T3" s="1092" t="s">
        <v>1393</v>
      </c>
    </row>
    <row r="4" spans="1:20" s="1078" customFormat="1" ht="19.5" customHeight="1">
      <c r="A4" s="3278"/>
      <c r="B4" s="1085" t="s">
        <v>345</v>
      </c>
      <c r="C4" s="1085" t="s">
        <v>1394</v>
      </c>
      <c r="D4" s="1085" t="s">
        <v>1394</v>
      </c>
      <c r="E4" s="1085" t="s">
        <v>1394</v>
      </c>
      <c r="F4" s="1086" t="s">
        <v>1394</v>
      </c>
      <c r="G4" s="1084"/>
      <c r="I4" s="1112" t="s">
        <v>1395</v>
      </c>
      <c r="J4" s="1092" t="s">
        <v>1396</v>
      </c>
      <c r="K4" s="1092" t="s">
        <v>1397</v>
      </c>
      <c r="L4" s="1092" t="s">
        <v>1398</v>
      </c>
      <c r="M4" s="1092" t="s">
        <v>1399</v>
      </c>
      <c r="N4" s="1092" t="s">
        <v>1400</v>
      </c>
      <c r="O4" s="1092" t="s">
        <v>1401</v>
      </c>
      <c r="P4" s="1092" t="s">
        <v>1402</v>
      </c>
      <c r="Q4" s="1092" t="s">
        <v>1403</v>
      </c>
      <c r="R4" s="1092" t="s">
        <v>1404</v>
      </c>
      <c r="S4" s="1092" t="s">
        <v>1405</v>
      </c>
      <c r="T4" s="1092" t="s">
        <v>1406</v>
      </c>
    </row>
    <row r="5" spans="1:20" ht="14.25" customHeight="1">
      <c r="A5" s="1087" t="s">
        <v>161</v>
      </c>
      <c r="B5" s="1088" t="s">
        <v>1370</v>
      </c>
      <c r="C5" s="1088">
        <v>29530</v>
      </c>
      <c r="D5" s="1088">
        <v>28130</v>
      </c>
      <c r="E5" s="1088">
        <v>27930</v>
      </c>
      <c r="F5" s="1089">
        <v>11300</v>
      </c>
      <c r="G5" s="1090" t="s">
        <v>161</v>
      </c>
      <c r="H5" s="1091">
        <f>SUMPRODUCT((B5:B9=基准地价!I2)*(C3:F3=基准地价!E2)*(C5:F9))</f>
        <v>0</v>
      </c>
      <c r="I5" s="1112" t="s">
        <v>1407</v>
      </c>
      <c r="J5" s="1092" t="s">
        <v>1408</v>
      </c>
      <c r="K5" s="1092" t="s">
        <v>1409</v>
      </c>
      <c r="L5" s="1092" t="s">
        <v>1410</v>
      </c>
      <c r="M5" s="1092" t="s">
        <v>1411</v>
      </c>
      <c r="N5" s="1092" t="s">
        <v>1412</v>
      </c>
      <c r="O5" s="1092" t="s">
        <v>1413</v>
      </c>
      <c r="P5" s="1092" t="s">
        <v>1414</v>
      </c>
      <c r="Q5" s="1092" t="s">
        <v>348</v>
      </c>
      <c r="R5" s="1092" t="s">
        <v>1415</v>
      </c>
      <c r="S5" s="1092" t="s">
        <v>1416</v>
      </c>
      <c r="T5" s="1092" t="s">
        <v>1417</v>
      </c>
    </row>
    <row r="6" spans="1:20" ht="14.25" customHeight="1">
      <c r="A6" s="1087" t="s">
        <v>161</v>
      </c>
      <c r="B6" s="1092" t="s">
        <v>1382</v>
      </c>
      <c r="C6" s="1092">
        <v>30290</v>
      </c>
      <c r="D6" s="1092">
        <v>29210</v>
      </c>
      <c r="E6" s="1092">
        <v>28860</v>
      </c>
      <c r="F6" s="1093">
        <v>12600</v>
      </c>
      <c r="G6" s="1094" t="s">
        <v>175</v>
      </c>
      <c r="H6" s="1095">
        <f>SUMPRODUCT((B10:B28=基准地价!I2)*(C3:F3=基准地价!E2)*(C10:F28))</f>
        <v>0</v>
      </c>
      <c r="I6" s="1112" t="s">
        <v>1418</v>
      </c>
      <c r="J6" s="1092" t="s">
        <v>1419</v>
      </c>
      <c r="K6" s="1092" t="s">
        <v>1420</v>
      </c>
      <c r="L6" s="1092" t="s">
        <v>1421</v>
      </c>
      <c r="M6" s="1092" t="s">
        <v>346</v>
      </c>
      <c r="N6" s="1092" t="s">
        <v>1422</v>
      </c>
      <c r="O6" s="1092" t="s">
        <v>1423</v>
      </c>
      <c r="P6" s="1092" t="s">
        <v>1424</v>
      </c>
      <c r="Q6" s="1092" t="s">
        <v>1425</v>
      </c>
      <c r="R6" s="1092" t="s">
        <v>1426</v>
      </c>
      <c r="S6" s="1092" t="s">
        <v>1427</v>
      </c>
      <c r="T6" s="1092" t="s">
        <v>1428</v>
      </c>
    </row>
    <row r="7" spans="1:20" ht="14.25" customHeight="1">
      <c r="A7" s="1087" t="s">
        <v>161</v>
      </c>
      <c r="B7" s="1096" t="s">
        <v>1395</v>
      </c>
      <c r="C7" s="1092">
        <v>29350</v>
      </c>
      <c r="D7" s="1092">
        <v>28410</v>
      </c>
      <c r="E7" s="1092">
        <v>27990</v>
      </c>
      <c r="F7" s="1093">
        <v>12300</v>
      </c>
      <c r="G7" s="1094" t="s">
        <v>188</v>
      </c>
      <c r="H7" s="1095">
        <f>SUMPRODUCT((B29:B48=基准地价!I2)*(C3:F3=基准地价!E2)*(C29:F48))</f>
        <v>0</v>
      </c>
      <c r="J7" s="1092" t="s">
        <v>1429</v>
      </c>
      <c r="K7" s="1092" t="s">
        <v>1430</v>
      </c>
      <c r="L7" s="1092" t="s">
        <v>1431</v>
      </c>
      <c r="M7" s="1092" t="s">
        <v>1432</v>
      </c>
      <c r="N7" s="1092" t="s">
        <v>1433</v>
      </c>
      <c r="O7" s="1092" t="s">
        <v>1434</v>
      </c>
      <c r="P7" s="1092" t="s">
        <v>1435</v>
      </c>
      <c r="Q7" s="1092" t="s">
        <v>1436</v>
      </c>
      <c r="R7" s="1092" t="s">
        <v>1437</v>
      </c>
      <c r="S7" s="1092" t="s">
        <v>1438</v>
      </c>
      <c r="T7" s="1096" t="s">
        <v>1439</v>
      </c>
    </row>
    <row r="8" spans="1:20" ht="14.25" customHeight="1">
      <c r="A8" s="1087" t="s">
        <v>161</v>
      </c>
      <c r="B8" s="1092" t="s">
        <v>1407</v>
      </c>
      <c r="C8" s="1092">
        <v>30890</v>
      </c>
      <c r="D8" s="1092">
        <v>29780</v>
      </c>
      <c r="E8" s="1092">
        <v>29270</v>
      </c>
      <c r="F8" s="1093">
        <v>11600</v>
      </c>
      <c r="G8" s="1094" t="s">
        <v>199</v>
      </c>
      <c r="H8" s="1095">
        <f>SUMPRODUCT((B49:B75=基准地价!I2)*(C3:F3=基准地价!E2)*(C49:F75))</f>
        <v>0</v>
      </c>
      <c r="J8" s="1092" t="s">
        <v>1440</v>
      </c>
      <c r="K8" s="1092" t="s">
        <v>1441</v>
      </c>
      <c r="L8" s="1092" t="s">
        <v>1442</v>
      </c>
      <c r="M8" s="1092" t="s">
        <v>1443</v>
      </c>
      <c r="N8" s="1092" t="s">
        <v>1444</v>
      </c>
      <c r="O8" s="1092" t="s">
        <v>1445</v>
      </c>
      <c r="P8" s="1092" t="s">
        <v>1446</v>
      </c>
      <c r="Q8" s="1092" t="s">
        <v>1447</v>
      </c>
      <c r="R8" s="1092" t="s">
        <v>1448</v>
      </c>
      <c r="S8" s="1092" t="s">
        <v>1449</v>
      </c>
      <c r="T8" s="1092" t="s">
        <v>1450</v>
      </c>
    </row>
    <row r="9" spans="1:20" ht="14.25" customHeight="1">
      <c r="A9" s="1087" t="s">
        <v>161</v>
      </c>
      <c r="B9" s="1097" t="s">
        <v>1418</v>
      </c>
      <c r="C9" s="1098">
        <v>28140</v>
      </c>
      <c r="D9" s="1098"/>
      <c r="E9" s="1098"/>
      <c r="F9" s="1099"/>
      <c r="G9" s="1094" t="s">
        <v>209</v>
      </c>
      <c r="H9" s="1095">
        <f>SUMPRODUCT((B76:B109=基准地价!I2)*(C3:F3=基准地价!E2)*(C76:F109))</f>
        <v>12760</v>
      </c>
      <c r="J9" s="1092" t="s">
        <v>1451</v>
      </c>
      <c r="K9" s="1092" t="s">
        <v>1452</v>
      </c>
      <c r="L9" s="1092" t="s">
        <v>1453</v>
      </c>
      <c r="M9" s="1092" t="s">
        <v>347</v>
      </c>
      <c r="N9" s="1092" t="s">
        <v>1454</v>
      </c>
      <c r="O9" s="1092" t="s">
        <v>1455</v>
      </c>
      <c r="P9" s="1092" t="s">
        <v>1456</v>
      </c>
      <c r="Q9" s="1092" t="s">
        <v>1457</v>
      </c>
      <c r="R9" s="1092" t="s">
        <v>1458</v>
      </c>
      <c r="S9" s="1092" t="s">
        <v>1459</v>
      </c>
    </row>
    <row r="10" spans="1:20" ht="14.25" customHeight="1">
      <c r="A10" s="1087" t="s">
        <v>175</v>
      </c>
      <c r="B10" s="1088" t="s">
        <v>1371</v>
      </c>
      <c r="C10" s="1088">
        <v>27450</v>
      </c>
      <c r="D10" s="1088">
        <v>26180</v>
      </c>
      <c r="E10" s="1088">
        <v>25980</v>
      </c>
      <c r="F10" s="1089">
        <v>8910</v>
      </c>
      <c r="G10" s="1094" t="s">
        <v>217</v>
      </c>
      <c r="H10" s="1095">
        <f>SUMPRODUCT((B110:B157=基准地价!I2)*(C3:F3=基准地价!E2)*(C110:F157))</f>
        <v>0</v>
      </c>
      <c r="J10" s="1092" t="s">
        <v>1460</v>
      </c>
      <c r="K10" s="1092" t="s">
        <v>1461</v>
      </c>
      <c r="L10" s="1092" t="s">
        <v>1462</v>
      </c>
      <c r="M10" s="1092" t="s">
        <v>1463</v>
      </c>
      <c r="N10" s="1092" t="s">
        <v>1464</v>
      </c>
      <c r="O10" s="1092" t="s">
        <v>1465</v>
      </c>
      <c r="P10" s="1092" t="s">
        <v>1466</v>
      </c>
      <c r="Q10" s="1092" t="s">
        <v>1467</v>
      </c>
      <c r="R10" s="1092" t="s">
        <v>1468</v>
      </c>
      <c r="S10" s="1092" t="s">
        <v>1469</v>
      </c>
    </row>
    <row r="11" spans="1:20" ht="14.25" customHeight="1">
      <c r="A11" s="1087" t="s">
        <v>175</v>
      </c>
      <c r="B11" s="1096" t="s">
        <v>1383</v>
      </c>
      <c r="C11" s="1092">
        <v>22950</v>
      </c>
      <c r="D11" s="1092">
        <v>22630</v>
      </c>
      <c r="E11" s="1092">
        <v>22030</v>
      </c>
      <c r="F11" s="1100">
        <v>8330</v>
      </c>
      <c r="G11" s="1094" t="s">
        <v>222</v>
      </c>
      <c r="H11" s="1095">
        <f>SUMPRODUCT((B158:B205=基准地价!I2)*(C3:F3=基准地价!E2)*(C158:F205))</f>
        <v>0</v>
      </c>
      <c r="J11" s="1092" t="s">
        <v>1470</v>
      </c>
      <c r="K11" s="1092" t="s">
        <v>1471</v>
      </c>
      <c r="L11" s="1092" t="s">
        <v>1472</v>
      </c>
      <c r="M11" s="1092" t="s">
        <v>1473</v>
      </c>
      <c r="N11" s="1092" t="s">
        <v>1474</v>
      </c>
      <c r="O11" s="1092" t="s">
        <v>1475</v>
      </c>
      <c r="P11" s="1092" t="s">
        <v>1476</v>
      </c>
      <c r="Q11" s="1092" t="s">
        <v>1477</v>
      </c>
      <c r="R11" s="1092" t="s">
        <v>1478</v>
      </c>
      <c r="S11" s="1092" t="s">
        <v>1479</v>
      </c>
    </row>
    <row r="12" spans="1:20" ht="14.25" customHeight="1">
      <c r="A12" s="1087" t="s">
        <v>175</v>
      </c>
      <c r="B12" s="1096" t="s">
        <v>1396</v>
      </c>
      <c r="C12" s="1092">
        <v>24940</v>
      </c>
      <c r="D12" s="1092">
        <v>23180</v>
      </c>
      <c r="E12" s="1092">
        <v>22910</v>
      </c>
      <c r="F12" s="1100">
        <v>7180</v>
      </c>
      <c r="G12" s="1094" t="s">
        <v>227</v>
      </c>
      <c r="H12" s="1095">
        <f>SUMPRODUCT((B206:B244=基准地价!I2)*(C3:F3=基准地价!E2)*(C206:F244))</f>
        <v>0</v>
      </c>
      <c r="J12" s="1092" t="s">
        <v>1480</v>
      </c>
      <c r="K12" s="1092" t="s">
        <v>1481</v>
      </c>
      <c r="L12" s="1092" t="s">
        <v>1482</v>
      </c>
      <c r="M12" s="1092" t="s">
        <v>1483</v>
      </c>
      <c r="N12" s="1092" t="s">
        <v>1484</v>
      </c>
      <c r="O12" s="1092" t="s">
        <v>1485</v>
      </c>
      <c r="P12" s="1092" t="s">
        <v>1486</v>
      </c>
      <c r="Q12" s="1092" t="s">
        <v>1487</v>
      </c>
      <c r="R12" s="1092" t="s">
        <v>1488</v>
      </c>
      <c r="S12" s="1092" t="s">
        <v>1489</v>
      </c>
    </row>
    <row r="13" spans="1:20" ht="14.25" customHeight="1">
      <c r="A13" s="1087" t="s">
        <v>175</v>
      </c>
      <c r="B13" s="1096" t="s">
        <v>1408</v>
      </c>
      <c r="C13" s="1092">
        <v>24140</v>
      </c>
      <c r="D13" s="1092">
        <v>22270</v>
      </c>
      <c r="E13" s="1092">
        <v>21950</v>
      </c>
      <c r="F13" s="1100">
        <v>7600</v>
      </c>
      <c r="G13" s="1094" t="s">
        <v>230</v>
      </c>
      <c r="H13" s="1095">
        <f>SUMPRODUCT((B245:B289=基准地价!I2)*(C3:F3=基准地价!E2)*(C245:F289))</f>
        <v>0</v>
      </c>
      <c r="J13" s="1092" t="s">
        <v>1490</v>
      </c>
      <c r="K13" s="1092" t="s">
        <v>1491</v>
      </c>
      <c r="L13" s="1092" t="s">
        <v>1492</v>
      </c>
      <c r="M13" s="1092" t="s">
        <v>1493</v>
      </c>
      <c r="N13" s="1092" t="s">
        <v>1494</v>
      </c>
      <c r="O13" s="1092" t="s">
        <v>1495</v>
      </c>
      <c r="P13" s="1092" t="s">
        <v>1496</v>
      </c>
      <c r="Q13" s="1092" t="s">
        <v>1497</v>
      </c>
      <c r="R13" s="1092" t="s">
        <v>1498</v>
      </c>
      <c r="S13" s="1092" t="s">
        <v>1499</v>
      </c>
    </row>
    <row r="14" spans="1:20" ht="14.25" customHeight="1">
      <c r="A14" s="1087" t="s">
        <v>175</v>
      </c>
      <c r="B14" s="1096" t="s">
        <v>1419</v>
      </c>
      <c r="C14" s="1092">
        <v>25600</v>
      </c>
      <c r="D14" s="1092">
        <v>22260</v>
      </c>
      <c r="E14" s="1092">
        <v>22110</v>
      </c>
      <c r="F14" s="1100">
        <v>7630</v>
      </c>
      <c r="G14" s="1094" t="s">
        <v>233</v>
      </c>
      <c r="H14" s="1095">
        <f>SUMPRODUCT((B290:B316=基准地价!I2)*(C3:F3=基准地价!E2)*(C290:F316))</f>
        <v>0</v>
      </c>
      <c r="J14" s="1092" t="s">
        <v>1500</v>
      </c>
      <c r="K14" s="1092" t="s">
        <v>1501</v>
      </c>
      <c r="L14" s="1092" t="s">
        <v>1502</v>
      </c>
      <c r="M14" s="1092" t="s">
        <v>1503</v>
      </c>
      <c r="N14" s="1092" t="s">
        <v>1504</v>
      </c>
      <c r="O14" s="1092" t="s">
        <v>1505</v>
      </c>
      <c r="P14" s="1092" t="s">
        <v>1506</v>
      </c>
      <c r="Q14" s="1092" t="s">
        <v>1507</v>
      </c>
      <c r="R14" s="1092" t="s">
        <v>1508</v>
      </c>
      <c r="S14" s="1092" t="s">
        <v>1509</v>
      </c>
    </row>
    <row r="15" spans="1:20" ht="14.25" customHeight="1">
      <c r="A15" s="1087" t="s">
        <v>175</v>
      </c>
      <c r="B15" s="1096" t="s">
        <v>1429</v>
      </c>
      <c r="C15" s="1092">
        <v>24760</v>
      </c>
      <c r="D15" s="1092">
        <v>24440</v>
      </c>
      <c r="E15" s="1092">
        <v>24130</v>
      </c>
      <c r="F15" s="1100">
        <v>9480</v>
      </c>
      <c r="G15" s="1094" t="s">
        <v>236</v>
      </c>
      <c r="H15" s="1095">
        <f>SUMPRODUCT((B317:B337=基准地价!I2)*(C3:F3=基准地价!E2)*(C317:F337))</f>
        <v>0</v>
      </c>
      <c r="J15" s="1092" t="s">
        <v>1510</v>
      </c>
      <c r="K15" s="1092" t="s">
        <v>1511</v>
      </c>
      <c r="L15" s="1092" t="s">
        <v>1512</v>
      </c>
      <c r="M15" s="1092" t="s">
        <v>1513</v>
      </c>
      <c r="N15" s="1092" t="s">
        <v>1514</v>
      </c>
      <c r="O15" s="1092" t="s">
        <v>1515</v>
      </c>
      <c r="P15" s="1092" t="s">
        <v>1516</v>
      </c>
      <c r="Q15" s="1092" t="s">
        <v>1517</v>
      </c>
      <c r="R15" s="1092" t="s">
        <v>1518</v>
      </c>
      <c r="S15" s="1092" t="s">
        <v>1519</v>
      </c>
    </row>
    <row r="16" spans="1:20" ht="14.25" customHeight="1">
      <c r="A16" s="1087" t="s">
        <v>175</v>
      </c>
      <c r="B16" s="1096" t="s">
        <v>1440</v>
      </c>
      <c r="C16" s="1092">
        <v>22220</v>
      </c>
      <c r="D16" s="1092">
        <v>22310</v>
      </c>
      <c r="E16" s="1092">
        <v>22000</v>
      </c>
      <c r="F16" s="1100">
        <v>8900</v>
      </c>
      <c r="G16" s="1101" t="s">
        <v>239</v>
      </c>
      <c r="H16" s="1102">
        <f>SUMPRODUCT((B338:B344=基准地价!I2)*(C3:F3=基准地价!E2)*(C338:F344))</f>
        <v>0</v>
      </c>
      <c r="J16" s="1092" t="s">
        <v>1520</v>
      </c>
      <c r="K16" s="1092" t="s">
        <v>1521</v>
      </c>
      <c r="L16" s="1092" t="s">
        <v>1522</v>
      </c>
      <c r="M16" s="1092" t="s">
        <v>1523</v>
      </c>
      <c r="N16" s="1092" t="s">
        <v>1524</v>
      </c>
      <c r="O16" s="1092" t="s">
        <v>1525</v>
      </c>
      <c r="P16" s="1092" t="s">
        <v>1526</v>
      </c>
      <c r="Q16" s="1092" t="s">
        <v>1527</v>
      </c>
      <c r="R16" s="1092" t="s">
        <v>1528</v>
      </c>
      <c r="S16" s="1092" t="s">
        <v>1529</v>
      </c>
    </row>
    <row r="17" spans="1:19" ht="14.25" customHeight="1">
      <c r="A17" s="1087" t="s">
        <v>175</v>
      </c>
      <c r="B17" s="1096" t="s">
        <v>1451</v>
      </c>
      <c r="C17" s="1092">
        <v>24700</v>
      </c>
      <c r="D17" s="1092">
        <v>25150</v>
      </c>
      <c r="E17" s="1092">
        <v>24700</v>
      </c>
      <c r="F17" s="1103"/>
      <c r="H17" s="1104"/>
      <c r="J17" s="1092" t="s">
        <v>1530</v>
      </c>
      <c r="K17" s="1092" t="s">
        <v>1531</v>
      </c>
      <c r="L17" s="1092" t="s">
        <v>1532</v>
      </c>
      <c r="M17" s="1092" t="s">
        <v>1533</v>
      </c>
      <c r="N17" s="1092" t="s">
        <v>1534</v>
      </c>
      <c r="O17" s="1092" t="s">
        <v>1535</v>
      </c>
      <c r="P17" s="1092" t="s">
        <v>1536</v>
      </c>
      <c r="Q17" s="1092" t="s">
        <v>1537</v>
      </c>
      <c r="R17" s="1092" t="s">
        <v>1538</v>
      </c>
      <c r="S17" s="1092" t="s">
        <v>1539</v>
      </c>
    </row>
    <row r="18" spans="1:19" ht="14.25" customHeight="1">
      <c r="A18" s="1087" t="s">
        <v>175</v>
      </c>
      <c r="B18" s="1096" t="s">
        <v>1460</v>
      </c>
      <c r="C18" s="1092">
        <v>22350</v>
      </c>
      <c r="D18" s="1092">
        <v>24340</v>
      </c>
      <c r="E18" s="1092">
        <v>24100</v>
      </c>
      <c r="F18" s="1103"/>
      <c r="H18" s="1104"/>
      <c r="J18" s="1092" t="s">
        <v>1540</v>
      </c>
      <c r="K18" s="1092" t="s">
        <v>1541</v>
      </c>
      <c r="L18" s="1092" t="s">
        <v>1542</v>
      </c>
      <c r="M18" s="1092" t="s">
        <v>1543</v>
      </c>
      <c r="N18" s="1092" t="s">
        <v>1544</v>
      </c>
      <c r="O18" s="1092" t="s">
        <v>1545</v>
      </c>
      <c r="P18" s="1092" t="s">
        <v>1546</v>
      </c>
      <c r="Q18" s="1092" t="s">
        <v>1547</v>
      </c>
      <c r="R18" s="1092" t="s">
        <v>1548</v>
      </c>
      <c r="S18" s="1092" t="s">
        <v>1549</v>
      </c>
    </row>
    <row r="19" spans="1:19" ht="14.25" customHeight="1">
      <c r="A19" s="1087" t="s">
        <v>175</v>
      </c>
      <c r="B19" s="1096" t="s">
        <v>1470</v>
      </c>
      <c r="C19" s="1092">
        <v>23430</v>
      </c>
      <c r="D19" s="1092">
        <v>21580</v>
      </c>
      <c r="E19" s="1092">
        <v>21350</v>
      </c>
      <c r="F19" s="1103"/>
      <c r="H19" s="1104"/>
      <c r="J19" s="1092" t="s">
        <v>1550</v>
      </c>
      <c r="K19" s="1092" t="s">
        <v>1551</v>
      </c>
      <c r="L19" s="1092" t="s">
        <v>1552</v>
      </c>
      <c r="M19" s="1092" t="s">
        <v>1553</v>
      </c>
      <c r="N19" s="1092" t="s">
        <v>1554</v>
      </c>
      <c r="O19" s="1092" t="s">
        <v>1555</v>
      </c>
      <c r="P19" s="1092" t="s">
        <v>1556</v>
      </c>
      <c r="Q19" s="1092" t="s">
        <v>1557</v>
      </c>
      <c r="R19" s="1092" t="s">
        <v>1558</v>
      </c>
      <c r="S19" s="1092" t="s">
        <v>1559</v>
      </c>
    </row>
    <row r="20" spans="1:19" ht="14.25" customHeight="1">
      <c r="A20" s="1087" t="s">
        <v>175</v>
      </c>
      <c r="B20" s="1096" t="s">
        <v>1480</v>
      </c>
      <c r="C20" s="1092">
        <v>27660</v>
      </c>
      <c r="D20" s="1092">
        <v>24240</v>
      </c>
      <c r="E20" s="1092">
        <v>24020</v>
      </c>
      <c r="F20" s="1103"/>
      <c r="J20" s="1092" t="s">
        <v>1560</v>
      </c>
      <c r="K20" s="1092" t="s">
        <v>1561</v>
      </c>
      <c r="L20" s="1092" t="s">
        <v>1562</v>
      </c>
      <c r="M20" s="1092" t="s">
        <v>1563</v>
      </c>
      <c r="N20" s="1092" t="s">
        <v>1564</v>
      </c>
      <c r="O20" s="1092" t="s">
        <v>1565</v>
      </c>
      <c r="P20" s="1092" t="s">
        <v>1566</v>
      </c>
      <c r="Q20" s="1092" t="s">
        <v>1567</v>
      </c>
      <c r="R20" s="1092" t="s">
        <v>1568</v>
      </c>
      <c r="S20" s="1092" t="s">
        <v>1569</v>
      </c>
    </row>
    <row r="21" spans="1:19" ht="14.25" customHeight="1">
      <c r="A21" s="1087" t="s">
        <v>175</v>
      </c>
      <c r="B21" s="1096" t="s">
        <v>1490</v>
      </c>
      <c r="C21" s="1092">
        <v>24720</v>
      </c>
      <c r="D21" s="1092">
        <v>21670</v>
      </c>
      <c r="E21" s="1092">
        <v>21510</v>
      </c>
      <c r="F21" s="1103"/>
      <c r="K21" s="1092" t="s">
        <v>1570</v>
      </c>
      <c r="L21" s="1092" t="s">
        <v>1571</v>
      </c>
      <c r="M21" s="1092" t="s">
        <v>1572</v>
      </c>
      <c r="N21" s="1092" t="s">
        <v>1573</v>
      </c>
      <c r="O21" s="1092" t="s">
        <v>1574</v>
      </c>
      <c r="P21" s="1092" t="s">
        <v>1575</v>
      </c>
      <c r="Q21" s="1092" t="s">
        <v>1576</v>
      </c>
      <c r="R21" s="1092" t="s">
        <v>1577</v>
      </c>
      <c r="S21" s="1092" t="s">
        <v>1578</v>
      </c>
    </row>
    <row r="22" spans="1:19" ht="14.25" customHeight="1">
      <c r="A22" s="1087" t="s">
        <v>175</v>
      </c>
      <c r="B22" s="1096" t="s">
        <v>1500</v>
      </c>
      <c r="C22" s="1092">
        <v>26530</v>
      </c>
      <c r="D22" s="1092">
        <v>22980</v>
      </c>
      <c r="E22" s="1092">
        <v>22650</v>
      </c>
      <c r="F22" s="1103"/>
      <c r="L22" s="1092" t="s">
        <v>1579</v>
      </c>
      <c r="M22" s="1092" t="s">
        <v>1580</v>
      </c>
      <c r="N22" s="1092" t="s">
        <v>1581</v>
      </c>
      <c r="O22" s="1092" t="s">
        <v>1582</v>
      </c>
      <c r="P22" s="1092" t="s">
        <v>1583</v>
      </c>
      <c r="Q22" s="1092" t="s">
        <v>1584</v>
      </c>
      <c r="R22" s="1092" t="s">
        <v>1585</v>
      </c>
      <c r="S22" s="1096" t="s">
        <v>1586</v>
      </c>
    </row>
    <row r="23" spans="1:19" ht="14.25" customHeight="1">
      <c r="A23" s="1087" t="s">
        <v>175</v>
      </c>
      <c r="B23" s="1096" t="s">
        <v>1510</v>
      </c>
      <c r="C23" s="1092">
        <v>24700</v>
      </c>
      <c r="D23" s="1092">
        <v>27290</v>
      </c>
      <c r="E23" s="1092">
        <v>26710</v>
      </c>
      <c r="F23" s="1103"/>
      <c r="L23" s="1092" t="s">
        <v>1587</v>
      </c>
      <c r="M23" s="1092" t="s">
        <v>1588</v>
      </c>
      <c r="N23" s="1092" t="s">
        <v>1589</v>
      </c>
      <c r="O23" s="1092" t="s">
        <v>1590</v>
      </c>
      <c r="P23" s="1092" t="s">
        <v>1591</v>
      </c>
      <c r="Q23" s="1092" t="s">
        <v>1592</v>
      </c>
      <c r="R23" s="1092" t="s">
        <v>1593</v>
      </c>
    </row>
    <row r="24" spans="1:19" ht="14.25" customHeight="1">
      <c r="A24" s="1087" t="s">
        <v>175</v>
      </c>
      <c r="B24" s="1096" t="s">
        <v>1520</v>
      </c>
      <c r="C24" s="1092">
        <v>23070</v>
      </c>
      <c r="D24" s="1092">
        <v>24130</v>
      </c>
      <c r="E24" s="1092">
        <v>23860</v>
      </c>
      <c r="F24" s="1103"/>
      <c r="L24" s="1092" t="s">
        <v>1594</v>
      </c>
      <c r="M24" s="1092" t="s">
        <v>1595</v>
      </c>
      <c r="N24" s="1092" t="s">
        <v>1596</v>
      </c>
      <c r="O24" s="1092" t="s">
        <v>1597</v>
      </c>
      <c r="P24" s="1092" t="s">
        <v>1598</v>
      </c>
      <c r="Q24" s="1092" t="s">
        <v>1599</v>
      </c>
      <c r="R24" s="1092" t="s">
        <v>1600</v>
      </c>
    </row>
    <row r="25" spans="1:19" ht="14.25" customHeight="1">
      <c r="A25" s="1087" t="s">
        <v>175</v>
      </c>
      <c r="B25" s="1096" t="s">
        <v>1530</v>
      </c>
      <c r="C25" s="1092">
        <v>27550</v>
      </c>
      <c r="D25" s="1092">
        <v>25850</v>
      </c>
      <c r="E25" s="1092">
        <v>25340</v>
      </c>
      <c r="F25" s="1103"/>
      <c r="L25" s="1092" t="s">
        <v>1601</v>
      </c>
      <c r="M25" s="1092" t="s">
        <v>1602</v>
      </c>
      <c r="N25" s="1092" t="s">
        <v>1603</v>
      </c>
      <c r="O25" s="1092" t="s">
        <v>1604</v>
      </c>
      <c r="P25" s="1092" t="s">
        <v>1605</v>
      </c>
      <c r="Q25" s="1092" t="s">
        <v>1606</v>
      </c>
      <c r="R25" s="1092" t="s">
        <v>1607</v>
      </c>
    </row>
    <row r="26" spans="1:19" ht="14.25" customHeight="1">
      <c r="A26" s="1087" t="s">
        <v>175</v>
      </c>
      <c r="B26" s="1096" t="s">
        <v>1540</v>
      </c>
      <c r="C26" s="1092"/>
      <c r="D26" s="1092">
        <v>23900</v>
      </c>
      <c r="E26" s="1092">
        <v>23590</v>
      </c>
      <c r="F26" s="1103"/>
      <c r="L26" s="1092" t="s">
        <v>1608</v>
      </c>
      <c r="M26" s="1092" t="s">
        <v>1609</v>
      </c>
      <c r="N26" s="1092" t="s">
        <v>1610</v>
      </c>
      <c r="O26" s="1092" t="s">
        <v>1611</v>
      </c>
      <c r="P26" s="1092" t="s">
        <v>1612</v>
      </c>
      <c r="Q26" s="1092" t="s">
        <v>1613</v>
      </c>
      <c r="R26" s="1092" t="s">
        <v>1614</v>
      </c>
    </row>
    <row r="27" spans="1:19" ht="14.25" customHeight="1">
      <c r="A27" s="1087" t="s">
        <v>175</v>
      </c>
      <c r="B27" s="1096" t="s">
        <v>1550</v>
      </c>
      <c r="C27" s="1092"/>
      <c r="D27" s="1092">
        <v>22850</v>
      </c>
      <c r="E27" s="1092">
        <v>21920</v>
      </c>
      <c r="F27" s="1103"/>
      <c r="L27" s="1092" t="s">
        <v>1615</v>
      </c>
      <c r="M27" s="1092" t="s">
        <v>1616</v>
      </c>
      <c r="N27" s="1092" t="s">
        <v>1617</v>
      </c>
      <c r="O27" s="1092" t="s">
        <v>1618</v>
      </c>
      <c r="P27" s="1092" t="s">
        <v>1619</v>
      </c>
      <c r="Q27" s="1092" t="s">
        <v>1620</v>
      </c>
      <c r="R27" s="1092" t="s">
        <v>1621</v>
      </c>
    </row>
    <row r="28" spans="1:19" ht="14.25" customHeight="1">
      <c r="A28" s="1105" t="s">
        <v>175</v>
      </c>
      <c r="B28" s="1097" t="s">
        <v>1560</v>
      </c>
      <c r="C28" s="1098"/>
      <c r="D28" s="1098">
        <v>26610</v>
      </c>
      <c r="E28" s="1098">
        <v>26370</v>
      </c>
      <c r="F28" s="1099"/>
      <c r="L28" s="1092" t="s">
        <v>1622</v>
      </c>
      <c r="M28" s="1092" t="s">
        <v>1623</v>
      </c>
      <c r="N28" s="1092" t="s">
        <v>1624</v>
      </c>
      <c r="O28" s="1092" t="s">
        <v>1625</v>
      </c>
      <c r="P28" s="1092" t="s">
        <v>1626</v>
      </c>
      <c r="Q28" s="1092" t="s">
        <v>1627</v>
      </c>
    </row>
    <row r="29" spans="1:19" ht="14.25" customHeight="1">
      <c r="A29" s="1087" t="s">
        <v>188</v>
      </c>
      <c r="B29" s="1088" t="s">
        <v>1372</v>
      </c>
      <c r="C29" s="1088">
        <v>22090</v>
      </c>
      <c r="D29" s="1088">
        <v>21860</v>
      </c>
      <c r="E29" s="1088">
        <v>19380</v>
      </c>
      <c r="F29" s="1089">
        <v>6610</v>
      </c>
      <c r="M29" s="1092" t="s">
        <v>1628</v>
      </c>
      <c r="N29" s="1092" t="s">
        <v>1629</v>
      </c>
      <c r="O29" s="1092" t="s">
        <v>1630</v>
      </c>
      <c r="P29" s="1092" t="s">
        <v>1631</v>
      </c>
      <c r="Q29" s="1092" t="s">
        <v>1632</v>
      </c>
    </row>
    <row r="30" spans="1:19" ht="14.25" customHeight="1">
      <c r="A30" s="1087" t="s">
        <v>188</v>
      </c>
      <c r="B30" s="1096" t="s">
        <v>1384</v>
      </c>
      <c r="C30" s="1092">
        <v>21380</v>
      </c>
      <c r="D30" s="1092">
        <v>19930</v>
      </c>
      <c r="E30" s="1092">
        <v>19860</v>
      </c>
      <c r="F30" s="1100">
        <v>6010</v>
      </c>
      <c r="H30" s="1104"/>
      <c r="M30" s="1092" t="s">
        <v>1633</v>
      </c>
      <c r="N30" s="1092" t="s">
        <v>1634</v>
      </c>
      <c r="O30" s="1092" t="s">
        <v>1635</v>
      </c>
      <c r="P30" s="1092" t="s">
        <v>1636</v>
      </c>
      <c r="Q30" s="1092" t="s">
        <v>1637</v>
      </c>
    </row>
    <row r="31" spans="1:19" ht="14.25" customHeight="1">
      <c r="A31" s="1087" t="s">
        <v>188</v>
      </c>
      <c r="B31" s="1096" t="s">
        <v>1397</v>
      </c>
      <c r="C31" s="1092">
        <v>21670</v>
      </c>
      <c r="D31" s="1092">
        <v>20660</v>
      </c>
      <c r="E31" s="1092">
        <v>20290</v>
      </c>
      <c r="F31" s="1100">
        <v>5840</v>
      </c>
      <c r="H31" s="1104"/>
      <c r="M31" s="1092" t="s">
        <v>1638</v>
      </c>
      <c r="N31" s="1092" t="s">
        <v>1639</v>
      </c>
      <c r="O31" s="1092" t="s">
        <v>1640</v>
      </c>
      <c r="P31" s="1092" t="s">
        <v>1641</v>
      </c>
      <c r="Q31" s="1092" t="s">
        <v>1642</v>
      </c>
    </row>
    <row r="32" spans="1:19" ht="14.25" customHeight="1">
      <c r="A32" s="1087" t="s">
        <v>188</v>
      </c>
      <c r="B32" s="1096" t="s">
        <v>1409</v>
      </c>
      <c r="C32" s="1092">
        <v>22280</v>
      </c>
      <c r="D32" s="1092">
        <v>21800</v>
      </c>
      <c r="E32" s="1092">
        <v>17650</v>
      </c>
      <c r="F32" s="1100">
        <v>4690</v>
      </c>
      <c r="H32" s="1104"/>
      <c r="M32" s="1092" t="s">
        <v>1643</v>
      </c>
      <c r="N32" s="1092" t="s">
        <v>1644</v>
      </c>
      <c r="O32" s="1092" t="s">
        <v>1645</v>
      </c>
      <c r="P32" s="1092" t="s">
        <v>1646</v>
      </c>
      <c r="Q32" s="1092" t="s">
        <v>1647</v>
      </c>
    </row>
    <row r="33" spans="1:17" ht="14.25" customHeight="1">
      <c r="A33" s="1087" t="s">
        <v>188</v>
      </c>
      <c r="B33" s="1096" t="s">
        <v>1420</v>
      </c>
      <c r="C33" s="1092">
        <v>22130</v>
      </c>
      <c r="D33" s="1092">
        <v>20460</v>
      </c>
      <c r="E33" s="1092">
        <v>18500</v>
      </c>
      <c r="F33" s="1100">
        <v>5340</v>
      </c>
      <c r="H33" s="1104"/>
      <c r="M33" s="1092" t="s">
        <v>1648</v>
      </c>
      <c r="N33" s="1092" t="s">
        <v>1649</v>
      </c>
      <c r="O33" s="1092" t="s">
        <v>1650</v>
      </c>
      <c r="P33" s="1092" t="s">
        <v>1651</v>
      </c>
      <c r="Q33" s="1092" t="s">
        <v>1652</v>
      </c>
    </row>
    <row r="34" spans="1:17" ht="14.25" customHeight="1">
      <c r="A34" s="1087" t="s">
        <v>188</v>
      </c>
      <c r="B34" s="1096" t="s">
        <v>1430</v>
      </c>
      <c r="C34" s="1092">
        <v>22070</v>
      </c>
      <c r="D34" s="1092">
        <v>20110</v>
      </c>
      <c r="E34" s="1092">
        <v>18830</v>
      </c>
      <c r="F34" s="1100">
        <v>5190</v>
      </c>
      <c r="H34" s="1104"/>
      <c r="M34" s="1092" t="s">
        <v>1653</v>
      </c>
      <c r="N34" s="1092" t="s">
        <v>1654</v>
      </c>
      <c r="O34" s="1092" t="s">
        <v>1655</v>
      </c>
      <c r="P34" s="1092" t="s">
        <v>1656</v>
      </c>
      <c r="Q34" s="1092" t="s">
        <v>1657</v>
      </c>
    </row>
    <row r="35" spans="1:17" ht="14.25" customHeight="1">
      <c r="A35" s="1087" t="s">
        <v>188</v>
      </c>
      <c r="B35" s="1096" t="s">
        <v>1441</v>
      </c>
      <c r="C35" s="1092">
        <v>22240</v>
      </c>
      <c r="D35" s="1092">
        <v>19550</v>
      </c>
      <c r="E35" s="1092">
        <v>19220</v>
      </c>
      <c r="F35" s="1100">
        <v>5800</v>
      </c>
      <c r="H35" s="1104"/>
      <c r="M35" s="1092" t="s">
        <v>1658</v>
      </c>
      <c r="N35" s="1092" t="s">
        <v>1659</v>
      </c>
      <c r="O35" s="1092" t="s">
        <v>1660</v>
      </c>
      <c r="P35" s="1092" t="s">
        <v>1661</v>
      </c>
      <c r="Q35" s="1092" t="s">
        <v>1662</v>
      </c>
    </row>
    <row r="36" spans="1:17" ht="14.25" customHeight="1">
      <c r="A36" s="1087" t="s">
        <v>188</v>
      </c>
      <c r="B36" s="1096" t="s">
        <v>1452</v>
      </c>
      <c r="C36" s="1092">
        <v>19750</v>
      </c>
      <c r="D36" s="1092">
        <v>19790</v>
      </c>
      <c r="E36" s="1092">
        <v>18510</v>
      </c>
      <c r="F36" s="1100">
        <v>6520</v>
      </c>
      <c r="H36" s="1104"/>
      <c r="N36" s="1092" t="s">
        <v>1663</v>
      </c>
      <c r="O36" s="1092" t="s">
        <v>1664</v>
      </c>
      <c r="P36" s="1092" t="s">
        <v>1665</v>
      </c>
      <c r="Q36" s="1092" t="s">
        <v>1666</v>
      </c>
    </row>
    <row r="37" spans="1:17" ht="14.25" customHeight="1">
      <c r="A37" s="1087" t="s">
        <v>188</v>
      </c>
      <c r="B37" s="1096" t="s">
        <v>1461</v>
      </c>
      <c r="C37" s="1092">
        <v>22380</v>
      </c>
      <c r="D37" s="1092">
        <v>18530</v>
      </c>
      <c r="E37" s="1092">
        <v>17930</v>
      </c>
      <c r="F37" s="1100">
        <v>6270</v>
      </c>
      <c r="H37" s="1106"/>
      <c r="N37" s="1092" t="s">
        <v>1667</v>
      </c>
      <c r="O37" s="1092" t="s">
        <v>1668</v>
      </c>
      <c r="P37" s="1092" t="s">
        <v>1669</v>
      </c>
      <c r="Q37" s="1092" t="s">
        <v>1670</v>
      </c>
    </row>
    <row r="38" spans="1:17" ht="14.25" customHeight="1">
      <c r="A38" s="1087" t="s">
        <v>188</v>
      </c>
      <c r="B38" s="1096" t="s">
        <v>1471</v>
      </c>
      <c r="C38" s="1092">
        <v>20200</v>
      </c>
      <c r="D38" s="1092">
        <v>20070</v>
      </c>
      <c r="E38" s="1092">
        <v>19950</v>
      </c>
      <c r="F38" s="1100"/>
      <c r="H38" s="1107"/>
      <c r="N38" s="1092" t="s">
        <v>1671</v>
      </c>
      <c r="O38" s="1092" t="s">
        <v>1672</v>
      </c>
      <c r="P38" s="1092" t="s">
        <v>1673</v>
      </c>
      <c r="Q38" s="1092" t="s">
        <v>1674</v>
      </c>
    </row>
    <row r="39" spans="1:17" ht="14.25" customHeight="1">
      <c r="A39" s="1087" t="s">
        <v>188</v>
      </c>
      <c r="B39" s="1096" t="s">
        <v>1481</v>
      </c>
      <c r="C39" s="1092">
        <v>19300</v>
      </c>
      <c r="D39" s="1092">
        <v>20360</v>
      </c>
      <c r="E39" s="1092">
        <v>20230</v>
      </c>
      <c r="F39" s="1100"/>
      <c r="H39" s="1107"/>
      <c r="N39" s="1092" t="s">
        <v>1675</v>
      </c>
      <c r="O39" s="1092" t="s">
        <v>1676</v>
      </c>
      <c r="P39" s="1092" t="s">
        <v>1677</v>
      </c>
      <c r="Q39" s="1092" t="s">
        <v>1678</v>
      </c>
    </row>
    <row r="40" spans="1:17" ht="14.25" customHeight="1">
      <c r="A40" s="1087" t="s">
        <v>188</v>
      </c>
      <c r="B40" s="1096" t="s">
        <v>1491</v>
      </c>
      <c r="C40" s="1092">
        <v>20210</v>
      </c>
      <c r="D40" s="1092">
        <v>19060</v>
      </c>
      <c r="E40" s="1092">
        <v>18890</v>
      </c>
      <c r="F40" s="1100"/>
      <c r="H40" s="1107"/>
      <c r="N40" s="1092" t="s">
        <v>1679</v>
      </c>
      <c r="O40" s="1092" t="s">
        <v>1680</v>
      </c>
      <c r="P40" s="1092" t="s">
        <v>1681</v>
      </c>
      <c r="Q40" s="1092" t="s">
        <v>1682</v>
      </c>
    </row>
    <row r="41" spans="1:17" ht="14.25" customHeight="1">
      <c r="A41" s="1087" t="s">
        <v>188</v>
      </c>
      <c r="B41" s="1096" t="s">
        <v>1501</v>
      </c>
      <c r="C41" s="1092">
        <v>20560</v>
      </c>
      <c r="D41" s="1092">
        <v>21040</v>
      </c>
      <c r="E41" s="1092">
        <v>20740</v>
      </c>
      <c r="F41" s="1100"/>
      <c r="H41" s="1107"/>
      <c r="N41" s="1096" t="s">
        <v>1683</v>
      </c>
      <c r="O41" s="1096" t="s">
        <v>1684</v>
      </c>
      <c r="Q41" s="1096" t="s">
        <v>1685</v>
      </c>
    </row>
    <row r="42" spans="1:17" ht="14.25" customHeight="1">
      <c r="A42" s="1087" t="s">
        <v>188</v>
      </c>
      <c r="B42" s="1096" t="s">
        <v>1511</v>
      </c>
      <c r="C42" s="1092">
        <v>19280</v>
      </c>
      <c r="D42" s="1092">
        <v>22940</v>
      </c>
      <c r="E42" s="1092">
        <v>22500</v>
      </c>
      <c r="F42" s="1100"/>
      <c r="H42" s="1107"/>
      <c r="N42" s="1092" t="s">
        <v>1686</v>
      </c>
      <c r="O42" s="1092" t="s">
        <v>1687</v>
      </c>
      <c r="Q42" s="1092" t="s">
        <v>1688</v>
      </c>
    </row>
    <row r="43" spans="1:17" ht="14.25" customHeight="1">
      <c r="A43" s="1087" t="s">
        <v>188</v>
      </c>
      <c r="B43" s="1096" t="s">
        <v>1521</v>
      </c>
      <c r="C43" s="1092">
        <v>21520</v>
      </c>
      <c r="D43" s="1092">
        <v>19230</v>
      </c>
      <c r="E43" s="1092">
        <v>18540</v>
      </c>
      <c r="F43" s="1100"/>
      <c r="H43" s="1107"/>
      <c r="N43" s="1092" t="s">
        <v>1689</v>
      </c>
      <c r="O43" s="1092" t="s">
        <v>1690</v>
      </c>
      <c r="Q43" s="1092" t="s">
        <v>1691</v>
      </c>
    </row>
    <row r="44" spans="1:17" ht="14.25" customHeight="1">
      <c r="A44" s="1087" t="s">
        <v>188</v>
      </c>
      <c r="B44" s="1096" t="s">
        <v>1531</v>
      </c>
      <c r="C44" s="1092">
        <v>23260</v>
      </c>
      <c r="D44" s="1092">
        <v>21180</v>
      </c>
      <c r="E44" s="1092">
        <v>20730</v>
      </c>
      <c r="F44" s="1100"/>
      <c r="H44" s="1107"/>
      <c r="N44" s="1092" t="s">
        <v>1692</v>
      </c>
      <c r="O44" s="1092" t="s">
        <v>1693</v>
      </c>
      <c r="Q44" s="1092" t="s">
        <v>1694</v>
      </c>
    </row>
    <row r="45" spans="1:17" ht="14.25" customHeight="1">
      <c r="A45" s="1087" t="s">
        <v>188</v>
      </c>
      <c r="B45" s="1096" t="s">
        <v>1541</v>
      </c>
      <c r="C45" s="1092">
        <v>19610</v>
      </c>
      <c r="D45" s="1092">
        <v>18090</v>
      </c>
      <c r="E45" s="1092">
        <v>17970</v>
      </c>
      <c r="F45" s="1100"/>
      <c r="H45" s="1104"/>
      <c r="N45" s="1092" t="s">
        <v>1695</v>
      </c>
      <c r="O45" s="1092" t="s">
        <v>1696</v>
      </c>
      <c r="Q45" s="1092" t="s">
        <v>1697</v>
      </c>
    </row>
    <row r="46" spans="1:17" ht="14.25" customHeight="1">
      <c r="A46" s="1087" t="s">
        <v>188</v>
      </c>
      <c r="B46" s="1096" t="s">
        <v>1551</v>
      </c>
      <c r="C46" s="1092">
        <v>21660</v>
      </c>
      <c r="D46" s="1092">
        <v>19190</v>
      </c>
      <c r="E46" s="1092">
        <v>19790</v>
      </c>
      <c r="F46" s="1100"/>
      <c r="H46" s="1107"/>
      <c r="N46" s="1092" t="s">
        <v>1698</v>
      </c>
      <c r="O46" s="1092" t="s">
        <v>1699</v>
      </c>
      <c r="Q46" s="1092" t="s">
        <v>1700</v>
      </c>
    </row>
    <row r="47" spans="1:17" ht="14.25" customHeight="1">
      <c r="A47" s="1087" t="s">
        <v>188</v>
      </c>
      <c r="B47" s="1096" t="s">
        <v>1561</v>
      </c>
      <c r="C47" s="1092">
        <v>18220</v>
      </c>
      <c r="D47" s="1092"/>
      <c r="E47" s="1092">
        <v>17220</v>
      </c>
      <c r="F47" s="1100"/>
      <c r="H47" s="1107"/>
      <c r="N47" s="1092" t="s">
        <v>1701</v>
      </c>
      <c r="O47" s="1092" t="s">
        <v>1702</v>
      </c>
    </row>
    <row r="48" spans="1:17" ht="14.25" customHeight="1">
      <c r="A48" s="1087" t="s">
        <v>188</v>
      </c>
      <c r="B48" s="1097" t="s">
        <v>1570</v>
      </c>
      <c r="C48" s="1098">
        <v>19430</v>
      </c>
      <c r="D48" s="1098"/>
      <c r="E48" s="1098">
        <v>17830</v>
      </c>
      <c r="F48" s="1108"/>
      <c r="H48" s="1104"/>
      <c r="N48" s="1092" t="s">
        <v>1703</v>
      </c>
      <c r="O48" s="1092" t="s">
        <v>1704</v>
      </c>
    </row>
    <row r="49" spans="1:15" ht="14.25" customHeight="1">
      <c r="A49" s="1087" t="s">
        <v>199</v>
      </c>
      <c r="B49" s="1088" t="s">
        <v>1373</v>
      </c>
      <c r="C49" s="1088">
        <v>17090</v>
      </c>
      <c r="D49" s="1088">
        <v>16950</v>
      </c>
      <c r="E49" s="1088">
        <v>16310</v>
      </c>
      <c r="F49" s="1089">
        <v>4540</v>
      </c>
      <c r="H49" s="1107"/>
      <c r="N49" s="1092" t="s">
        <v>1705</v>
      </c>
      <c r="O49" s="1092" t="s">
        <v>1706</v>
      </c>
    </row>
    <row r="50" spans="1:15" ht="14.25" customHeight="1">
      <c r="A50" s="1087" t="s">
        <v>199</v>
      </c>
      <c r="B50" s="1092" t="s">
        <v>1385</v>
      </c>
      <c r="C50" s="1092">
        <v>19040</v>
      </c>
      <c r="D50" s="1092">
        <v>16960</v>
      </c>
      <c r="E50" s="1092">
        <v>14800</v>
      </c>
      <c r="F50" s="1100">
        <v>3940</v>
      </c>
      <c r="H50" s="1107"/>
    </row>
    <row r="51" spans="1:15" ht="14.25" customHeight="1">
      <c r="A51" s="1087" t="s">
        <v>199</v>
      </c>
      <c r="B51" s="1092" t="s">
        <v>1398</v>
      </c>
      <c r="C51" s="1092">
        <v>17040</v>
      </c>
      <c r="D51" s="1092">
        <v>16930</v>
      </c>
      <c r="E51" s="1092">
        <v>15030</v>
      </c>
      <c r="F51" s="1100">
        <v>4120</v>
      </c>
      <c r="H51" s="1107"/>
    </row>
    <row r="52" spans="1:15" ht="14.25" customHeight="1">
      <c r="A52" s="1087" t="s">
        <v>199</v>
      </c>
      <c r="B52" s="1092" t="s">
        <v>1410</v>
      </c>
      <c r="C52" s="1092">
        <v>17110</v>
      </c>
      <c r="D52" s="1092">
        <v>17750</v>
      </c>
      <c r="E52" s="1092">
        <v>17310</v>
      </c>
      <c r="F52" s="1100">
        <v>3220</v>
      </c>
      <c r="H52" s="1107"/>
    </row>
    <row r="53" spans="1:15" ht="14.25" customHeight="1">
      <c r="A53" s="1087" t="s">
        <v>199</v>
      </c>
      <c r="B53" s="1092" t="s">
        <v>1421</v>
      </c>
      <c r="C53" s="1092">
        <v>17810</v>
      </c>
      <c r="D53" s="1092">
        <v>17260</v>
      </c>
      <c r="E53" s="1092">
        <v>17090</v>
      </c>
      <c r="F53" s="1100">
        <v>3520</v>
      </c>
      <c r="H53" s="1107"/>
    </row>
    <row r="54" spans="1:15" ht="14.25" customHeight="1">
      <c r="A54" s="1087" t="s">
        <v>199</v>
      </c>
      <c r="B54" s="1092" t="s">
        <v>1431</v>
      </c>
      <c r="C54" s="1092">
        <v>17410</v>
      </c>
      <c r="D54" s="1092">
        <v>16780</v>
      </c>
      <c r="E54" s="1092">
        <v>16370</v>
      </c>
      <c r="F54" s="1100">
        <v>3410</v>
      </c>
      <c r="H54" s="1107"/>
    </row>
    <row r="55" spans="1:15" ht="14.25" customHeight="1">
      <c r="A55" s="1087" t="s">
        <v>199</v>
      </c>
      <c r="B55" s="1092" t="s">
        <v>1442</v>
      </c>
      <c r="C55" s="1092">
        <v>16930</v>
      </c>
      <c r="D55" s="1092">
        <v>14720</v>
      </c>
      <c r="E55" s="1092">
        <v>15000</v>
      </c>
      <c r="F55" s="1100">
        <v>3710</v>
      </c>
      <c r="H55" s="1107"/>
    </row>
    <row r="56" spans="1:15" ht="14.25" customHeight="1">
      <c r="A56" s="1087" t="s">
        <v>199</v>
      </c>
      <c r="B56" s="1092" t="s">
        <v>1453</v>
      </c>
      <c r="C56" s="1092">
        <v>14930</v>
      </c>
      <c r="D56" s="1092">
        <v>15850</v>
      </c>
      <c r="E56" s="1092">
        <v>14320</v>
      </c>
      <c r="F56" s="1100">
        <v>3960</v>
      </c>
      <c r="H56" s="1107"/>
    </row>
    <row r="57" spans="1:15" ht="14.25" customHeight="1">
      <c r="A57" s="1087" t="s">
        <v>199</v>
      </c>
      <c r="B57" s="1092" t="s">
        <v>1462</v>
      </c>
      <c r="C57" s="1092">
        <v>16160</v>
      </c>
      <c r="D57" s="1092">
        <v>16190</v>
      </c>
      <c r="E57" s="1092">
        <v>15650</v>
      </c>
      <c r="F57" s="1100">
        <v>4200</v>
      </c>
      <c r="H57" s="1107"/>
    </row>
    <row r="58" spans="1:15" ht="14.25" customHeight="1">
      <c r="A58" s="1087" t="s">
        <v>199</v>
      </c>
      <c r="B58" s="1092" t="s">
        <v>1472</v>
      </c>
      <c r="C58" s="1092">
        <v>16360</v>
      </c>
      <c r="D58" s="1092">
        <v>14050</v>
      </c>
      <c r="E58" s="1092">
        <v>16070</v>
      </c>
      <c r="F58" s="1100">
        <v>3990</v>
      </c>
      <c r="H58" s="1107"/>
    </row>
    <row r="59" spans="1:15" ht="14.25" customHeight="1">
      <c r="A59" s="1087" t="s">
        <v>199</v>
      </c>
      <c r="B59" s="1092" t="s">
        <v>1482</v>
      </c>
      <c r="C59" s="1092">
        <v>14160</v>
      </c>
      <c r="D59" s="1092">
        <v>16620</v>
      </c>
      <c r="E59" s="1092">
        <v>13940</v>
      </c>
      <c r="F59" s="1100">
        <v>4260</v>
      </c>
      <c r="H59" s="1107"/>
    </row>
    <row r="60" spans="1:15" ht="14.25" customHeight="1">
      <c r="A60" s="1087" t="s">
        <v>199</v>
      </c>
      <c r="B60" s="1092" t="s">
        <v>1492</v>
      </c>
      <c r="C60" s="1092">
        <v>16750</v>
      </c>
      <c r="D60" s="1092">
        <v>13910</v>
      </c>
      <c r="E60" s="1092">
        <v>16550</v>
      </c>
      <c r="F60" s="1100">
        <v>4550</v>
      </c>
      <c r="H60" s="1107"/>
    </row>
    <row r="61" spans="1:15" ht="14.25" customHeight="1">
      <c r="A61" s="1087" t="s">
        <v>199</v>
      </c>
      <c r="B61" s="1092" t="s">
        <v>1502</v>
      </c>
      <c r="C61" s="1092">
        <v>14000</v>
      </c>
      <c r="D61" s="1092">
        <v>14550</v>
      </c>
      <c r="E61" s="1092">
        <v>13860</v>
      </c>
      <c r="F61" s="1109"/>
      <c r="H61" s="1107"/>
    </row>
    <row r="62" spans="1:15" ht="14.25" customHeight="1">
      <c r="A62" s="1087" t="s">
        <v>199</v>
      </c>
      <c r="B62" s="1092" t="s">
        <v>1512</v>
      </c>
      <c r="C62" s="1092">
        <v>14660</v>
      </c>
      <c r="D62" s="1092">
        <v>17450</v>
      </c>
      <c r="E62" s="1092">
        <v>14470</v>
      </c>
      <c r="F62" s="1109"/>
      <c r="H62" s="1107"/>
    </row>
    <row r="63" spans="1:15" ht="14.25" customHeight="1">
      <c r="A63" s="1087" t="s">
        <v>199</v>
      </c>
      <c r="B63" s="1092" t="s">
        <v>1522</v>
      </c>
      <c r="C63" s="1092">
        <v>17610</v>
      </c>
      <c r="D63" s="1092">
        <v>16500</v>
      </c>
      <c r="E63" s="1092">
        <v>17330</v>
      </c>
      <c r="F63" s="1109"/>
      <c r="H63" s="1107"/>
    </row>
    <row r="64" spans="1:15" ht="14.25" customHeight="1">
      <c r="A64" s="1087" t="s">
        <v>199</v>
      </c>
      <c r="B64" s="1092" t="s">
        <v>1532</v>
      </c>
      <c r="C64" s="1092">
        <v>16590</v>
      </c>
      <c r="D64" s="1092">
        <v>15130</v>
      </c>
      <c r="E64" s="1092">
        <v>16420</v>
      </c>
      <c r="F64" s="1109"/>
      <c r="H64" s="1107"/>
    </row>
    <row r="65" spans="1:8" s="1079" customFormat="1" ht="14.25" customHeight="1">
      <c r="A65" s="1087" t="s">
        <v>199</v>
      </c>
      <c r="B65" s="1092" t="s">
        <v>1542</v>
      </c>
      <c r="C65" s="1092">
        <v>15220</v>
      </c>
      <c r="D65" s="1092">
        <v>14660</v>
      </c>
      <c r="E65" s="1092">
        <v>15060</v>
      </c>
      <c r="F65" s="1100"/>
      <c r="H65" s="1107"/>
    </row>
    <row r="66" spans="1:8" s="1079" customFormat="1" ht="14.25" customHeight="1">
      <c r="A66" s="1087" t="s">
        <v>199</v>
      </c>
      <c r="B66" s="1092" t="s">
        <v>1552</v>
      </c>
      <c r="C66" s="1092">
        <v>14720</v>
      </c>
      <c r="D66" s="1092">
        <v>15970</v>
      </c>
      <c r="E66" s="1092">
        <v>14610</v>
      </c>
      <c r="F66" s="1100"/>
      <c r="H66" s="1107"/>
    </row>
    <row r="67" spans="1:8" s="1079" customFormat="1" ht="14.25" customHeight="1">
      <c r="A67" s="1087" t="s">
        <v>199</v>
      </c>
      <c r="B67" s="1092" t="s">
        <v>1562</v>
      </c>
      <c r="C67" s="1092">
        <v>16080</v>
      </c>
      <c r="D67" s="1092">
        <v>14840</v>
      </c>
      <c r="E67" s="1092">
        <v>15630</v>
      </c>
      <c r="F67" s="1100"/>
      <c r="H67" s="1107"/>
    </row>
    <row r="68" spans="1:8" s="1079" customFormat="1" ht="14.25" customHeight="1">
      <c r="A68" s="1087" t="s">
        <v>199</v>
      </c>
      <c r="B68" s="1092" t="s">
        <v>1571</v>
      </c>
      <c r="C68" s="1092">
        <v>14940</v>
      </c>
      <c r="D68" s="1092">
        <v>18000</v>
      </c>
      <c r="E68" s="1092">
        <v>14040</v>
      </c>
      <c r="F68" s="1100"/>
      <c r="H68" s="1107"/>
    </row>
    <row r="69" spans="1:8" s="1079" customFormat="1" ht="14.25" customHeight="1">
      <c r="A69" s="1087" t="s">
        <v>199</v>
      </c>
      <c r="B69" s="1092" t="s">
        <v>1579</v>
      </c>
      <c r="C69" s="1092">
        <v>18810</v>
      </c>
      <c r="D69" s="1092">
        <v>15100</v>
      </c>
      <c r="E69" s="1092">
        <v>14710</v>
      </c>
      <c r="F69" s="1100"/>
      <c r="H69" s="1107"/>
    </row>
    <row r="70" spans="1:8" s="1079" customFormat="1" ht="14.25" customHeight="1">
      <c r="A70" s="1087" t="s">
        <v>199</v>
      </c>
      <c r="B70" s="1092" t="s">
        <v>1587</v>
      </c>
      <c r="C70" s="1092">
        <v>18270</v>
      </c>
      <c r="D70" s="1092"/>
      <c r="E70" s="1092"/>
      <c r="F70" s="1100"/>
      <c r="H70" s="1107"/>
    </row>
    <row r="71" spans="1:8" s="1079" customFormat="1" ht="14.25" customHeight="1">
      <c r="A71" s="1087" t="s">
        <v>199</v>
      </c>
      <c r="B71" s="1092" t="s">
        <v>1594</v>
      </c>
      <c r="C71" s="1092">
        <v>15230</v>
      </c>
      <c r="D71" s="1092"/>
      <c r="E71" s="1092"/>
      <c r="F71" s="1100"/>
      <c r="H71" s="1107"/>
    </row>
    <row r="72" spans="1:8" s="1079" customFormat="1" ht="14.25" customHeight="1">
      <c r="A72" s="1087" t="s">
        <v>199</v>
      </c>
      <c r="B72" s="1092" t="s">
        <v>1601</v>
      </c>
      <c r="C72" s="1092"/>
      <c r="D72" s="1092"/>
      <c r="E72" s="1092"/>
      <c r="F72" s="1100">
        <v>4120</v>
      </c>
      <c r="H72" s="1107"/>
    </row>
    <row r="73" spans="1:8" s="1079" customFormat="1" ht="14.25" customHeight="1">
      <c r="A73" s="1087" t="s">
        <v>199</v>
      </c>
      <c r="B73" s="1092" t="s">
        <v>1608</v>
      </c>
      <c r="C73" s="1092"/>
      <c r="D73" s="1092"/>
      <c r="E73" s="1092"/>
      <c r="F73" s="1100">
        <v>3930</v>
      </c>
      <c r="H73" s="1107"/>
    </row>
    <row r="74" spans="1:8" s="1079" customFormat="1" ht="14.25" customHeight="1">
      <c r="A74" s="1087" t="s">
        <v>199</v>
      </c>
      <c r="B74" s="1092" t="s">
        <v>1615</v>
      </c>
      <c r="C74" s="1092"/>
      <c r="D74" s="1092"/>
      <c r="E74" s="1092"/>
      <c r="F74" s="1100">
        <v>4060</v>
      </c>
      <c r="H74" s="1107"/>
    </row>
    <row r="75" spans="1:8" s="1079" customFormat="1" ht="14.25" customHeight="1">
      <c r="A75" s="1087" t="s">
        <v>199</v>
      </c>
      <c r="B75" s="1098" t="s">
        <v>1622</v>
      </c>
      <c r="C75" s="1098"/>
      <c r="D75" s="1098"/>
      <c r="E75" s="1098"/>
      <c r="F75" s="1108">
        <v>3750</v>
      </c>
      <c r="H75" s="1107"/>
    </row>
    <row r="76" spans="1:8" s="1079" customFormat="1" ht="14.25" customHeight="1">
      <c r="A76" s="1087" t="s">
        <v>209</v>
      </c>
      <c r="B76" s="1088" t="s">
        <v>1374</v>
      </c>
      <c r="C76" s="1088">
        <v>14690</v>
      </c>
      <c r="D76" s="1088">
        <v>14640</v>
      </c>
      <c r="E76" s="1088">
        <v>14590</v>
      </c>
      <c r="F76" s="1089">
        <v>3060</v>
      </c>
      <c r="H76" s="1107"/>
    </row>
    <row r="77" spans="1:8" s="1079" customFormat="1" ht="14.25" customHeight="1">
      <c r="A77" s="1087" t="s">
        <v>209</v>
      </c>
      <c r="B77" s="1092" t="s">
        <v>1386</v>
      </c>
      <c r="C77" s="1092">
        <v>12550</v>
      </c>
      <c r="D77" s="1092">
        <v>12480</v>
      </c>
      <c r="E77" s="1092">
        <v>12450</v>
      </c>
      <c r="F77" s="1100">
        <v>2590</v>
      </c>
      <c r="H77" s="1107"/>
    </row>
    <row r="78" spans="1:8" s="1079" customFormat="1" ht="14.25" customHeight="1">
      <c r="A78" s="1087" t="s">
        <v>209</v>
      </c>
      <c r="B78" s="1092" t="s">
        <v>1399</v>
      </c>
      <c r="C78" s="1092">
        <v>14360</v>
      </c>
      <c r="D78" s="1092">
        <v>14320</v>
      </c>
      <c r="E78" s="1092">
        <v>12510</v>
      </c>
      <c r="F78" s="1100">
        <v>2700</v>
      </c>
      <c r="H78" s="1107"/>
    </row>
    <row r="79" spans="1:8" s="1079" customFormat="1" ht="14.25" customHeight="1">
      <c r="A79" s="1087" t="s">
        <v>209</v>
      </c>
      <c r="B79" s="1092" t="s">
        <v>1411</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1432</v>
      </c>
      <c r="C81" s="1092">
        <v>14210</v>
      </c>
      <c r="D81" s="1092">
        <v>14150</v>
      </c>
      <c r="E81" s="1092">
        <v>12730</v>
      </c>
      <c r="F81" s="1100">
        <v>2240</v>
      </c>
      <c r="H81" s="1107"/>
    </row>
    <row r="82" spans="1:8" s="1079" customFormat="1" ht="14.25" customHeight="1">
      <c r="A82" s="1087" t="s">
        <v>209</v>
      </c>
      <c r="B82" s="1092" t="s">
        <v>1443</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1463</v>
      </c>
      <c r="C84" s="1092">
        <v>14950</v>
      </c>
      <c r="D84" s="1092">
        <v>14810</v>
      </c>
      <c r="E84" s="1092">
        <v>12590</v>
      </c>
      <c r="F84" s="1100">
        <v>2540</v>
      </c>
      <c r="H84" s="1107"/>
    </row>
    <row r="85" spans="1:8" s="1079" customFormat="1" ht="14.25" customHeight="1">
      <c r="A85" s="1087" t="s">
        <v>209</v>
      </c>
      <c r="B85" s="1092" t="s">
        <v>1473</v>
      </c>
      <c r="C85" s="1092">
        <v>14960</v>
      </c>
      <c r="D85" s="1092">
        <v>14890</v>
      </c>
      <c r="E85" s="1092">
        <v>12840</v>
      </c>
      <c r="F85" s="1100">
        <v>2840</v>
      </c>
      <c r="H85" s="1107"/>
    </row>
    <row r="86" spans="1:8" s="1079" customFormat="1" ht="14.25" customHeight="1">
      <c r="A86" s="1087" t="s">
        <v>209</v>
      </c>
      <c r="B86" s="1092" t="s">
        <v>1483</v>
      </c>
      <c r="C86" s="1092">
        <v>12730</v>
      </c>
      <c r="D86" s="1092">
        <v>12660</v>
      </c>
      <c r="E86" s="1092">
        <v>13310</v>
      </c>
      <c r="F86" s="1100">
        <v>3140</v>
      </c>
      <c r="H86" s="1107"/>
    </row>
    <row r="87" spans="1:8" s="1079" customFormat="1" ht="14.25" customHeight="1">
      <c r="A87" s="1087" t="s">
        <v>209</v>
      </c>
      <c r="B87" s="1092" t="s">
        <v>1493</v>
      </c>
      <c r="C87" s="1092">
        <v>12940</v>
      </c>
      <c r="D87" s="1092">
        <v>12890</v>
      </c>
      <c r="E87" s="1092">
        <v>11580</v>
      </c>
      <c r="F87" s="1109"/>
      <c r="H87" s="1107"/>
    </row>
    <row r="88" spans="1:8" s="1079" customFormat="1" ht="14.25" customHeight="1">
      <c r="A88" s="1087" t="s">
        <v>209</v>
      </c>
      <c r="B88" s="1092" t="s">
        <v>1503</v>
      </c>
      <c r="C88" s="1092">
        <v>13430</v>
      </c>
      <c r="D88" s="1092">
        <v>13360</v>
      </c>
      <c r="E88" s="1092">
        <v>12790</v>
      </c>
      <c r="F88" s="1109"/>
      <c r="H88" s="1107"/>
    </row>
    <row r="89" spans="1:8" s="1079" customFormat="1" ht="14.25" customHeight="1">
      <c r="A89" s="1087" t="s">
        <v>209</v>
      </c>
      <c r="B89" s="1092" t="s">
        <v>1513</v>
      </c>
      <c r="C89" s="1092">
        <v>11680</v>
      </c>
      <c r="D89" s="1092">
        <v>11630</v>
      </c>
      <c r="E89" s="1092">
        <v>11320</v>
      </c>
      <c r="F89" s="1109"/>
      <c r="H89" s="1107"/>
    </row>
    <row r="90" spans="1:8" s="1079" customFormat="1" ht="14.25" customHeight="1">
      <c r="A90" s="1087" t="s">
        <v>209</v>
      </c>
      <c r="B90" s="1092" t="s">
        <v>1523</v>
      </c>
      <c r="C90" s="1092">
        <v>12890</v>
      </c>
      <c r="D90" s="1092">
        <v>12820</v>
      </c>
      <c r="E90" s="1092">
        <v>12710</v>
      </c>
      <c r="F90" s="1109"/>
      <c r="H90" s="1107"/>
    </row>
    <row r="91" spans="1:8" s="1079" customFormat="1" ht="14.25" customHeight="1">
      <c r="A91" s="1087" t="s">
        <v>209</v>
      </c>
      <c r="B91" s="1092" t="s">
        <v>1533</v>
      </c>
      <c r="C91" s="1092">
        <v>11410</v>
      </c>
      <c r="D91" s="1092">
        <v>11360</v>
      </c>
      <c r="E91" s="1092">
        <v>12670</v>
      </c>
      <c r="F91" s="1109"/>
      <c r="H91" s="1107"/>
    </row>
    <row r="92" spans="1:8" s="1079" customFormat="1" ht="14.25" customHeight="1">
      <c r="A92" s="1087" t="s">
        <v>209</v>
      </c>
      <c r="B92" s="1092" t="s">
        <v>1543</v>
      </c>
      <c r="C92" s="1092">
        <v>12770</v>
      </c>
      <c r="D92" s="1092">
        <v>12740</v>
      </c>
      <c r="E92" s="1092">
        <v>11970</v>
      </c>
      <c r="F92" s="1109"/>
      <c r="H92" s="1107"/>
    </row>
    <row r="93" spans="1:8" s="1079" customFormat="1" ht="14.25" customHeight="1">
      <c r="A93" s="1087" t="s">
        <v>209</v>
      </c>
      <c r="B93" s="1092" t="s">
        <v>1553</v>
      </c>
      <c r="C93" s="1092">
        <v>12740</v>
      </c>
      <c r="D93" s="1092">
        <v>12700</v>
      </c>
      <c r="E93" s="1092">
        <v>12540</v>
      </c>
      <c r="F93" s="1109"/>
      <c r="H93" s="1107"/>
    </row>
    <row r="94" spans="1:8" s="1079" customFormat="1" ht="14.25" customHeight="1">
      <c r="A94" s="1087" t="s">
        <v>209</v>
      </c>
      <c r="B94" s="1092" t="s">
        <v>1563</v>
      </c>
      <c r="C94" s="1092">
        <v>12020</v>
      </c>
      <c r="D94" s="1092">
        <v>11990</v>
      </c>
      <c r="E94" s="1092">
        <v>13110</v>
      </c>
      <c r="F94" s="1109"/>
      <c r="H94" s="1107"/>
    </row>
    <row r="95" spans="1:8" s="1079" customFormat="1" ht="14.25" customHeight="1">
      <c r="A95" s="1087" t="s">
        <v>209</v>
      </c>
      <c r="B95" s="1092" t="s">
        <v>1572</v>
      </c>
      <c r="C95" s="1092">
        <v>12620</v>
      </c>
      <c r="D95" s="1092">
        <v>12580</v>
      </c>
      <c r="E95" s="1092">
        <v>13160</v>
      </c>
      <c r="F95" s="1100"/>
      <c r="H95" s="1107"/>
    </row>
    <row r="96" spans="1:8" s="1079" customFormat="1" ht="14.25" customHeight="1">
      <c r="A96" s="1087" t="s">
        <v>209</v>
      </c>
      <c r="B96" s="1092" t="s">
        <v>1580</v>
      </c>
      <c r="C96" s="1092">
        <v>13200</v>
      </c>
      <c r="D96" s="1092">
        <v>13150</v>
      </c>
      <c r="E96" s="1092">
        <v>12900</v>
      </c>
      <c r="F96" s="1100"/>
      <c r="H96" s="1107"/>
    </row>
    <row r="97" spans="1:8" s="1079" customFormat="1" ht="14.25" customHeight="1">
      <c r="A97" s="1087" t="s">
        <v>209</v>
      </c>
      <c r="B97" s="1092" t="s">
        <v>1588</v>
      </c>
      <c r="C97" s="1092">
        <v>13270</v>
      </c>
      <c r="D97" s="1092">
        <v>13210</v>
      </c>
      <c r="E97" s="1092">
        <v>11080</v>
      </c>
      <c r="F97" s="1100"/>
      <c r="H97" s="1107"/>
    </row>
    <row r="98" spans="1:8" s="1079" customFormat="1" ht="14.25" customHeight="1">
      <c r="A98" s="1087" t="s">
        <v>209</v>
      </c>
      <c r="B98" s="1092" t="s">
        <v>1595</v>
      </c>
      <c r="C98" s="1092">
        <v>13010</v>
      </c>
      <c r="D98" s="1092">
        <v>12930</v>
      </c>
      <c r="E98" s="1092">
        <v>12840</v>
      </c>
      <c r="F98" s="1100"/>
      <c r="H98" s="1107"/>
    </row>
    <row r="99" spans="1:8" s="1079" customFormat="1" ht="14.25" customHeight="1">
      <c r="A99" s="1087" t="s">
        <v>209</v>
      </c>
      <c r="B99" s="1092" t="s">
        <v>1602</v>
      </c>
      <c r="C99" s="1092">
        <v>11190</v>
      </c>
      <c r="D99" s="1092">
        <v>11130</v>
      </c>
      <c r="E99" s="1092"/>
      <c r="F99" s="1100"/>
      <c r="H99" s="1107"/>
    </row>
    <row r="100" spans="1:8" s="1079" customFormat="1" ht="14.25" customHeight="1">
      <c r="A100" s="1087" t="s">
        <v>209</v>
      </c>
      <c r="B100" s="1092" t="s">
        <v>1609</v>
      </c>
      <c r="C100" s="1092">
        <v>14280</v>
      </c>
      <c r="D100" s="1092">
        <v>14180</v>
      </c>
      <c r="E100" s="1092"/>
      <c r="F100" s="1100"/>
      <c r="H100" s="1107"/>
    </row>
    <row r="101" spans="1:8" s="1079" customFormat="1" ht="14.25" customHeight="1">
      <c r="A101" s="1087" t="s">
        <v>209</v>
      </c>
      <c r="B101" s="1092" t="s">
        <v>1616</v>
      </c>
      <c r="C101" s="1092">
        <v>12960</v>
      </c>
      <c r="D101" s="1092">
        <v>12890</v>
      </c>
      <c r="E101" s="1092"/>
      <c r="F101" s="1100"/>
      <c r="H101" s="1107"/>
    </row>
    <row r="102" spans="1:8" s="1079" customFormat="1" ht="14.25" customHeight="1">
      <c r="A102" s="1087" t="s">
        <v>209</v>
      </c>
      <c r="B102" s="1092" t="s">
        <v>1623</v>
      </c>
      <c r="C102" s="1092"/>
      <c r="D102" s="1092"/>
      <c r="E102" s="1092"/>
      <c r="F102" s="1100">
        <v>3100</v>
      </c>
      <c r="H102" s="1107"/>
    </row>
    <row r="103" spans="1:8" s="1079" customFormat="1" ht="14.25" customHeight="1">
      <c r="A103" s="1087" t="s">
        <v>209</v>
      </c>
      <c r="B103" s="1092" t="s">
        <v>1628</v>
      </c>
      <c r="C103" s="1092"/>
      <c r="D103" s="1092"/>
      <c r="E103" s="1092"/>
      <c r="F103" s="1100">
        <v>2320</v>
      </c>
      <c r="H103" s="1107"/>
    </row>
    <row r="104" spans="1:8" s="1079" customFormat="1" ht="14.25" customHeight="1">
      <c r="A104" s="1087" t="s">
        <v>209</v>
      </c>
      <c r="B104" s="1092" t="s">
        <v>1633</v>
      </c>
      <c r="C104" s="1092"/>
      <c r="D104" s="1092"/>
      <c r="E104" s="1092"/>
      <c r="F104" s="1100">
        <v>2320</v>
      </c>
      <c r="H104" s="1107"/>
    </row>
    <row r="105" spans="1:8" s="1079" customFormat="1" ht="14.25" customHeight="1">
      <c r="A105" s="1087" t="s">
        <v>209</v>
      </c>
      <c r="B105" s="1092" t="s">
        <v>1638</v>
      </c>
      <c r="C105" s="1092"/>
      <c r="D105" s="1092"/>
      <c r="E105" s="1092"/>
      <c r="F105" s="1100">
        <v>2320</v>
      </c>
      <c r="H105" s="1107"/>
    </row>
    <row r="106" spans="1:8" s="1079" customFormat="1" ht="14.25" customHeight="1">
      <c r="A106" s="1087" t="s">
        <v>209</v>
      </c>
      <c r="B106" s="1092" t="s">
        <v>1643</v>
      </c>
      <c r="C106" s="1092"/>
      <c r="D106" s="1092"/>
      <c r="E106" s="1092"/>
      <c r="F106" s="1100">
        <v>2320</v>
      </c>
      <c r="H106" s="1107"/>
    </row>
    <row r="107" spans="1:8" s="1079" customFormat="1" ht="14.25" customHeight="1">
      <c r="A107" s="1087" t="s">
        <v>209</v>
      </c>
      <c r="B107" s="1092" t="s">
        <v>1648</v>
      </c>
      <c r="C107" s="1092"/>
      <c r="D107" s="1092"/>
      <c r="E107" s="1092"/>
      <c r="F107" s="1100">
        <v>2280</v>
      </c>
      <c r="H107" s="1107"/>
    </row>
    <row r="108" spans="1:8" s="1079" customFormat="1" ht="14.25" customHeight="1">
      <c r="A108" s="1087" t="s">
        <v>209</v>
      </c>
      <c r="B108" s="1092" t="s">
        <v>1653</v>
      </c>
      <c r="C108" s="1092"/>
      <c r="D108" s="1092"/>
      <c r="E108" s="1092"/>
      <c r="F108" s="1100">
        <v>2280</v>
      </c>
      <c r="H108" s="1107"/>
    </row>
    <row r="109" spans="1:8" s="1079" customFormat="1" ht="14.25" customHeight="1">
      <c r="A109" s="1087" t="s">
        <v>209</v>
      </c>
      <c r="B109" s="1098" t="s">
        <v>1658</v>
      </c>
      <c r="C109" s="1098"/>
      <c r="D109" s="1098"/>
      <c r="E109" s="1098"/>
      <c r="F109" s="1108">
        <v>2280</v>
      </c>
      <c r="H109" s="1107"/>
    </row>
    <row r="110" spans="1:8" s="1079" customFormat="1" ht="14.25" customHeight="1">
      <c r="A110" s="1087" t="s">
        <v>217</v>
      </c>
      <c r="B110" s="1088" t="s">
        <v>1375</v>
      </c>
      <c r="C110" s="1088">
        <v>10520</v>
      </c>
      <c r="D110" s="1088">
        <v>10490</v>
      </c>
      <c r="E110" s="1088">
        <v>10760</v>
      </c>
      <c r="F110" s="1089">
        <v>2160</v>
      </c>
      <c r="H110" s="1107"/>
    </row>
    <row r="111" spans="1:8" s="1079" customFormat="1" ht="14.25" customHeight="1">
      <c r="A111" s="1087" t="s">
        <v>217</v>
      </c>
      <c r="B111" s="1092" t="s">
        <v>1387</v>
      </c>
      <c r="C111" s="1092">
        <v>10090</v>
      </c>
      <c r="D111" s="1092">
        <v>10060</v>
      </c>
      <c r="E111" s="1092">
        <v>10300</v>
      </c>
      <c r="F111" s="1100">
        <v>2010</v>
      </c>
      <c r="H111" s="1107"/>
    </row>
    <row r="112" spans="1:8" s="1079" customFormat="1" ht="14.25" customHeight="1">
      <c r="A112" s="1087" t="s">
        <v>217</v>
      </c>
      <c r="B112" s="1092" t="s">
        <v>1400</v>
      </c>
      <c r="C112" s="1092">
        <v>9910</v>
      </c>
      <c r="D112" s="1092">
        <v>9850</v>
      </c>
      <c r="E112" s="1092">
        <v>9960</v>
      </c>
      <c r="F112" s="1100">
        <v>2090</v>
      </c>
      <c r="H112" s="1107"/>
    </row>
    <row r="113" spans="1:8" s="1079" customFormat="1" ht="14.25" customHeight="1">
      <c r="A113" s="1087" t="s">
        <v>217</v>
      </c>
      <c r="B113" s="1092" t="s">
        <v>1412</v>
      </c>
      <c r="C113" s="1092">
        <v>11430</v>
      </c>
      <c r="D113" s="1092">
        <v>11400</v>
      </c>
      <c r="E113" s="1092">
        <v>11710</v>
      </c>
      <c r="F113" s="1100">
        <v>2050</v>
      </c>
      <c r="H113" s="1107"/>
    </row>
    <row r="114" spans="1:8" s="1079" customFormat="1" ht="14.25" customHeight="1">
      <c r="A114" s="1087" t="s">
        <v>217</v>
      </c>
      <c r="B114" s="1092" t="s">
        <v>1422</v>
      </c>
      <c r="C114" s="1092">
        <v>11390</v>
      </c>
      <c r="D114" s="1092">
        <v>11350</v>
      </c>
      <c r="E114" s="1092">
        <v>11640</v>
      </c>
      <c r="F114" s="1100">
        <v>1620</v>
      </c>
      <c r="H114" s="1107"/>
    </row>
    <row r="115" spans="1:8" s="1079" customFormat="1" ht="14.25" customHeight="1">
      <c r="A115" s="1087" t="s">
        <v>217</v>
      </c>
      <c r="B115" s="1092" t="s">
        <v>1433</v>
      </c>
      <c r="C115" s="1092">
        <v>9930</v>
      </c>
      <c r="D115" s="1092">
        <v>9900</v>
      </c>
      <c r="E115" s="1092">
        <v>10160</v>
      </c>
      <c r="F115" s="1100">
        <v>1580</v>
      </c>
      <c r="H115" s="1107"/>
    </row>
    <row r="116" spans="1:8" s="1079" customFormat="1" ht="14.25" customHeight="1">
      <c r="A116" s="1087" t="s">
        <v>217</v>
      </c>
      <c r="B116" s="1092" t="s">
        <v>1444</v>
      </c>
      <c r="C116" s="1092">
        <v>9150</v>
      </c>
      <c r="D116" s="1092">
        <v>9120</v>
      </c>
      <c r="E116" s="1092">
        <v>9380</v>
      </c>
      <c r="F116" s="1100">
        <v>1750</v>
      </c>
      <c r="H116" s="1107"/>
    </row>
    <row r="117" spans="1:8" s="1079" customFormat="1" ht="14.25" customHeight="1">
      <c r="A117" s="1087" t="s">
        <v>217</v>
      </c>
      <c r="B117" s="1092" t="s">
        <v>1454</v>
      </c>
      <c r="C117" s="1092">
        <v>10680</v>
      </c>
      <c r="D117" s="1092">
        <v>10650</v>
      </c>
      <c r="E117" s="1092">
        <v>10970</v>
      </c>
      <c r="F117" s="1100">
        <v>1730</v>
      </c>
      <c r="H117" s="1107"/>
    </row>
    <row r="118" spans="1:8" s="1079" customFormat="1" ht="14.25" customHeight="1">
      <c r="A118" s="1087" t="s">
        <v>217</v>
      </c>
      <c r="B118" s="1092" t="s">
        <v>1464</v>
      </c>
      <c r="C118" s="1092">
        <v>10080</v>
      </c>
      <c r="D118" s="1092">
        <v>10050</v>
      </c>
      <c r="E118" s="1092">
        <v>10350</v>
      </c>
      <c r="F118" s="1100">
        <v>1920</v>
      </c>
      <c r="H118" s="1107"/>
    </row>
    <row r="119" spans="1:8" s="1079" customFormat="1" ht="14.25" customHeight="1">
      <c r="A119" s="1087" t="s">
        <v>217</v>
      </c>
      <c r="B119" s="1092" t="s">
        <v>1474</v>
      </c>
      <c r="C119" s="1092">
        <v>9450</v>
      </c>
      <c r="D119" s="1092">
        <v>9410</v>
      </c>
      <c r="E119" s="1092">
        <v>9680</v>
      </c>
      <c r="F119" s="1100">
        <v>1880</v>
      </c>
      <c r="H119" s="1107"/>
    </row>
    <row r="120" spans="1:8" s="1079" customFormat="1" ht="14.25" customHeight="1">
      <c r="A120" s="1087" t="s">
        <v>217</v>
      </c>
      <c r="B120" s="1092" t="s">
        <v>1484</v>
      </c>
      <c r="C120" s="1092">
        <v>8730</v>
      </c>
      <c r="D120" s="1092">
        <v>8700</v>
      </c>
      <c r="E120" s="1092">
        <v>8950</v>
      </c>
      <c r="F120" s="1100">
        <v>1830</v>
      </c>
      <c r="H120" s="1107"/>
    </row>
    <row r="121" spans="1:8" s="1079" customFormat="1" ht="14.25" customHeight="1">
      <c r="A121" s="1087" t="s">
        <v>217</v>
      </c>
      <c r="B121" s="1092" t="s">
        <v>1494</v>
      </c>
      <c r="C121" s="1092">
        <v>10070</v>
      </c>
      <c r="D121" s="1092">
        <v>10040</v>
      </c>
      <c r="E121" s="1092">
        <v>10270</v>
      </c>
      <c r="F121" s="1100">
        <v>1960</v>
      </c>
      <c r="H121" s="1107"/>
    </row>
    <row r="122" spans="1:8" s="1079" customFormat="1" ht="14.25" customHeight="1">
      <c r="A122" s="1087" t="s">
        <v>217</v>
      </c>
      <c r="B122" s="1092" t="s">
        <v>1504</v>
      </c>
      <c r="C122" s="1092">
        <v>10500</v>
      </c>
      <c r="D122" s="1092">
        <v>10470</v>
      </c>
      <c r="E122" s="1092">
        <v>10780</v>
      </c>
      <c r="F122" s="1100">
        <v>2180</v>
      </c>
      <c r="H122" s="1107"/>
    </row>
    <row r="123" spans="1:8" s="1079" customFormat="1" ht="14.25" customHeight="1">
      <c r="A123" s="1087" t="s">
        <v>217</v>
      </c>
      <c r="B123" s="1092" t="s">
        <v>1514</v>
      </c>
      <c r="C123" s="1092">
        <v>10390</v>
      </c>
      <c r="D123" s="1092">
        <v>10360</v>
      </c>
      <c r="E123" s="1092">
        <v>10660</v>
      </c>
      <c r="F123" s="1100">
        <v>2040</v>
      </c>
      <c r="H123" s="1107"/>
    </row>
    <row r="124" spans="1:8" s="1079" customFormat="1" ht="14.25" customHeight="1">
      <c r="A124" s="1087" t="s">
        <v>217</v>
      </c>
      <c r="B124" s="1092" t="s">
        <v>1524</v>
      </c>
      <c r="C124" s="1092">
        <v>10390</v>
      </c>
      <c r="D124" s="1092">
        <v>10360</v>
      </c>
      <c r="E124" s="1092">
        <v>10680</v>
      </c>
      <c r="F124" s="1109"/>
      <c r="H124" s="1107"/>
    </row>
    <row r="125" spans="1:8" s="1079" customFormat="1" ht="14.25" customHeight="1">
      <c r="A125" s="1087" t="s">
        <v>217</v>
      </c>
      <c r="B125" s="1092" t="s">
        <v>1534</v>
      </c>
      <c r="C125" s="1092">
        <v>10440</v>
      </c>
      <c r="D125" s="1092">
        <v>10410</v>
      </c>
      <c r="E125" s="1092">
        <v>10710</v>
      </c>
      <c r="F125" s="1109"/>
      <c r="H125" s="1107"/>
    </row>
    <row r="126" spans="1:8" s="1079" customFormat="1" ht="14.25" customHeight="1">
      <c r="A126" s="1087" t="s">
        <v>217</v>
      </c>
      <c r="B126" s="1092" t="s">
        <v>1544</v>
      </c>
      <c r="C126" s="1092">
        <v>10780</v>
      </c>
      <c r="D126" s="1092">
        <v>10750</v>
      </c>
      <c r="E126" s="1092">
        <v>11080</v>
      </c>
      <c r="F126" s="1109"/>
      <c r="H126" s="1107"/>
    </row>
    <row r="127" spans="1:8" s="1079" customFormat="1" ht="14.25" customHeight="1">
      <c r="A127" s="1087" t="s">
        <v>217</v>
      </c>
      <c r="B127" s="1092" t="s">
        <v>1554</v>
      </c>
      <c r="C127" s="1092">
        <v>10100</v>
      </c>
      <c r="D127" s="1092">
        <v>10070</v>
      </c>
      <c r="E127" s="1092">
        <v>10350</v>
      </c>
      <c r="F127" s="1109"/>
      <c r="H127" s="1107"/>
    </row>
    <row r="128" spans="1:8" s="1079" customFormat="1" ht="14.25" customHeight="1">
      <c r="A128" s="1087" t="s">
        <v>217</v>
      </c>
      <c r="B128" s="1092" t="s">
        <v>1564</v>
      </c>
      <c r="C128" s="1092">
        <v>9200</v>
      </c>
      <c r="D128" s="1092">
        <v>9160</v>
      </c>
      <c r="E128" s="1092">
        <v>9660</v>
      </c>
      <c r="F128" s="1109"/>
      <c r="H128" s="1107"/>
    </row>
    <row r="129" spans="1:8" s="1079" customFormat="1" ht="14.25" customHeight="1">
      <c r="A129" s="1087" t="s">
        <v>217</v>
      </c>
      <c r="B129" s="1092" t="s">
        <v>1573</v>
      </c>
      <c r="C129" s="1092">
        <v>10340</v>
      </c>
      <c r="D129" s="1092">
        <v>10310</v>
      </c>
      <c r="E129" s="1092">
        <v>10580</v>
      </c>
      <c r="F129" s="1109"/>
      <c r="H129" s="1107"/>
    </row>
    <row r="130" spans="1:8" s="1079" customFormat="1" ht="14.25" customHeight="1">
      <c r="A130" s="1087" t="s">
        <v>217</v>
      </c>
      <c r="B130" s="1092" t="s">
        <v>1581</v>
      </c>
      <c r="C130" s="1092">
        <v>9680</v>
      </c>
      <c r="D130" s="1092">
        <v>9660</v>
      </c>
      <c r="E130" s="1092">
        <v>9950</v>
      </c>
      <c r="F130" s="1109"/>
      <c r="H130" s="1107"/>
    </row>
    <row r="131" spans="1:8" s="1079" customFormat="1" ht="14.25" customHeight="1">
      <c r="A131" s="1087" t="s">
        <v>217</v>
      </c>
      <c r="B131" s="1092" t="s">
        <v>1589</v>
      </c>
      <c r="C131" s="1092">
        <v>9540</v>
      </c>
      <c r="D131" s="1092">
        <v>9510</v>
      </c>
      <c r="E131" s="1092">
        <v>9790</v>
      </c>
      <c r="F131" s="1109"/>
      <c r="H131" s="1107"/>
    </row>
    <row r="132" spans="1:8" s="1079" customFormat="1" ht="14.25" customHeight="1">
      <c r="A132" s="1087" t="s">
        <v>217</v>
      </c>
      <c r="B132" s="1092" t="s">
        <v>1596</v>
      </c>
      <c r="C132" s="1092">
        <v>9320</v>
      </c>
      <c r="D132" s="1092">
        <v>9290</v>
      </c>
      <c r="E132" s="1092">
        <v>9570</v>
      </c>
      <c r="F132" s="1109"/>
      <c r="H132" s="1107"/>
    </row>
    <row r="133" spans="1:8" s="1079" customFormat="1" ht="14.25" customHeight="1">
      <c r="A133" s="1087" t="s">
        <v>217</v>
      </c>
      <c r="B133" s="1092" t="s">
        <v>1603</v>
      </c>
      <c r="C133" s="1092">
        <v>10310</v>
      </c>
      <c r="D133" s="1092">
        <v>10280</v>
      </c>
      <c r="E133" s="1092">
        <v>10530</v>
      </c>
      <c r="F133" s="1109"/>
      <c r="H133" s="1107"/>
    </row>
    <row r="134" spans="1:8" s="1079" customFormat="1" ht="14.25" customHeight="1">
      <c r="A134" s="1087" t="s">
        <v>217</v>
      </c>
      <c r="B134" s="1092" t="s">
        <v>1610</v>
      </c>
      <c r="C134" s="1092">
        <v>10370</v>
      </c>
      <c r="D134" s="1092">
        <v>10310</v>
      </c>
      <c r="E134" s="1092">
        <v>10240</v>
      </c>
      <c r="F134" s="1100">
        <v>2060</v>
      </c>
      <c r="H134" s="1107"/>
    </row>
    <row r="135" spans="1:8" s="1079" customFormat="1" ht="14.25" customHeight="1">
      <c r="A135" s="1087" t="s">
        <v>217</v>
      </c>
      <c r="B135" s="1092" t="s">
        <v>1617</v>
      </c>
      <c r="C135" s="1092">
        <v>9300</v>
      </c>
      <c r="D135" s="1092">
        <v>9270</v>
      </c>
      <c r="E135" s="1092">
        <v>9350</v>
      </c>
      <c r="F135" s="1109"/>
      <c r="H135" s="1107"/>
    </row>
    <row r="136" spans="1:8" s="1079" customFormat="1" ht="14.25" customHeight="1">
      <c r="A136" s="1087" t="s">
        <v>217</v>
      </c>
      <c r="B136" s="1092" t="s">
        <v>1624</v>
      </c>
      <c r="C136" s="1092">
        <v>10160</v>
      </c>
      <c r="D136" s="1092">
        <v>10110</v>
      </c>
      <c r="E136" s="1092">
        <v>10080</v>
      </c>
      <c r="F136" s="1109"/>
      <c r="H136" s="1107"/>
    </row>
    <row r="137" spans="1:8" s="1079" customFormat="1" ht="14.25" customHeight="1">
      <c r="A137" s="1087" t="s">
        <v>217</v>
      </c>
      <c r="B137" s="1092" t="s">
        <v>1629</v>
      </c>
      <c r="C137" s="1092">
        <v>9200</v>
      </c>
      <c r="D137" s="1092">
        <v>9170</v>
      </c>
      <c r="E137" s="1092">
        <v>9450</v>
      </c>
      <c r="F137" s="1109"/>
      <c r="H137" s="1107"/>
    </row>
    <row r="138" spans="1:8" s="1079" customFormat="1" ht="14.25" customHeight="1">
      <c r="A138" s="1087" t="s">
        <v>217</v>
      </c>
      <c r="B138" s="1092" t="s">
        <v>1634</v>
      </c>
      <c r="C138" s="1092">
        <v>9690</v>
      </c>
      <c r="D138" s="1092">
        <v>9660</v>
      </c>
      <c r="E138" s="1092">
        <v>9840</v>
      </c>
      <c r="F138" s="1109"/>
      <c r="H138" s="1107"/>
    </row>
    <row r="139" spans="1:8" s="1079" customFormat="1" ht="14.25" customHeight="1">
      <c r="A139" s="1087" t="s">
        <v>217</v>
      </c>
      <c r="B139" s="1092" t="s">
        <v>1639</v>
      </c>
      <c r="C139" s="1092">
        <v>10290</v>
      </c>
      <c r="D139" s="1092">
        <v>10260</v>
      </c>
      <c r="E139" s="1092">
        <v>10550</v>
      </c>
      <c r="F139" s="1100">
        <v>1700</v>
      </c>
      <c r="H139" s="1107"/>
    </row>
    <row r="140" spans="1:8" s="1079" customFormat="1" ht="14.25" customHeight="1">
      <c r="A140" s="1087" t="s">
        <v>217</v>
      </c>
      <c r="B140" s="1092" t="s">
        <v>1644</v>
      </c>
      <c r="C140" s="1092">
        <v>9740</v>
      </c>
      <c r="D140" s="1092">
        <v>9710</v>
      </c>
      <c r="E140" s="1092">
        <v>10000</v>
      </c>
      <c r="F140" s="1100">
        <v>2000</v>
      </c>
      <c r="H140" s="1107"/>
    </row>
    <row r="141" spans="1:8" s="1079" customFormat="1" ht="14.25" customHeight="1">
      <c r="A141" s="1087" t="s">
        <v>217</v>
      </c>
      <c r="B141" s="1092" t="s">
        <v>1649</v>
      </c>
      <c r="C141" s="1092">
        <v>9810</v>
      </c>
      <c r="D141" s="1092">
        <v>9770</v>
      </c>
      <c r="E141" s="1092">
        <v>10060</v>
      </c>
      <c r="F141" s="1109"/>
      <c r="H141" s="1107"/>
    </row>
    <row r="142" spans="1:8" s="1079" customFormat="1" ht="14.25" customHeight="1">
      <c r="A142" s="1087" t="s">
        <v>217</v>
      </c>
      <c r="B142" s="1092" t="s">
        <v>1654</v>
      </c>
      <c r="C142" s="1092">
        <v>9300</v>
      </c>
      <c r="D142" s="1092">
        <v>9270</v>
      </c>
      <c r="E142" s="1092">
        <v>9530</v>
      </c>
      <c r="F142" s="1109"/>
      <c r="H142" s="1107"/>
    </row>
    <row r="143" spans="1:8" s="1079" customFormat="1" ht="14.25" customHeight="1">
      <c r="A143" s="1087" t="s">
        <v>217</v>
      </c>
      <c r="B143" s="1092" t="s">
        <v>1659</v>
      </c>
      <c r="C143" s="1092">
        <v>10080</v>
      </c>
      <c r="D143" s="1092">
        <v>10050</v>
      </c>
      <c r="E143" s="1092">
        <v>10340</v>
      </c>
      <c r="F143" s="1109"/>
      <c r="H143" s="1107"/>
    </row>
    <row r="144" spans="1:8" s="1079" customFormat="1" ht="14.25" customHeight="1">
      <c r="A144" s="1087" t="s">
        <v>217</v>
      </c>
      <c r="B144" s="1092" t="s">
        <v>1663</v>
      </c>
      <c r="C144" s="1092">
        <v>9820</v>
      </c>
      <c r="D144" s="1092">
        <v>9750</v>
      </c>
      <c r="E144" s="1092">
        <v>9900</v>
      </c>
      <c r="F144" s="1109"/>
      <c r="H144" s="1107"/>
    </row>
    <row r="145" spans="1:8" s="1079" customFormat="1" ht="14.25" customHeight="1">
      <c r="A145" s="1087" t="s">
        <v>217</v>
      </c>
      <c r="B145" s="1092" t="s">
        <v>1667</v>
      </c>
      <c r="C145" s="1092"/>
      <c r="D145" s="1092"/>
      <c r="E145" s="1092"/>
      <c r="F145" s="1100">
        <v>1740</v>
      </c>
      <c r="H145" s="1107"/>
    </row>
    <row r="146" spans="1:8" s="1079" customFormat="1" ht="14.25" customHeight="1">
      <c r="A146" s="1087" t="s">
        <v>217</v>
      </c>
      <c r="B146" s="1092" t="s">
        <v>1671</v>
      </c>
      <c r="C146" s="1092"/>
      <c r="D146" s="1092"/>
      <c r="E146" s="1092"/>
      <c r="F146" s="1100">
        <v>1740</v>
      </c>
      <c r="H146" s="1107"/>
    </row>
    <row r="147" spans="1:8" s="1079" customFormat="1" ht="14.25" customHeight="1">
      <c r="A147" s="1087" t="s">
        <v>217</v>
      </c>
      <c r="B147" s="1092" t="s">
        <v>1675</v>
      </c>
      <c r="C147" s="1092"/>
      <c r="D147" s="1092"/>
      <c r="E147" s="1092"/>
      <c r="F147" s="1100">
        <v>1740</v>
      </c>
      <c r="H147" s="1107"/>
    </row>
    <row r="148" spans="1:8" s="1079" customFormat="1" ht="14.25" customHeight="1">
      <c r="A148" s="1087" t="s">
        <v>217</v>
      </c>
      <c r="B148" s="1092" t="s">
        <v>1679</v>
      </c>
      <c r="C148" s="1092"/>
      <c r="D148" s="1092"/>
      <c r="E148" s="1092"/>
      <c r="F148" s="1100">
        <v>1740</v>
      </c>
      <c r="H148" s="1107"/>
    </row>
    <row r="149" spans="1:8" s="1079" customFormat="1" ht="14.25" customHeight="1">
      <c r="A149" s="1087" t="s">
        <v>217</v>
      </c>
      <c r="B149" s="1092" t="s">
        <v>1683</v>
      </c>
      <c r="C149" s="1092"/>
      <c r="D149" s="1092"/>
      <c r="E149" s="1092"/>
      <c r="F149" s="1100">
        <v>1740</v>
      </c>
      <c r="H149" s="1107"/>
    </row>
    <row r="150" spans="1:8" s="1079" customFormat="1" ht="14.25" customHeight="1">
      <c r="A150" s="1087" t="s">
        <v>217</v>
      </c>
      <c r="B150" s="1092" t="s">
        <v>1686</v>
      </c>
      <c r="C150" s="1092"/>
      <c r="D150" s="1092"/>
      <c r="E150" s="1092"/>
      <c r="F150" s="1100">
        <v>1610</v>
      </c>
      <c r="H150" s="1107"/>
    </row>
    <row r="151" spans="1:8" s="1079" customFormat="1" ht="14.25" customHeight="1">
      <c r="A151" s="1087" t="s">
        <v>217</v>
      </c>
      <c r="B151" s="1092" t="s">
        <v>1689</v>
      </c>
      <c r="C151" s="1092"/>
      <c r="D151" s="1092"/>
      <c r="E151" s="1092"/>
      <c r="F151" s="1100">
        <v>1610</v>
      </c>
      <c r="H151" s="1107"/>
    </row>
    <row r="152" spans="1:8" s="1079" customFormat="1" ht="14.25" customHeight="1">
      <c r="A152" s="1087" t="s">
        <v>217</v>
      </c>
      <c r="B152" s="1092" t="s">
        <v>1692</v>
      </c>
      <c r="C152" s="1092"/>
      <c r="D152" s="1092"/>
      <c r="E152" s="1092"/>
      <c r="F152" s="1100">
        <v>1610</v>
      </c>
      <c r="H152" s="1107"/>
    </row>
    <row r="153" spans="1:8" s="1079" customFormat="1" ht="14.25" customHeight="1">
      <c r="A153" s="1087" t="s">
        <v>217</v>
      </c>
      <c r="B153" s="1092" t="s">
        <v>1695</v>
      </c>
      <c r="C153" s="1092"/>
      <c r="D153" s="1092"/>
      <c r="E153" s="1092"/>
      <c r="F153" s="1100">
        <v>1610</v>
      </c>
      <c r="H153" s="1107"/>
    </row>
    <row r="154" spans="1:8" s="1079" customFormat="1" ht="14.25" customHeight="1">
      <c r="A154" s="1087" t="s">
        <v>217</v>
      </c>
      <c r="B154" s="1092" t="s">
        <v>1698</v>
      </c>
      <c r="C154" s="1092"/>
      <c r="D154" s="1092"/>
      <c r="E154" s="1092"/>
      <c r="F154" s="1100">
        <v>1610</v>
      </c>
      <c r="H154" s="1107"/>
    </row>
    <row r="155" spans="1:8" s="1079" customFormat="1" ht="14.25" customHeight="1">
      <c r="A155" s="1087" t="s">
        <v>217</v>
      </c>
      <c r="B155" s="1092" t="s">
        <v>1701</v>
      </c>
      <c r="C155" s="1092"/>
      <c r="D155" s="1092"/>
      <c r="E155" s="1092"/>
      <c r="F155" s="1100">
        <v>1800</v>
      </c>
      <c r="H155" s="1107"/>
    </row>
    <row r="156" spans="1:8" s="1079" customFormat="1" ht="14.25" customHeight="1">
      <c r="A156" s="1087" t="s">
        <v>217</v>
      </c>
      <c r="B156" s="1092" t="s">
        <v>1703</v>
      </c>
      <c r="C156" s="1092"/>
      <c r="D156" s="1092"/>
      <c r="E156" s="1092"/>
      <c r="F156" s="1100">
        <v>1910</v>
      </c>
      <c r="H156" s="1107"/>
    </row>
    <row r="157" spans="1:8" s="1079" customFormat="1" ht="14.25" customHeight="1">
      <c r="A157" s="1087" t="s">
        <v>217</v>
      </c>
      <c r="B157" s="1098" t="s">
        <v>1705</v>
      </c>
      <c r="C157" s="1098"/>
      <c r="D157" s="1098"/>
      <c r="E157" s="1098"/>
      <c r="F157" s="1108">
        <v>1500</v>
      </c>
      <c r="H157" s="1107"/>
    </row>
    <row r="158" spans="1:8" s="1079" customFormat="1" ht="14.25" customHeight="1">
      <c r="A158" s="1087" t="s">
        <v>222</v>
      </c>
      <c r="B158" s="1088" t="s">
        <v>1376</v>
      </c>
      <c r="C158" s="1088">
        <v>8170</v>
      </c>
      <c r="D158" s="1088">
        <v>8140</v>
      </c>
      <c r="E158" s="1088">
        <v>8590</v>
      </c>
      <c r="F158" s="1089">
        <v>1450</v>
      </c>
      <c r="H158" s="1107"/>
    </row>
    <row r="159" spans="1:8" s="1079" customFormat="1" ht="14.25" customHeight="1">
      <c r="A159" s="1087" t="s">
        <v>222</v>
      </c>
      <c r="B159" s="1092" t="s">
        <v>1388</v>
      </c>
      <c r="C159" s="1092">
        <v>7410</v>
      </c>
      <c r="D159" s="1092">
        <v>7370</v>
      </c>
      <c r="E159" s="1092">
        <v>8030</v>
      </c>
      <c r="F159" s="1100">
        <v>1510</v>
      </c>
      <c r="H159" s="1107"/>
    </row>
    <row r="160" spans="1:8" s="1079" customFormat="1" ht="14.25" customHeight="1">
      <c r="A160" s="1087" t="s">
        <v>222</v>
      </c>
      <c r="B160" s="1092" t="s">
        <v>1401</v>
      </c>
      <c r="C160" s="1092">
        <v>7240</v>
      </c>
      <c r="D160" s="1092">
        <v>7210</v>
      </c>
      <c r="E160" s="1092">
        <v>7860</v>
      </c>
      <c r="F160" s="1100">
        <v>1370</v>
      </c>
      <c r="H160" s="1107"/>
    </row>
    <row r="161" spans="1:8" s="1079" customFormat="1" ht="14.25" customHeight="1">
      <c r="A161" s="1087" t="s">
        <v>222</v>
      </c>
      <c r="B161" s="1092" t="s">
        <v>1413</v>
      </c>
      <c r="C161" s="1092">
        <v>7720</v>
      </c>
      <c r="D161" s="1092">
        <v>7690</v>
      </c>
      <c r="E161" s="1092">
        <v>8200</v>
      </c>
      <c r="F161" s="1100">
        <v>1190</v>
      </c>
      <c r="H161" s="1107"/>
    </row>
    <row r="162" spans="1:8" s="1079" customFormat="1" ht="14.25" customHeight="1">
      <c r="A162" s="1087" t="s">
        <v>222</v>
      </c>
      <c r="B162" s="1092" t="s">
        <v>1423</v>
      </c>
      <c r="C162" s="1092">
        <v>6900</v>
      </c>
      <c r="D162" s="1092">
        <v>6870</v>
      </c>
      <c r="E162" s="1092">
        <v>7500</v>
      </c>
      <c r="F162" s="1100">
        <v>1390</v>
      </c>
      <c r="H162" s="1107"/>
    </row>
    <row r="163" spans="1:8" s="1079" customFormat="1" ht="14.25" customHeight="1">
      <c r="A163" s="1087" t="s">
        <v>222</v>
      </c>
      <c r="B163" s="1092" t="s">
        <v>1434</v>
      </c>
      <c r="C163" s="1092">
        <v>7120</v>
      </c>
      <c r="D163" s="1092">
        <v>7090</v>
      </c>
      <c r="E163" s="1092">
        <v>7690</v>
      </c>
      <c r="F163" s="1100">
        <v>1230</v>
      </c>
      <c r="H163" s="1107"/>
    </row>
    <row r="164" spans="1:8" s="1079" customFormat="1" ht="14.25" customHeight="1">
      <c r="A164" s="1087" t="s">
        <v>222</v>
      </c>
      <c r="B164" s="1092" t="s">
        <v>1445</v>
      </c>
      <c r="C164" s="1092">
        <v>6560</v>
      </c>
      <c r="D164" s="1092">
        <v>6530</v>
      </c>
      <c r="E164" s="1092">
        <v>7110</v>
      </c>
      <c r="F164" s="1100">
        <v>1340</v>
      </c>
      <c r="H164" s="1107"/>
    </row>
    <row r="165" spans="1:8" s="1079" customFormat="1" ht="14.25" customHeight="1">
      <c r="A165" s="1087" t="s">
        <v>222</v>
      </c>
      <c r="B165" s="1092" t="s">
        <v>1455</v>
      </c>
      <c r="C165" s="1092">
        <v>7450</v>
      </c>
      <c r="D165" s="1092">
        <v>7430</v>
      </c>
      <c r="E165" s="1092">
        <v>8110</v>
      </c>
      <c r="F165" s="1100">
        <v>1290</v>
      </c>
      <c r="H165" s="1107"/>
    </row>
    <row r="166" spans="1:8" s="1079" customFormat="1" ht="14.25" customHeight="1">
      <c r="A166" s="1087" t="s">
        <v>222</v>
      </c>
      <c r="B166" s="1092" t="s">
        <v>1465</v>
      </c>
      <c r="C166" s="1092">
        <v>7490</v>
      </c>
      <c r="D166" s="1092">
        <v>7460</v>
      </c>
      <c r="E166" s="1092">
        <v>8150</v>
      </c>
      <c r="F166" s="1100">
        <v>1350</v>
      </c>
      <c r="H166" s="1107"/>
    </row>
    <row r="167" spans="1:8" s="1079" customFormat="1" ht="14.25" customHeight="1">
      <c r="A167" s="1087" t="s">
        <v>222</v>
      </c>
      <c r="B167" s="1092" t="s">
        <v>1475</v>
      </c>
      <c r="C167" s="1092">
        <v>7540</v>
      </c>
      <c r="D167" s="1092">
        <v>7510</v>
      </c>
      <c r="E167" s="1092">
        <v>8030</v>
      </c>
      <c r="F167" s="1109"/>
      <c r="H167" s="1107"/>
    </row>
    <row r="168" spans="1:8" s="1079" customFormat="1" ht="14.25" customHeight="1">
      <c r="A168" s="1087" t="s">
        <v>222</v>
      </c>
      <c r="B168" s="1092" t="s">
        <v>1485</v>
      </c>
      <c r="C168" s="1092">
        <v>7210</v>
      </c>
      <c r="D168" s="1092">
        <v>7180</v>
      </c>
      <c r="E168" s="1092">
        <v>7830</v>
      </c>
      <c r="F168" s="1109"/>
      <c r="H168" s="1107"/>
    </row>
    <row r="169" spans="1:8" s="1079" customFormat="1" ht="14.25" customHeight="1">
      <c r="A169" s="1087" t="s">
        <v>222</v>
      </c>
      <c r="B169" s="1092" t="s">
        <v>1495</v>
      </c>
      <c r="C169" s="1092">
        <v>7040</v>
      </c>
      <c r="D169" s="1092">
        <v>7020</v>
      </c>
      <c r="E169" s="1092">
        <v>7670</v>
      </c>
      <c r="F169" s="1109"/>
      <c r="H169" s="1107"/>
    </row>
    <row r="170" spans="1:8" s="1079" customFormat="1" ht="14.25" customHeight="1">
      <c r="A170" s="1087" t="s">
        <v>222</v>
      </c>
      <c r="B170" s="1092" t="s">
        <v>1505</v>
      </c>
      <c r="C170" s="1092">
        <v>8040</v>
      </c>
      <c r="D170" s="1092">
        <v>7190</v>
      </c>
      <c r="E170" s="1092">
        <v>7850</v>
      </c>
      <c r="F170" s="1109"/>
      <c r="H170" s="1107"/>
    </row>
    <row r="171" spans="1:8" s="1079" customFormat="1" ht="14.25" customHeight="1">
      <c r="A171" s="1087" t="s">
        <v>222</v>
      </c>
      <c r="B171" s="1092" t="s">
        <v>1515</v>
      </c>
      <c r="C171" s="1092">
        <v>7860</v>
      </c>
      <c r="D171" s="1092">
        <v>7720</v>
      </c>
      <c r="E171" s="1092">
        <v>8150</v>
      </c>
      <c r="F171" s="1100">
        <v>1110</v>
      </c>
      <c r="H171" s="1107"/>
    </row>
    <row r="172" spans="1:8" s="1079" customFormat="1" ht="14.25" customHeight="1">
      <c r="A172" s="1087" t="s">
        <v>222</v>
      </c>
      <c r="B172" s="1092" t="s">
        <v>1525</v>
      </c>
      <c r="C172" s="1092">
        <v>7210</v>
      </c>
      <c r="D172" s="1092">
        <v>7170</v>
      </c>
      <c r="E172" s="1092">
        <v>7320</v>
      </c>
      <c r="F172" s="1109"/>
      <c r="H172" s="1107"/>
    </row>
    <row r="173" spans="1:8" s="1079" customFormat="1" ht="14.25" customHeight="1">
      <c r="A173" s="1087" t="s">
        <v>222</v>
      </c>
      <c r="B173" s="1092" t="s">
        <v>1535</v>
      </c>
      <c r="C173" s="1092">
        <v>6860</v>
      </c>
      <c r="D173" s="1092">
        <v>6810</v>
      </c>
      <c r="E173" s="1092">
        <v>7440</v>
      </c>
      <c r="F173" s="1109"/>
      <c r="H173" s="1107"/>
    </row>
    <row r="174" spans="1:8" s="1079" customFormat="1" ht="14.25" customHeight="1">
      <c r="A174" s="1087" t="s">
        <v>222</v>
      </c>
      <c r="B174" s="1092" t="s">
        <v>1545</v>
      </c>
      <c r="C174" s="1092">
        <v>7120</v>
      </c>
      <c r="D174" s="1092">
        <v>7090</v>
      </c>
      <c r="E174" s="1092">
        <v>7500</v>
      </c>
      <c r="F174" s="1100">
        <v>1490</v>
      </c>
      <c r="H174" s="1107"/>
    </row>
    <row r="175" spans="1:8" s="1079" customFormat="1" ht="14.25" customHeight="1">
      <c r="A175" s="1087" t="s">
        <v>222</v>
      </c>
      <c r="B175" s="1092" t="s">
        <v>1555</v>
      </c>
      <c r="C175" s="1092">
        <v>7850</v>
      </c>
      <c r="D175" s="1092">
        <v>7820</v>
      </c>
      <c r="E175" s="1092">
        <v>8120</v>
      </c>
      <c r="F175" s="1100">
        <v>1530</v>
      </c>
      <c r="H175" s="1107"/>
    </row>
    <row r="176" spans="1:8" s="1079" customFormat="1" ht="14.25" customHeight="1">
      <c r="A176" s="1087" t="s">
        <v>222</v>
      </c>
      <c r="B176" s="1092" t="s">
        <v>1565</v>
      </c>
      <c r="C176" s="1092">
        <v>7620</v>
      </c>
      <c r="D176" s="1092">
        <v>7570</v>
      </c>
      <c r="E176" s="1092">
        <v>7990</v>
      </c>
      <c r="F176" s="1100">
        <v>1480</v>
      </c>
      <c r="H176" s="1107"/>
    </row>
    <row r="177" spans="1:8" s="1079" customFormat="1" ht="14.25" customHeight="1">
      <c r="A177" s="1087" t="s">
        <v>222</v>
      </c>
      <c r="B177" s="1092" t="s">
        <v>1574</v>
      </c>
      <c r="C177" s="1092">
        <v>8590</v>
      </c>
      <c r="D177" s="1092">
        <v>8570</v>
      </c>
      <c r="E177" s="1092">
        <v>8740</v>
      </c>
      <c r="F177" s="1100">
        <v>1540</v>
      </c>
      <c r="H177" s="1107"/>
    </row>
    <row r="178" spans="1:8" s="1079" customFormat="1" ht="14.25" customHeight="1">
      <c r="A178" s="1087" t="s">
        <v>222</v>
      </c>
      <c r="B178" s="1092" t="s">
        <v>1582</v>
      </c>
      <c r="C178" s="1092">
        <v>7510</v>
      </c>
      <c r="D178" s="1092">
        <v>7470</v>
      </c>
      <c r="E178" s="1092">
        <v>8090</v>
      </c>
      <c r="F178" s="1100">
        <v>1320</v>
      </c>
      <c r="H178" s="1107"/>
    </row>
    <row r="179" spans="1:8" s="1079" customFormat="1" ht="14.25" customHeight="1">
      <c r="A179" s="1087" t="s">
        <v>222</v>
      </c>
      <c r="B179" s="1092" t="s">
        <v>1590</v>
      </c>
      <c r="C179" s="1092">
        <v>6380</v>
      </c>
      <c r="D179" s="1092">
        <v>6340</v>
      </c>
      <c r="E179" s="1092">
        <v>6810</v>
      </c>
      <c r="F179" s="1109"/>
      <c r="H179" s="1107"/>
    </row>
    <row r="180" spans="1:8" s="1079" customFormat="1" ht="14.25" customHeight="1">
      <c r="A180" s="1087" t="s">
        <v>222</v>
      </c>
      <c r="B180" s="1092" t="s">
        <v>1597</v>
      </c>
      <c r="C180" s="1092">
        <v>7830</v>
      </c>
      <c r="D180" s="1092">
        <v>7800</v>
      </c>
      <c r="E180" s="1092">
        <v>7780</v>
      </c>
      <c r="F180" s="1100">
        <v>1440</v>
      </c>
      <c r="H180" s="1107"/>
    </row>
    <row r="181" spans="1:8" s="1079" customFormat="1" ht="14.25" customHeight="1">
      <c r="A181" s="1087" t="s">
        <v>222</v>
      </c>
      <c r="B181" s="1092" t="s">
        <v>1604</v>
      </c>
      <c r="C181" s="1092">
        <v>7110</v>
      </c>
      <c r="D181" s="1092">
        <v>7080</v>
      </c>
      <c r="E181" s="1092">
        <v>7730</v>
      </c>
      <c r="F181" s="1100">
        <v>1350</v>
      </c>
      <c r="H181" s="1107"/>
    </row>
    <row r="182" spans="1:8" s="1079" customFormat="1" ht="14.25" customHeight="1">
      <c r="A182" s="1087" t="s">
        <v>222</v>
      </c>
      <c r="B182" s="1092" t="s">
        <v>1611</v>
      </c>
      <c r="C182" s="1092">
        <v>7310</v>
      </c>
      <c r="D182" s="1092">
        <v>7280</v>
      </c>
      <c r="E182" s="1092">
        <v>7950</v>
      </c>
      <c r="F182" s="1100">
        <v>1220</v>
      </c>
      <c r="H182" s="1107"/>
    </row>
    <row r="183" spans="1:8" s="1079" customFormat="1" ht="14.25" customHeight="1">
      <c r="A183" s="1087" t="s">
        <v>222</v>
      </c>
      <c r="B183" s="1092" t="s">
        <v>1618</v>
      </c>
      <c r="C183" s="1092">
        <v>7470</v>
      </c>
      <c r="D183" s="1092">
        <v>7440</v>
      </c>
      <c r="E183" s="1092">
        <v>7880</v>
      </c>
      <c r="F183" s="1109"/>
      <c r="H183" s="1107"/>
    </row>
    <row r="184" spans="1:8" s="1079" customFormat="1" ht="14.25" customHeight="1">
      <c r="A184" s="1087" t="s">
        <v>222</v>
      </c>
      <c r="B184" s="1092" t="s">
        <v>1625</v>
      </c>
      <c r="C184" s="1092">
        <v>6960</v>
      </c>
      <c r="D184" s="1092">
        <v>6930</v>
      </c>
      <c r="E184" s="1092">
        <v>7570</v>
      </c>
      <c r="F184" s="1109"/>
      <c r="H184" s="1107"/>
    </row>
    <row r="185" spans="1:8" s="1079" customFormat="1" ht="14.25" customHeight="1">
      <c r="A185" s="1087" t="s">
        <v>222</v>
      </c>
      <c r="B185" s="1092" t="s">
        <v>1630</v>
      </c>
      <c r="C185" s="1092">
        <v>7260</v>
      </c>
      <c r="D185" s="1092">
        <v>7230</v>
      </c>
      <c r="E185" s="1092">
        <v>7710</v>
      </c>
      <c r="F185" s="1100">
        <v>1360</v>
      </c>
      <c r="H185" s="1107"/>
    </row>
    <row r="186" spans="1:8" s="1079" customFormat="1" ht="14.25" customHeight="1">
      <c r="A186" s="1087" t="s">
        <v>222</v>
      </c>
      <c r="B186" s="1092" t="s">
        <v>1635</v>
      </c>
      <c r="C186" s="1092"/>
      <c r="D186" s="1092"/>
      <c r="E186" s="1092"/>
      <c r="F186" s="1100">
        <v>1560</v>
      </c>
      <c r="H186" s="1107"/>
    </row>
    <row r="187" spans="1:8" s="1079" customFormat="1" ht="14.25" customHeight="1">
      <c r="A187" s="1087" t="s">
        <v>222</v>
      </c>
      <c r="B187" s="1092" t="s">
        <v>1640</v>
      </c>
      <c r="C187" s="1092"/>
      <c r="D187" s="1092"/>
      <c r="E187" s="1092"/>
      <c r="F187" s="1100">
        <v>1560</v>
      </c>
      <c r="H187" s="1107"/>
    </row>
    <row r="188" spans="1:8" s="1079" customFormat="1" ht="14.25" customHeight="1">
      <c r="A188" s="1087" t="s">
        <v>222</v>
      </c>
      <c r="B188" s="1092" t="s">
        <v>1645</v>
      </c>
      <c r="C188" s="1092"/>
      <c r="D188" s="1092"/>
      <c r="E188" s="1092"/>
      <c r="F188" s="1100">
        <v>1560</v>
      </c>
      <c r="H188" s="1107"/>
    </row>
    <row r="189" spans="1:8" s="1079" customFormat="1" ht="14.25" customHeight="1">
      <c r="A189" s="1087" t="s">
        <v>222</v>
      </c>
      <c r="B189" s="1092" t="s">
        <v>1650</v>
      </c>
      <c r="C189" s="1092"/>
      <c r="D189" s="1092"/>
      <c r="E189" s="1092"/>
      <c r="F189" s="1100">
        <v>1320</v>
      </c>
      <c r="H189" s="1107"/>
    </row>
    <row r="190" spans="1:8" s="1079" customFormat="1" ht="14.25" customHeight="1">
      <c r="A190" s="1087" t="s">
        <v>222</v>
      </c>
      <c r="B190" s="1092" t="s">
        <v>1655</v>
      </c>
      <c r="C190" s="1092"/>
      <c r="D190" s="1092"/>
      <c r="E190" s="1092"/>
      <c r="F190" s="1100">
        <v>1320</v>
      </c>
      <c r="H190" s="1107"/>
    </row>
    <row r="191" spans="1:8" s="1079" customFormat="1" ht="14.25" customHeight="1">
      <c r="A191" s="1087" t="s">
        <v>222</v>
      </c>
      <c r="B191" s="1092" t="s">
        <v>1660</v>
      </c>
      <c r="C191" s="1092"/>
      <c r="D191" s="1092"/>
      <c r="E191" s="1092"/>
      <c r="F191" s="1100">
        <v>1320</v>
      </c>
      <c r="H191" s="1107"/>
    </row>
    <row r="192" spans="1:8" s="1079" customFormat="1" ht="14.25" customHeight="1">
      <c r="A192" s="1087" t="s">
        <v>222</v>
      </c>
      <c r="B192" s="1092" t="s">
        <v>1664</v>
      </c>
      <c r="C192" s="1092"/>
      <c r="D192" s="1092"/>
      <c r="E192" s="1092"/>
      <c r="F192" s="1100">
        <v>1100</v>
      </c>
      <c r="H192" s="1107"/>
    </row>
    <row r="193" spans="1:8" s="1079" customFormat="1" ht="14.25" customHeight="1">
      <c r="A193" s="1087" t="s">
        <v>222</v>
      </c>
      <c r="B193" s="1092" t="s">
        <v>1668</v>
      </c>
      <c r="C193" s="1092"/>
      <c r="D193" s="1092"/>
      <c r="E193" s="1092"/>
      <c r="F193" s="1100">
        <v>1100</v>
      </c>
      <c r="H193" s="1107"/>
    </row>
    <row r="194" spans="1:8" s="1079" customFormat="1" ht="14.25" customHeight="1">
      <c r="A194" s="1087" t="s">
        <v>222</v>
      </c>
      <c r="B194" s="1092" t="s">
        <v>1672</v>
      </c>
      <c r="C194" s="1092"/>
      <c r="D194" s="1092"/>
      <c r="E194" s="1092"/>
      <c r="F194" s="1100">
        <v>1080</v>
      </c>
      <c r="H194" s="1107"/>
    </row>
    <row r="195" spans="1:8" s="1079" customFormat="1" ht="14.25" customHeight="1">
      <c r="A195" s="1087" t="s">
        <v>222</v>
      </c>
      <c r="B195" s="1092" t="s">
        <v>1676</v>
      </c>
      <c r="C195" s="1092"/>
      <c r="D195" s="1092"/>
      <c r="E195" s="1092"/>
      <c r="F195" s="1100">
        <v>1270</v>
      </c>
      <c r="H195" s="1107"/>
    </row>
    <row r="196" spans="1:8" s="1079" customFormat="1" ht="14.25" customHeight="1">
      <c r="A196" s="1087" t="s">
        <v>222</v>
      </c>
      <c r="B196" s="1092" t="s">
        <v>1680</v>
      </c>
      <c r="C196" s="1092"/>
      <c r="D196" s="1092"/>
      <c r="E196" s="1092"/>
      <c r="F196" s="1100">
        <v>1150</v>
      </c>
      <c r="H196" s="1107"/>
    </row>
    <row r="197" spans="1:8" s="1079" customFormat="1" ht="14.25" customHeight="1">
      <c r="A197" s="1087" t="s">
        <v>222</v>
      </c>
      <c r="B197" s="1092" t="s">
        <v>1684</v>
      </c>
      <c r="C197" s="1092"/>
      <c r="D197" s="1092"/>
      <c r="E197" s="1092"/>
      <c r="F197" s="1100">
        <v>1330</v>
      </c>
      <c r="H197" s="1107"/>
    </row>
    <row r="198" spans="1:8" s="1079" customFormat="1" ht="14.25" customHeight="1">
      <c r="A198" s="1087" t="s">
        <v>222</v>
      </c>
      <c r="B198" s="1092" t="s">
        <v>1687</v>
      </c>
      <c r="C198" s="1092"/>
      <c r="D198" s="1092"/>
      <c r="E198" s="1092"/>
      <c r="F198" s="1100">
        <v>1170</v>
      </c>
      <c r="H198" s="1107"/>
    </row>
    <row r="199" spans="1:8" s="1079" customFormat="1" ht="14.25" customHeight="1">
      <c r="A199" s="1087" t="s">
        <v>222</v>
      </c>
      <c r="B199" s="1092" t="s">
        <v>1690</v>
      </c>
      <c r="C199" s="1092"/>
      <c r="D199" s="1092"/>
      <c r="E199" s="1092"/>
      <c r="F199" s="1100">
        <v>1120</v>
      </c>
      <c r="H199" s="1107"/>
    </row>
    <row r="200" spans="1:8" s="1079" customFormat="1" ht="14.25" customHeight="1">
      <c r="A200" s="1087" t="s">
        <v>222</v>
      </c>
      <c r="B200" s="1092" t="s">
        <v>1693</v>
      </c>
      <c r="C200" s="1092"/>
      <c r="D200" s="1092"/>
      <c r="E200" s="1092"/>
      <c r="F200" s="1100">
        <v>1120</v>
      </c>
      <c r="H200" s="1107"/>
    </row>
    <row r="201" spans="1:8" s="1079" customFormat="1" ht="14.25" customHeight="1">
      <c r="A201" s="1087" t="s">
        <v>222</v>
      </c>
      <c r="B201" s="1092" t="s">
        <v>1696</v>
      </c>
      <c r="C201" s="1092"/>
      <c r="D201" s="1092"/>
      <c r="E201" s="1092"/>
      <c r="F201" s="1100">
        <v>1540</v>
      </c>
      <c r="H201" s="1107"/>
    </row>
    <row r="202" spans="1:8" s="1079" customFormat="1" ht="14.25" customHeight="1">
      <c r="A202" s="1087" t="s">
        <v>222</v>
      </c>
      <c r="B202" s="1092" t="s">
        <v>1699</v>
      </c>
      <c r="C202" s="1092"/>
      <c r="D202" s="1092"/>
      <c r="E202" s="1092"/>
      <c r="F202" s="1100">
        <v>1310</v>
      </c>
      <c r="H202" s="1107"/>
    </row>
    <row r="203" spans="1:8" s="1079" customFormat="1" ht="14.25" customHeight="1">
      <c r="A203" s="1087" t="s">
        <v>222</v>
      </c>
      <c r="B203" s="1092" t="s">
        <v>1702</v>
      </c>
      <c r="C203" s="1092"/>
      <c r="D203" s="1092"/>
      <c r="E203" s="1092"/>
      <c r="F203" s="1100">
        <v>1310</v>
      </c>
      <c r="H203" s="1107"/>
    </row>
    <row r="204" spans="1:8" s="1079" customFormat="1" ht="14.25" customHeight="1">
      <c r="A204" s="1087" t="s">
        <v>222</v>
      </c>
      <c r="B204" s="1092" t="s">
        <v>1704</v>
      </c>
      <c r="C204" s="1092"/>
      <c r="D204" s="1092"/>
      <c r="E204" s="1092"/>
      <c r="F204" s="1100">
        <v>1080</v>
      </c>
      <c r="H204" s="1107"/>
    </row>
    <row r="205" spans="1:8" s="1079" customFormat="1" ht="14.25" customHeight="1">
      <c r="A205" s="1087" t="s">
        <v>222</v>
      </c>
      <c r="B205" s="1092" t="s">
        <v>1706</v>
      </c>
      <c r="C205" s="1092"/>
      <c r="D205" s="1092"/>
      <c r="E205" s="1092"/>
      <c r="F205" s="1100">
        <v>1080</v>
      </c>
      <c r="H205" s="1107"/>
    </row>
    <row r="206" spans="1:8" s="1079" customFormat="1" ht="14.25" customHeight="1">
      <c r="A206" s="1087" t="s">
        <v>227</v>
      </c>
      <c r="B206" s="1088" t="s">
        <v>1377</v>
      </c>
      <c r="C206" s="1088">
        <v>5450</v>
      </c>
      <c r="D206" s="1088">
        <v>5430</v>
      </c>
      <c r="E206" s="1088">
        <v>5700</v>
      </c>
      <c r="F206" s="1089">
        <v>1020</v>
      </c>
      <c r="H206" s="1107"/>
    </row>
    <row r="207" spans="1:8" s="1079" customFormat="1" ht="14.25" customHeight="1">
      <c r="A207" s="1087" t="s">
        <v>227</v>
      </c>
      <c r="B207" s="1092" t="s">
        <v>1389</v>
      </c>
      <c r="C207" s="1092">
        <v>5860</v>
      </c>
      <c r="D207" s="1092">
        <v>5820</v>
      </c>
      <c r="E207" s="1092">
        <v>6050</v>
      </c>
      <c r="F207" s="1100">
        <v>1080</v>
      </c>
      <c r="H207" s="1107"/>
    </row>
    <row r="208" spans="1:8" s="1079" customFormat="1" ht="14.25" customHeight="1">
      <c r="A208" s="1087" t="s">
        <v>227</v>
      </c>
      <c r="B208" s="1092" t="s">
        <v>1402</v>
      </c>
      <c r="C208" s="1092">
        <v>4630</v>
      </c>
      <c r="D208" s="1092">
        <v>4600</v>
      </c>
      <c r="E208" s="1092">
        <v>4840</v>
      </c>
      <c r="F208" s="1100">
        <v>900</v>
      </c>
      <c r="H208" s="1107"/>
    </row>
    <row r="209" spans="1:8" s="1079" customFormat="1" ht="14.25" customHeight="1">
      <c r="A209" s="1087" t="s">
        <v>227</v>
      </c>
      <c r="B209" s="1092" t="s">
        <v>1414</v>
      </c>
      <c r="C209" s="1092">
        <v>5320</v>
      </c>
      <c r="D209" s="1092">
        <v>5270</v>
      </c>
      <c r="E209" s="1092">
        <v>5540</v>
      </c>
      <c r="F209" s="1100">
        <v>980</v>
      </c>
      <c r="H209" s="1107"/>
    </row>
    <row r="210" spans="1:8" s="1079" customFormat="1" ht="14.25" customHeight="1">
      <c r="A210" s="1087" t="s">
        <v>227</v>
      </c>
      <c r="B210" s="1092" t="s">
        <v>1424</v>
      </c>
      <c r="C210" s="1092">
        <v>5760</v>
      </c>
      <c r="D210" s="1092">
        <v>5710</v>
      </c>
      <c r="E210" s="1092">
        <v>6010</v>
      </c>
      <c r="F210" s="1100">
        <v>870</v>
      </c>
      <c r="H210" s="1107"/>
    </row>
    <row r="211" spans="1:8" s="1079" customFormat="1" ht="14.25" customHeight="1">
      <c r="A211" s="1087" t="s">
        <v>227</v>
      </c>
      <c r="B211" s="1092" t="s">
        <v>1435</v>
      </c>
      <c r="C211" s="1092">
        <v>4160</v>
      </c>
      <c r="D211" s="1092">
        <v>4100</v>
      </c>
      <c r="E211" s="1092">
        <v>4270</v>
      </c>
      <c r="F211" s="1100">
        <v>790</v>
      </c>
      <c r="H211" s="1107"/>
    </row>
    <row r="212" spans="1:8" s="1079" customFormat="1" ht="14.25" customHeight="1">
      <c r="A212" s="1087" t="s">
        <v>227</v>
      </c>
      <c r="B212" s="1092" t="s">
        <v>1446</v>
      </c>
      <c r="C212" s="1092">
        <v>4880</v>
      </c>
      <c r="D212" s="1092">
        <v>4850</v>
      </c>
      <c r="E212" s="1092">
        <v>5110</v>
      </c>
      <c r="F212" s="1100">
        <v>940</v>
      </c>
      <c r="H212" s="1107"/>
    </row>
    <row r="213" spans="1:8" s="1079" customFormat="1" ht="14.25" customHeight="1">
      <c r="A213" s="1087" t="s">
        <v>227</v>
      </c>
      <c r="B213" s="1092" t="s">
        <v>1456</v>
      </c>
      <c r="C213" s="1092">
        <v>4640</v>
      </c>
      <c r="D213" s="1092">
        <v>4590</v>
      </c>
      <c r="E213" s="1092">
        <v>4700</v>
      </c>
      <c r="F213" s="1100">
        <v>1030</v>
      </c>
      <c r="H213" s="1107"/>
    </row>
    <row r="214" spans="1:8" s="1079" customFormat="1" ht="14.25" customHeight="1">
      <c r="A214" s="1087" t="s">
        <v>227</v>
      </c>
      <c r="B214" s="1092" t="s">
        <v>1466</v>
      </c>
      <c r="C214" s="1092">
        <v>4540</v>
      </c>
      <c r="D214" s="1092">
        <v>4490</v>
      </c>
      <c r="E214" s="1092">
        <v>4610</v>
      </c>
      <c r="F214" s="1109"/>
      <c r="H214" s="1107"/>
    </row>
    <row r="215" spans="1:8" s="1079" customFormat="1" ht="14.25" customHeight="1">
      <c r="A215" s="1087" t="s">
        <v>227</v>
      </c>
      <c r="B215" s="1092" t="s">
        <v>1476</v>
      </c>
      <c r="C215" s="1092">
        <v>5280</v>
      </c>
      <c r="D215" s="1092">
        <v>5250</v>
      </c>
      <c r="E215" s="1092">
        <v>5520</v>
      </c>
      <c r="F215" s="1100">
        <v>1000</v>
      </c>
      <c r="H215" s="1107"/>
    </row>
    <row r="216" spans="1:8" s="1079" customFormat="1" ht="14.25" customHeight="1">
      <c r="A216" s="1087" t="s">
        <v>227</v>
      </c>
      <c r="B216" s="1092" t="s">
        <v>1486</v>
      </c>
      <c r="C216" s="1092">
        <v>5100</v>
      </c>
      <c r="D216" s="1092">
        <v>5050</v>
      </c>
      <c r="E216" s="1092">
        <v>5300</v>
      </c>
      <c r="F216" s="1100">
        <v>950</v>
      </c>
      <c r="H216" s="1107"/>
    </row>
    <row r="217" spans="1:8" s="1079" customFormat="1" ht="14.25" customHeight="1">
      <c r="A217" s="1087" t="s">
        <v>227</v>
      </c>
      <c r="B217" s="1092" t="s">
        <v>1496</v>
      </c>
      <c r="C217" s="1092">
        <v>5370</v>
      </c>
      <c r="D217" s="1092">
        <v>5320</v>
      </c>
      <c r="E217" s="1092">
        <v>5410</v>
      </c>
      <c r="F217" s="1100">
        <v>950</v>
      </c>
      <c r="H217" s="1107"/>
    </row>
    <row r="218" spans="1:8" s="1079" customFormat="1" ht="14.25" customHeight="1">
      <c r="A218" s="1087" t="s">
        <v>227</v>
      </c>
      <c r="B218" s="1092" t="s">
        <v>1506</v>
      </c>
      <c r="C218" s="1092">
        <v>5540</v>
      </c>
      <c r="D218" s="1092">
        <v>5480</v>
      </c>
      <c r="E218" s="1092">
        <v>5740</v>
      </c>
      <c r="F218" s="1100">
        <v>1020</v>
      </c>
      <c r="H218" s="1107"/>
    </row>
    <row r="219" spans="1:8" s="1079" customFormat="1" ht="14.25" customHeight="1">
      <c r="A219" s="1087" t="s">
        <v>227</v>
      </c>
      <c r="B219" s="1092" t="s">
        <v>1516</v>
      </c>
      <c r="C219" s="1092">
        <v>5140</v>
      </c>
      <c r="D219" s="1092">
        <v>5100</v>
      </c>
      <c r="E219" s="1092">
        <v>5350</v>
      </c>
      <c r="F219" s="1100">
        <v>1120</v>
      </c>
      <c r="H219" s="1107"/>
    </row>
    <row r="220" spans="1:8" s="1079" customFormat="1" ht="14.25" customHeight="1">
      <c r="A220" s="1087" t="s">
        <v>227</v>
      </c>
      <c r="B220" s="1092" t="s">
        <v>1526</v>
      </c>
      <c r="C220" s="1092">
        <v>5040</v>
      </c>
      <c r="D220" s="1092">
        <v>5000</v>
      </c>
      <c r="E220" s="1092">
        <v>5240</v>
      </c>
      <c r="F220" s="1100">
        <v>980</v>
      </c>
      <c r="H220" s="1107"/>
    </row>
    <row r="221" spans="1:8" s="1079" customFormat="1" ht="14.25" customHeight="1">
      <c r="A221" s="1087" t="s">
        <v>227</v>
      </c>
      <c r="B221" s="1092" t="s">
        <v>1536</v>
      </c>
      <c r="C221" s="1114"/>
      <c r="D221" s="1114"/>
      <c r="E221" s="1114"/>
      <c r="F221" s="1100">
        <v>1070</v>
      </c>
      <c r="H221" s="1107"/>
    </row>
    <row r="222" spans="1:8" s="1079" customFormat="1" ht="14.25" customHeight="1">
      <c r="A222" s="1087" t="s">
        <v>227</v>
      </c>
      <c r="B222" s="1092" t="s">
        <v>1546</v>
      </c>
      <c r="C222" s="1114"/>
      <c r="D222" s="1114"/>
      <c r="E222" s="1114"/>
      <c r="F222" s="1100">
        <v>870</v>
      </c>
      <c r="H222" s="1107"/>
    </row>
    <row r="223" spans="1:8" s="1079" customFormat="1" ht="14.25" customHeight="1">
      <c r="A223" s="1087" t="s">
        <v>227</v>
      </c>
      <c r="B223" s="1092" t="s">
        <v>1556</v>
      </c>
      <c r="C223" s="1114"/>
      <c r="D223" s="1114"/>
      <c r="E223" s="1114"/>
      <c r="F223" s="1100">
        <v>940</v>
      </c>
      <c r="H223" s="1107"/>
    </row>
    <row r="224" spans="1:8" s="1079" customFormat="1" ht="14.25" customHeight="1">
      <c r="A224" s="1087" t="s">
        <v>227</v>
      </c>
      <c r="B224" s="1092" t="s">
        <v>1566</v>
      </c>
      <c r="C224" s="1114"/>
      <c r="D224" s="1114"/>
      <c r="E224" s="1114"/>
      <c r="F224" s="1100">
        <v>990</v>
      </c>
      <c r="H224" s="1107"/>
    </row>
    <row r="225" spans="1:8" s="1079" customFormat="1" ht="14.25" customHeight="1">
      <c r="A225" s="1087" t="s">
        <v>227</v>
      </c>
      <c r="B225" s="1092" t="s">
        <v>1575</v>
      </c>
      <c r="C225" s="1092">
        <v>5730</v>
      </c>
      <c r="D225" s="1092">
        <v>5680</v>
      </c>
      <c r="E225" s="1092">
        <v>6020</v>
      </c>
      <c r="F225" s="1100">
        <v>1000</v>
      </c>
      <c r="H225" s="1107"/>
    </row>
    <row r="226" spans="1:8" s="1079" customFormat="1" ht="14.25" customHeight="1">
      <c r="A226" s="1087" t="s">
        <v>227</v>
      </c>
      <c r="B226" s="1092" t="s">
        <v>1583</v>
      </c>
      <c r="C226" s="1092">
        <v>4970</v>
      </c>
      <c r="D226" s="1092">
        <v>4940</v>
      </c>
      <c r="E226" s="1092">
        <v>5180</v>
      </c>
      <c r="F226" s="1100">
        <v>960</v>
      </c>
      <c r="H226" s="1107"/>
    </row>
    <row r="227" spans="1:8" s="1079" customFormat="1" ht="14.25" customHeight="1">
      <c r="A227" s="1087" t="s">
        <v>227</v>
      </c>
      <c r="B227" s="1092" t="s">
        <v>1591</v>
      </c>
      <c r="C227" s="1092">
        <v>5550</v>
      </c>
      <c r="D227" s="1092">
        <v>5500</v>
      </c>
      <c r="E227" s="1092">
        <v>5780</v>
      </c>
      <c r="F227" s="1100">
        <v>940</v>
      </c>
      <c r="H227" s="1107"/>
    </row>
    <row r="228" spans="1:8" s="1079" customFormat="1" ht="14.25" customHeight="1">
      <c r="A228" s="1087" t="s">
        <v>227</v>
      </c>
      <c r="B228" s="1092" t="s">
        <v>1598</v>
      </c>
      <c r="C228" s="1092">
        <v>5460</v>
      </c>
      <c r="D228" s="1092">
        <v>5420</v>
      </c>
      <c r="E228" s="1092">
        <v>5690</v>
      </c>
      <c r="F228" s="1100">
        <v>910</v>
      </c>
      <c r="H228" s="1107"/>
    </row>
    <row r="229" spans="1:8" s="1079" customFormat="1" ht="14.25" customHeight="1">
      <c r="A229" s="1087" t="s">
        <v>227</v>
      </c>
      <c r="B229" s="1092" t="s">
        <v>1605</v>
      </c>
      <c r="C229" s="1092">
        <v>5310</v>
      </c>
      <c r="D229" s="1092">
        <v>5270</v>
      </c>
      <c r="E229" s="1092">
        <v>5510</v>
      </c>
      <c r="F229" s="1109"/>
      <c r="H229" s="1107"/>
    </row>
    <row r="230" spans="1:8" s="1079" customFormat="1" ht="14.25" customHeight="1">
      <c r="A230" s="1087" t="s">
        <v>227</v>
      </c>
      <c r="B230" s="1092" t="s">
        <v>1612</v>
      </c>
      <c r="C230" s="1092">
        <v>4540</v>
      </c>
      <c r="D230" s="1092">
        <v>4500</v>
      </c>
      <c r="E230" s="1092">
        <v>4730</v>
      </c>
      <c r="F230" s="1109"/>
      <c r="H230" s="1107"/>
    </row>
    <row r="231" spans="1:8" s="1079" customFormat="1" ht="14.25" customHeight="1">
      <c r="A231" s="1087" t="s">
        <v>227</v>
      </c>
      <c r="B231" s="1092" t="s">
        <v>1619</v>
      </c>
      <c r="C231" s="1092">
        <v>4480</v>
      </c>
      <c r="D231" s="1092">
        <v>4410</v>
      </c>
      <c r="E231" s="1092">
        <v>4640</v>
      </c>
      <c r="F231" s="1109"/>
      <c r="H231" s="1107"/>
    </row>
    <row r="232" spans="1:8" s="1079" customFormat="1" ht="14.25" customHeight="1">
      <c r="A232" s="1087" t="s">
        <v>227</v>
      </c>
      <c r="B232" s="1092" t="s">
        <v>1626</v>
      </c>
      <c r="C232" s="1092">
        <v>5670</v>
      </c>
      <c r="D232" s="1092">
        <v>5600</v>
      </c>
      <c r="E232" s="1092">
        <v>5890</v>
      </c>
      <c r="F232" s="1100">
        <v>1150</v>
      </c>
      <c r="H232" s="1107"/>
    </row>
    <row r="233" spans="1:8" s="1079" customFormat="1" ht="14.25" customHeight="1">
      <c r="A233" s="1087" t="s">
        <v>227</v>
      </c>
      <c r="B233" s="1092" t="s">
        <v>1631</v>
      </c>
      <c r="C233" s="1092">
        <v>4590</v>
      </c>
      <c r="D233" s="1092">
        <v>4500</v>
      </c>
      <c r="E233" s="1092">
        <v>4600</v>
      </c>
      <c r="F233" s="1109"/>
      <c r="H233" s="1107"/>
    </row>
    <row r="234" spans="1:8" s="1079" customFormat="1" ht="14.25" customHeight="1">
      <c r="A234" s="1087" t="s">
        <v>227</v>
      </c>
      <c r="B234" s="1092" t="s">
        <v>1636</v>
      </c>
      <c r="C234" s="1092">
        <v>3990</v>
      </c>
      <c r="D234" s="1092">
        <v>3950</v>
      </c>
      <c r="E234" s="1092">
        <v>4180</v>
      </c>
      <c r="F234" s="1109"/>
      <c r="H234" s="1107"/>
    </row>
    <row r="235" spans="1:8" s="1079" customFormat="1" ht="14.25" customHeight="1">
      <c r="A235" s="1087" t="s">
        <v>227</v>
      </c>
      <c r="B235" s="1092" t="s">
        <v>1641</v>
      </c>
      <c r="C235" s="1092">
        <v>5590</v>
      </c>
      <c r="D235" s="1092">
        <v>5540</v>
      </c>
      <c r="E235" s="1092">
        <v>5810</v>
      </c>
      <c r="F235" s="1100">
        <v>970</v>
      </c>
      <c r="H235" s="1107"/>
    </row>
    <row r="236" spans="1:8" s="1079" customFormat="1" ht="14.25" customHeight="1">
      <c r="A236" s="1087" t="s">
        <v>227</v>
      </c>
      <c r="B236" s="1092" t="s">
        <v>1646</v>
      </c>
      <c r="C236" s="1092"/>
      <c r="D236" s="1092"/>
      <c r="E236" s="1092"/>
      <c r="F236" s="1100">
        <v>1020</v>
      </c>
      <c r="H236" s="1107"/>
    </row>
    <row r="237" spans="1:8" s="1079" customFormat="1" ht="14.25" customHeight="1">
      <c r="A237" s="1087" t="s">
        <v>227</v>
      </c>
      <c r="B237" s="1092" t="s">
        <v>1651</v>
      </c>
      <c r="C237" s="1092"/>
      <c r="D237" s="1092"/>
      <c r="E237" s="1092"/>
      <c r="F237" s="1100">
        <v>960</v>
      </c>
      <c r="H237" s="1107"/>
    </row>
    <row r="238" spans="1:8" s="1079" customFormat="1" ht="14.25" customHeight="1">
      <c r="A238" s="1087" t="s">
        <v>227</v>
      </c>
      <c r="B238" s="1092" t="s">
        <v>1656</v>
      </c>
      <c r="C238" s="1092"/>
      <c r="D238" s="1092"/>
      <c r="E238" s="1092"/>
      <c r="F238" s="1100">
        <v>960</v>
      </c>
      <c r="H238" s="1107"/>
    </row>
    <row r="239" spans="1:8" s="1079" customFormat="1" ht="14.25" customHeight="1">
      <c r="A239" s="1087" t="s">
        <v>227</v>
      </c>
      <c r="B239" s="1092" t="s">
        <v>1661</v>
      </c>
      <c r="C239" s="1092"/>
      <c r="D239" s="1092"/>
      <c r="E239" s="1092"/>
      <c r="F239" s="1100">
        <v>960</v>
      </c>
      <c r="H239" s="1107"/>
    </row>
    <row r="240" spans="1:8" s="1079" customFormat="1" ht="14.25" customHeight="1">
      <c r="A240" s="1087" t="s">
        <v>227</v>
      </c>
      <c r="B240" s="1092" t="s">
        <v>1665</v>
      </c>
      <c r="C240" s="1092"/>
      <c r="D240" s="1092"/>
      <c r="E240" s="1092"/>
      <c r="F240" s="1100">
        <v>990</v>
      </c>
      <c r="H240" s="1107"/>
    </row>
    <row r="241" spans="1:8" s="1079" customFormat="1" ht="14.25" customHeight="1">
      <c r="A241" s="1087" t="s">
        <v>227</v>
      </c>
      <c r="B241" s="1092" t="s">
        <v>1669</v>
      </c>
      <c r="C241" s="1092"/>
      <c r="D241" s="1092"/>
      <c r="E241" s="1092"/>
      <c r="F241" s="1100">
        <v>1000</v>
      </c>
      <c r="H241" s="1107"/>
    </row>
    <row r="242" spans="1:8" s="1079" customFormat="1" ht="14.25" customHeight="1">
      <c r="A242" s="1087" t="s">
        <v>227</v>
      </c>
      <c r="B242" s="1092" t="s">
        <v>1673</v>
      </c>
      <c r="C242" s="1092"/>
      <c r="D242" s="1092"/>
      <c r="E242" s="1092"/>
      <c r="F242" s="1100">
        <v>980</v>
      </c>
      <c r="H242" s="1107"/>
    </row>
    <row r="243" spans="1:8" s="1079" customFormat="1" ht="14.25" customHeight="1">
      <c r="A243" s="1087" t="s">
        <v>227</v>
      </c>
      <c r="B243" s="1092" t="s">
        <v>1677</v>
      </c>
      <c r="C243" s="1092"/>
      <c r="D243" s="1092"/>
      <c r="E243" s="1092"/>
      <c r="F243" s="1100">
        <v>970</v>
      </c>
      <c r="H243" s="1107"/>
    </row>
    <row r="244" spans="1:8" s="1079" customFormat="1" ht="14.25" customHeight="1">
      <c r="A244" s="1087" t="s">
        <v>227</v>
      </c>
      <c r="B244" s="1098" t="s">
        <v>1681</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1390</v>
      </c>
      <c r="C246" s="1092">
        <v>4010</v>
      </c>
      <c r="D246" s="1092">
        <v>3960</v>
      </c>
      <c r="E246" s="1092">
        <v>4130</v>
      </c>
      <c r="F246" s="1100">
        <v>840</v>
      </c>
      <c r="H246" s="1107"/>
    </row>
    <row r="247" spans="1:8" s="1079" customFormat="1" ht="14.25" customHeight="1">
      <c r="A247" s="1087" t="s">
        <v>230</v>
      </c>
      <c r="B247" s="1092" t="s">
        <v>1403</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1425</v>
      </c>
      <c r="C249" s="1092">
        <v>3200</v>
      </c>
      <c r="D249" s="1092">
        <v>3100</v>
      </c>
      <c r="E249" s="1092">
        <v>3230</v>
      </c>
      <c r="F249" s="1100">
        <v>750</v>
      </c>
      <c r="H249" s="1107"/>
    </row>
    <row r="250" spans="1:8" s="1079" customFormat="1" ht="14.25" customHeight="1">
      <c r="A250" s="1087" t="s">
        <v>230</v>
      </c>
      <c r="B250" s="1092" t="s">
        <v>1436</v>
      </c>
      <c r="C250" s="1092">
        <v>4060</v>
      </c>
      <c r="D250" s="1092">
        <v>4000</v>
      </c>
      <c r="E250" s="1092">
        <v>4140</v>
      </c>
      <c r="F250" s="1100">
        <v>790</v>
      </c>
      <c r="H250" s="1107"/>
    </row>
    <row r="251" spans="1:8" s="1079" customFormat="1" ht="14.25" customHeight="1">
      <c r="A251" s="1087" t="s">
        <v>230</v>
      </c>
      <c r="B251" s="1092" t="s">
        <v>1447</v>
      </c>
      <c r="C251" s="1092">
        <v>3990</v>
      </c>
      <c r="D251" s="1092">
        <v>3970</v>
      </c>
      <c r="E251" s="1092">
        <v>4110</v>
      </c>
      <c r="F251" s="1100">
        <v>730</v>
      </c>
      <c r="H251" s="1107"/>
    </row>
    <row r="252" spans="1:8" s="1079" customFormat="1" ht="14.25" customHeight="1">
      <c r="A252" s="1087" t="s">
        <v>230</v>
      </c>
      <c r="B252" s="1092" t="s">
        <v>1457</v>
      </c>
      <c r="C252" s="1092">
        <v>3560</v>
      </c>
      <c r="D252" s="1092">
        <v>3530</v>
      </c>
      <c r="E252" s="1092">
        <v>3650</v>
      </c>
      <c r="F252" s="1100">
        <v>750</v>
      </c>
      <c r="H252" s="1107"/>
    </row>
    <row r="253" spans="1:8" s="1079" customFormat="1" ht="14.25" customHeight="1">
      <c r="A253" s="1087" t="s">
        <v>230</v>
      </c>
      <c r="B253" s="1092" t="s">
        <v>1467</v>
      </c>
      <c r="C253" s="1092">
        <v>3780</v>
      </c>
      <c r="D253" s="1092">
        <v>3750</v>
      </c>
      <c r="E253" s="1092">
        <v>3870</v>
      </c>
      <c r="F253" s="1100">
        <v>770</v>
      </c>
      <c r="H253" s="1107"/>
    </row>
    <row r="254" spans="1:8" s="1079" customFormat="1" ht="14.25" customHeight="1">
      <c r="A254" s="1087" t="s">
        <v>230</v>
      </c>
      <c r="B254" s="1092" t="s">
        <v>1477</v>
      </c>
      <c r="C254" s="1114"/>
      <c r="D254" s="1114"/>
      <c r="E254" s="1114"/>
      <c r="F254" s="1100">
        <v>740</v>
      </c>
      <c r="H254" s="1107"/>
    </row>
    <row r="255" spans="1:8" s="1079" customFormat="1" ht="14.25" customHeight="1">
      <c r="A255" s="1087" t="s">
        <v>230</v>
      </c>
      <c r="B255" s="1092" t="s">
        <v>1487</v>
      </c>
      <c r="C255" s="1114"/>
      <c r="D255" s="1114"/>
      <c r="E255" s="1114"/>
      <c r="F255" s="1100">
        <v>760</v>
      </c>
      <c r="H255" s="1107"/>
    </row>
    <row r="256" spans="1:8" s="1079" customFormat="1" ht="14.25" customHeight="1">
      <c r="A256" s="1087" t="s">
        <v>230</v>
      </c>
      <c r="B256" s="1092" t="s">
        <v>1497</v>
      </c>
      <c r="C256" s="1092">
        <v>3760</v>
      </c>
      <c r="D256" s="1092">
        <v>3730</v>
      </c>
      <c r="E256" s="1092">
        <v>3870</v>
      </c>
      <c r="F256" s="1100">
        <v>830</v>
      </c>
      <c r="H256" s="1107"/>
    </row>
    <row r="257" spans="1:8" s="1079" customFormat="1" ht="14.25" customHeight="1">
      <c r="A257" s="1087" t="s">
        <v>230</v>
      </c>
      <c r="B257" s="1092" t="s">
        <v>1507</v>
      </c>
      <c r="C257" s="1092">
        <v>3570</v>
      </c>
      <c r="D257" s="1092">
        <v>3540</v>
      </c>
      <c r="E257" s="1092">
        <v>3650</v>
      </c>
      <c r="F257" s="1100">
        <v>790</v>
      </c>
      <c r="H257" s="1107"/>
    </row>
    <row r="258" spans="1:8" s="1079" customFormat="1" ht="14.25" customHeight="1">
      <c r="A258" s="1087" t="s">
        <v>230</v>
      </c>
      <c r="B258" s="1092" t="s">
        <v>1517</v>
      </c>
      <c r="C258" s="1092">
        <v>3410</v>
      </c>
      <c r="D258" s="1092">
        <v>3380</v>
      </c>
      <c r="E258" s="1092">
        <v>3500</v>
      </c>
      <c r="F258" s="1100">
        <v>830</v>
      </c>
      <c r="H258" s="1107"/>
    </row>
    <row r="259" spans="1:8" s="1079" customFormat="1" ht="14.25" customHeight="1">
      <c r="A259" s="1087" t="s">
        <v>230</v>
      </c>
      <c r="B259" s="1092" t="s">
        <v>1527</v>
      </c>
      <c r="C259" s="1092">
        <v>3870</v>
      </c>
      <c r="D259" s="1092">
        <v>3840</v>
      </c>
      <c r="E259" s="1092">
        <v>3970</v>
      </c>
      <c r="F259" s="1100">
        <v>830</v>
      </c>
      <c r="H259" s="1107"/>
    </row>
    <row r="260" spans="1:8" s="1079" customFormat="1" ht="14.25" customHeight="1">
      <c r="A260" s="1087" t="s">
        <v>230</v>
      </c>
      <c r="B260" s="1092" t="s">
        <v>1537</v>
      </c>
      <c r="C260" s="1092">
        <v>3700</v>
      </c>
      <c r="D260" s="1092">
        <v>3660</v>
      </c>
      <c r="E260" s="1092">
        <v>3810</v>
      </c>
      <c r="F260" s="1100">
        <v>790</v>
      </c>
      <c r="H260" s="1107"/>
    </row>
    <row r="261" spans="1:8" s="1079" customFormat="1" ht="14.25" customHeight="1">
      <c r="A261" s="1087" t="s">
        <v>230</v>
      </c>
      <c r="B261" s="1092" t="s">
        <v>1547</v>
      </c>
      <c r="C261" s="1092">
        <v>3470</v>
      </c>
      <c r="D261" s="1092">
        <v>3430</v>
      </c>
      <c r="E261" s="1092">
        <v>3640</v>
      </c>
      <c r="F261" s="1100">
        <v>760</v>
      </c>
      <c r="H261" s="1107"/>
    </row>
    <row r="262" spans="1:8" s="1079" customFormat="1" ht="14.25" customHeight="1">
      <c r="A262" s="1087" t="s">
        <v>230</v>
      </c>
      <c r="B262" s="1092" t="s">
        <v>1557</v>
      </c>
      <c r="C262" s="1092">
        <v>3510</v>
      </c>
      <c r="D262" s="1092">
        <v>3470</v>
      </c>
      <c r="E262" s="1092">
        <v>3680</v>
      </c>
      <c r="F262" s="1109"/>
      <c r="H262" s="1107"/>
    </row>
    <row r="263" spans="1:8" s="1079" customFormat="1" ht="14.25" customHeight="1">
      <c r="A263" s="1087" t="s">
        <v>230</v>
      </c>
      <c r="B263" s="1092" t="s">
        <v>1567</v>
      </c>
      <c r="C263" s="1092">
        <v>3960</v>
      </c>
      <c r="D263" s="1092">
        <v>3930</v>
      </c>
      <c r="E263" s="1092">
        <v>4070</v>
      </c>
      <c r="F263" s="1100">
        <v>830</v>
      </c>
      <c r="H263" s="1107"/>
    </row>
    <row r="264" spans="1:8" s="1079" customFormat="1" ht="14.25" customHeight="1">
      <c r="A264" s="1087" t="s">
        <v>230</v>
      </c>
      <c r="B264" s="1092" t="s">
        <v>1576</v>
      </c>
      <c r="C264" s="1092">
        <v>4010</v>
      </c>
      <c r="D264" s="1092">
        <v>3980</v>
      </c>
      <c r="E264" s="1092">
        <v>4150</v>
      </c>
      <c r="F264" s="1100">
        <v>760</v>
      </c>
      <c r="H264" s="1107"/>
    </row>
    <row r="265" spans="1:8" s="1079" customFormat="1" ht="14.25" customHeight="1">
      <c r="A265" s="1087" t="s">
        <v>230</v>
      </c>
      <c r="B265" s="1092" t="s">
        <v>1584</v>
      </c>
      <c r="C265" s="1092">
        <v>3910</v>
      </c>
      <c r="D265" s="1092">
        <v>3890</v>
      </c>
      <c r="E265" s="1092">
        <v>4040</v>
      </c>
      <c r="F265" s="1100">
        <v>780</v>
      </c>
      <c r="H265" s="1107"/>
    </row>
    <row r="266" spans="1:8" s="1079" customFormat="1" ht="14.25" customHeight="1">
      <c r="A266" s="1087" t="s">
        <v>230</v>
      </c>
      <c r="B266" s="1092" t="s">
        <v>1592</v>
      </c>
      <c r="C266" s="1092">
        <v>3930</v>
      </c>
      <c r="D266" s="1092">
        <v>3900</v>
      </c>
      <c r="E266" s="1092">
        <v>4080</v>
      </c>
      <c r="F266" s="1100">
        <v>770</v>
      </c>
      <c r="H266" s="1107"/>
    </row>
    <row r="267" spans="1:8" s="1079" customFormat="1" ht="14.25" customHeight="1">
      <c r="A267" s="1087" t="s">
        <v>230</v>
      </c>
      <c r="B267" s="1092" t="s">
        <v>1599</v>
      </c>
      <c r="C267" s="1092">
        <v>3800</v>
      </c>
      <c r="D267" s="1092">
        <v>3780</v>
      </c>
      <c r="E267" s="1092">
        <v>3930</v>
      </c>
      <c r="F267" s="1109"/>
      <c r="H267" s="1107"/>
    </row>
    <row r="268" spans="1:8" s="1079" customFormat="1" ht="14.25" customHeight="1">
      <c r="A268" s="1087" t="s">
        <v>230</v>
      </c>
      <c r="B268" s="1092" t="s">
        <v>1606</v>
      </c>
      <c r="C268" s="1092">
        <v>3460</v>
      </c>
      <c r="D268" s="1092">
        <v>3430</v>
      </c>
      <c r="E268" s="1092">
        <v>3560</v>
      </c>
      <c r="F268" s="1100">
        <v>840</v>
      </c>
      <c r="H268" s="1107"/>
    </row>
    <row r="269" spans="1:8" s="1079" customFormat="1" ht="14.25" customHeight="1">
      <c r="A269" s="1087" t="s">
        <v>230</v>
      </c>
      <c r="B269" s="1092" t="s">
        <v>1613</v>
      </c>
      <c r="C269" s="1092">
        <v>3210</v>
      </c>
      <c r="D269" s="1092">
        <v>3190</v>
      </c>
      <c r="E269" s="1092">
        <v>3310</v>
      </c>
      <c r="F269" s="1100">
        <v>730</v>
      </c>
      <c r="H269" s="1107"/>
    </row>
    <row r="270" spans="1:8" s="1079" customFormat="1" ht="14.25" customHeight="1">
      <c r="A270" s="1087" t="s">
        <v>230</v>
      </c>
      <c r="B270" s="1092" t="s">
        <v>1620</v>
      </c>
      <c r="C270" s="1092">
        <v>3240</v>
      </c>
      <c r="D270" s="1092">
        <v>3210</v>
      </c>
      <c r="E270" s="1092">
        <v>3390</v>
      </c>
      <c r="F270" s="1100">
        <v>820</v>
      </c>
      <c r="H270" s="1107"/>
    </row>
    <row r="271" spans="1:8" s="1079" customFormat="1" ht="14.25" customHeight="1">
      <c r="A271" s="1087" t="s">
        <v>230</v>
      </c>
      <c r="B271" s="1092" t="s">
        <v>1627</v>
      </c>
      <c r="C271" s="1092">
        <v>3300</v>
      </c>
      <c r="D271" s="1092">
        <v>3270</v>
      </c>
      <c r="E271" s="1092">
        <v>3380</v>
      </c>
      <c r="F271" s="1100">
        <v>750</v>
      </c>
      <c r="H271" s="1107"/>
    </row>
    <row r="272" spans="1:8" s="1079" customFormat="1" ht="14.25" customHeight="1">
      <c r="A272" s="1087" t="s">
        <v>230</v>
      </c>
      <c r="B272" s="1092" t="s">
        <v>1632</v>
      </c>
      <c r="C272" s="1114"/>
      <c r="D272" s="1114"/>
      <c r="E272" s="1114"/>
      <c r="F272" s="1100">
        <v>740</v>
      </c>
      <c r="H272" s="1107"/>
    </row>
    <row r="273" spans="1:8" s="1079" customFormat="1" ht="14.25" customHeight="1">
      <c r="A273" s="1087" t="s">
        <v>230</v>
      </c>
      <c r="B273" s="1092" t="s">
        <v>1637</v>
      </c>
      <c r="C273" s="1092">
        <v>3130</v>
      </c>
      <c r="D273" s="1092">
        <v>3100</v>
      </c>
      <c r="E273" s="1092">
        <v>3230</v>
      </c>
      <c r="F273" s="1100">
        <v>700</v>
      </c>
      <c r="H273" s="1107"/>
    </row>
    <row r="274" spans="1:8" s="1079" customFormat="1" ht="14.25" customHeight="1">
      <c r="A274" s="1087" t="s">
        <v>230</v>
      </c>
      <c r="B274" s="1092" t="s">
        <v>1642</v>
      </c>
      <c r="C274" s="1092">
        <v>3460</v>
      </c>
      <c r="D274" s="1092">
        <v>3430</v>
      </c>
      <c r="E274" s="1092">
        <v>3560</v>
      </c>
      <c r="F274" s="1100">
        <v>690</v>
      </c>
      <c r="H274" s="1107"/>
    </row>
    <row r="275" spans="1:8" s="1079" customFormat="1" ht="14.25" customHeight="1">
      <c r="A275" s="1087" t="s">
        <v>230</v>
      </c>
      <c r="B275" s="1092" t="s">
        <v>1647</v>
      </c>
      <c r="C275" s="1092">
        <v>4040</v>
      </c>
      <c r="D275" s="1092">
        <v>4020</v>
      </c>
      <c r="E275" s="1092">
        <v>4160</v>
      </c>
      <c r="F275" s="1100">
        <v>820</v>
      </c>
      <c r="H275" s="1107"/>
    </row>
    <row r="276" spans="1:8" s="1079" customFormat="1" ht="14.25" customHeight="1">
      <c r="A276" s="1087" t="s">
        <v>230</v>
      </c>
      <c r="B276" s="1092" t="s">
        <v>1652</v>
      </c>
      <c r="C276" s="1092">
        <v>3270</v>
      </c>
      <c r="D276" s="1092">
        <v>3240</v>
      </c>
      <c r="E276" s="1092">
        <v>3350</v>
      </c>
      <c r="F276" s="1100">
        <v>680</v>
      </c>
      <c r="H276" s="1107"/>
    </row>
    <row r="277" spans="1:8" s="1079" customFormat="1" ht="14.25" customHeight="1">
      <c r="A277" s="1087" t="s">
        <v>230</v>
      </c>
      <c r="B277" s="1092" t="s">
        <v>1657</v>
      </c>
      <c r="C277" s="1092">
        <v>2930</v>
      </c>
      <c r="D277" s="1092">
        <v>2900</v>
      </c>
      <c r="E277" s="1092">
        <v>3000</v>
      </c>
      <c r="F277" s="1100">
        <v>640</v>
      </c>
      <c r="H277" s="1107"/>
    </row>
    <row r="278" spans="1:8" s="1079" customFormat="1" ht="14.25" customHeight="1">
      <c r="A278" s="1087" t="s">
        <v>230</v>
      </c>
      <c r="B278" s="1092" t="s">
        <v>1662</v>
      </c>
      <c r="C278" s="1092">
        <v>4080</v>
      </c>
      <c r="D278" s="1092">
        <v>4030</v>
      </c>
      <c r="E278" s="1092">
        <v>4140</v>
      </c>
      <c r="F278" s="1100">
        <v>850</v>
      </c>
      <c r="H278" s="1107"/>
    </row>
    <row r="279" spans="1:8" s="1079" customFormat="1" ht="14.25" customHeight="1">
      <c r="A279" s="1087" t="s">
        <v>230</v>
      </c>
      <c r="B279" s="1092" t="s">
        <v>1666</v>
      </c>
      <c r="C279" s="1092"/>
      <c r="D279" s="1092"/>
      <c r="E279" s="1092"/>
      <c r="F279" s="1100">
        <v>760</v>
      </c>
      <c r="H279" s="1107"/>
    </row>
    <row r="280" spans="1:8" s="1079" customFormat="1" ht="14.25" customHeight="1">
      <c r="A280" s="1087" t="s">
        <v>230</v>
      </c>
      <c r="B280" s="1092" t="s">
        <v>1670</v>
      </c>
      <c r="C280" s="1092"/>
      <c r="D280" s="1092"/>
      <c r="E280" s="1092"/>
      <c r="F280" s="1100">
        <v>760</v>
      </c>
      <c r="H280" s="1107"/>
    </row>
    <row r="281" spans="1:8" s="1079" customFormat="1" ht="14.25" customHeight="1">
      <c r="A281" s="1087" t="s">
        <v>230</v>
      </c>
      <c r="B281" s="1092" t="s">
        <v>1674</v>
      </c>
      <c r="C281" s="1092"/>
      <c r="D281" s="1092"/>
      <c r="E281" s="1092"/>
      <c r="F281" s="1100">
        <v>780</v>
      </c>
      <c r="H281" s="1107"/>
    </row>
    <row r="282" spans="1:8" s="1079" customFormat="1" ht="14.25" customHeight="1">
      <c r="A282" s="1087" t="s">
        <v>230</v>
      </c>
      <c r="B282" s="1092" t="s">
        <v>1678</v>
      </c>
      <c r="C282" s="1092"/>
      <c r="D282" s="1092"/>
      <c r="E282" s="1092"/>
      <c r="F282" s="1100">
        <v>730</v>
      </c>
      <c r="H282" s="1107"/>
    </row>
    <row r="283" spans="1:8" s="1079" customFormat="1" ht="14.25" customHeight="1">
      <c r="A283" s="1087" t="s">
        <v>230</v>
      </c>
      <c r="B283" s="1092" t="s">
        <v>1682</v>
      </c>
      <c r="C283" s="1092"/>
      <c r="D283" s="1092"/>
      <c r="E283" s="1092"/>
      <c r="F283" s="1100">
        <v>770</v>
      </c>
      <c r="H283" s="1107"/>
    </row>
    <row r="284" spans="1:8" s="1079" customFormat="1" ht="14.25" customHeight="1">
      <c r="A284" s="1087" t="s">
        <v>230</v>
      </c>
      <c r="B284" s="1092" t="s">
        <v>1685</v>
      </c>
      <c r="C284" s="1092"/>
      <c r="D284" s="1092"/>
      <c r="E284" s="1092"/>
      <c r="F284" s="1100">
        <v>640</v>
      </c>
      <c r="H284" s="1107"/>
    </row>
    <row r="285" spans="1:8" s="1079" customFormat="1" ht="14.25" customHeight="1">
      <c r="A285" s="1087" t="s">
        <v>230</v>
      </c>
      <c r="B285" s="1092" t="s">
        <v>1688</v>
      </c>
      <c r="C285" s="1092"/>
      <c r="D285" s="1092"/>
      <c r="E285" s="1092"/>
      <c r="F285" s="1100">
        <v>640</v>
      </c>
      <c r="H285" s="1107"/>
    </row>
    <row r="286" spans="1:8" s="1079" customFormat="1" ht="14.25" customHeight="1">
      <c r="A286" s="1087" t="s">
        <v>230</v>
      </c>
      <c r="B286" s="1092" t="s">
        <v>1691</v>
      </c>
      <c r="C286" s="1092"/>
      <c r="D286" s="1092"/>
      <c r="E286" s="1092"/>
      <c r="F286" s="1100">
        <v>850</v>
      </c>
      <c r="H286" s="1107"/>
    </row>
    <row r="287" spans="1:8" s="1079" customFormat="1" ht="14.25" customHeight="1">
      <c r="A287" s="1087" t="s">
        <v>230</v>
      </c>
      <c r="B287" s="1092" t="s">
        <v>1694</v>
      </c>
      <c r="C287" s="1092"/>
      <c r="D287" s="1092"/>
      <c r="E287" s="1092"/>
      <c r="F287" s="1100">
        <v>760</v>
      </c>
      <c r="H287" s="1107"/>
    </row>
    <row r="288" spans="1:8" s="1079" customFormat="1" ht="14.25" customHeight="1">
      <c r="A288" s="1087" t="s">
        <v>230</v>
      </c>
      <c r="B288" s="1092" t="s">
        <v>1697</v>
      </c>
      <c r="C288" s="1092"/>
      <c r="D288" s="1092"/>
      <c r="E288" s="1092"/>
      <c r="F288" s="1100">
        <v>830</v>
      </c>
      <c r="H288" s="1107"/>
    </row>
    <row r="289" spans="1:8" s="1079" customFormat="1" ht="14.25" customHeight="1">
      <c r="A289" s="1087" t="s">
        <v>230</v>
      </c>
      <c r="B289" s="1098" t="s">
        <v>1700</v>
      </c>
      <c r="C289" s="1098"/>
      <c r="D289" s="1098"/>
      <c r="E289" s="1098"/>
      <c r="F289" s="1108">
        <v>680</v>
      </c>
      <c r="H289" s="1107"/>
    </row>
    <row r="290" spans="1:8" s="1079" customFormat="1" ht="14.25" customHeight="1">
      <c r="A290" s="1087" t="s">
        <v>233</v>
      </c>
      <c r="B290" s="1088" t="s">
        <v>1378</v>
      </c>
      <c r="C290" s="1088">
        <v>2770</v>
      </c>
      <c r="D290" s="1088">
        <v>2740</v>
      </c>
      <c r="E290" s="1088">
        <v>2720</v>
      </c>
      <c r="F290" s="1115"/>
      <c r="H290" s="1107"/>
    </row>
    <row r="291" spans="1:8" s="1079" customFormat="1" ht="14.25" customHeight="1">
      <c r="A291" s="1087" t="s">
        <v>233</v>
      </c>
      <c r="B291" s="1092" t="s">
        <v>1391</v>
      </c>
      <c r="C291" s="1092">
        <v>2670</v>
      </c>
      <c r="D291" s="1092">
        <v>2640</v>
      </c>
      <c r="E291" s="1092">
        <v>2620</v>
      </c>
      <c r="F291" s="1109"/>
      <c r="H291" s="1107"/>
    </row>
    <row r="292" spans="1:8" s="1079" customFormat="1" ht="14.25" customHeight="1">
      <c r="A292" s="1087" t="s">
        <v>233</v>
      </c>
      <c r="B292" s="1092" t="s">
        <v>1404</v>
      </c>
      <c r="C292" s="1092">
        <v>2180</v>
      </c>
      <c r="D292" s="1092">
        <v>2140</v>
      </c>
      <c r="E292" s="1092">
        <v>2120</v>
      </c>
      <c r="F292" s="1100">
        <v>490</v>
      </c>
      <c r="H292" s="1107"/>
    </row>
    <row r="293" spans="1:8" s="1079" customFormat="1" ht="14.25" customHeight="1">
      <c r="A293" s="1087" t="s">
        <v>233</v>
      </c>
      <c r="B293" s="1092" t="s">
        <v>1707</v>
      </c>
      <c r="C293" s="1092"/>
      <c r="D293" s="1092"/>
      <c r="E293" s="1092"/>
      <c r="F293" s="1100">
        <v>470</v>
      </c>
      <c r="H293" s="1107"/>
    </row>
    <row r="294" spans="1:8" s="1079" customFormat="1" ht="14.25" customHeight="1">
      <c r="A294" s="1087" t="s">
        <v>233</v>
      </c>
      <c r="B294" s="1092" t="s">
        <v>1415</v>
      </c>
      <c r="C294" s="1092">
        <v>2730</v>
      </c>
      <c r="D294" s="1092">
        <v>2700</v>
      </c>
      <c r="E294" s="1092">
        <v>2680</v>
      </c>
      <c r="F294" s="1100">
        <v>490</v>
      </c>
      <c r="H294" s="1107"/>
    </row>
    <row r="295" spans="1:8" s="1079" customFormat="1" ht="14.25" customHeight="1">
      <c r="A295" s="1087" t="s">
        <v>233</v>
      </c>
      <c r="B295" s="1092" t="s">
        <v>1426</v>
      </c>
      <c r="C295" s="1092">
        <v>2380</v>
      </c>
      <c r="D295" s="1092">
        <v>2350</v>
      </c>
      <c r="E295" s="1092">
        <v>2330</v>
      </c>
      <c r="F295" s="1100">
        <v>530</v>
      </c>
      <c r="H295" s="1107"/>
    </row>
    <row r="296" spans="1:8" s="1079" customFormat="1" ht="14.25" customHeight="1">
      <c r="A296" s="1087" t="s">
        <v>233</v>
      </c>
      <c r="B296" s="1092" t="s">
        <v>1437</v>
      </c>
      <c r="C296" s="1092">
        <v>2650</v>
      </c>
      <c r="D296" s="1092">
        <v>2620</v>
      </c>
      <c r="E296" s="1092">
        <v>2590</v>
      </c>
      <c r="F296" s="1100">
        <v>590</v>
      </c>
      <c r="H296" s="1107"/>
    </row>
    <row r="297" spans="1:8" s="1079" customFormat="1" ht="14.25" customHeight="1">
      <c r="A297" s="1087" t="s">
        <v>233</v>
      </c>
      <c r="B297" s="1092" t="s">
        <v>1448</v>
      </c>
      <c r="C297" s="1092">
        <v>2700</v>
      </c>
      <c r="D297" s="1092">
        <v>2670</v>
      </c>
      <c r="E297" s="1092">
        <v>2650</v>
      </c>
      <c r="F297" s="1100">
        <v>630</v>
      </c>
      <c r="H297" s="1107"/>
    </row>
    <row r="298" spans="1:8" s="1079" customFormat="1" ht="14.25" customHeight="1">
      <c r="A298" s="1087" t="s">
        <v>233</v>
      </c>
      <c r="B298" s="1092" t="s">
        <v>1458</v>
      </c>
      <c r="C298" s="1092">
        <v>2650</v>
      </c>
      <c r="D298" s="1092">
        <v>2620</v>
      </c>
      <c r="E298" s="1092">
        <v>2590</v>
      </c>
      <c r="F298" s="1100">
        <v>640</v>
      </c>
      <c r="H298" s="1107"/>
    </row>
    <row r="299" spans="1:8" s="1079" customFormat="1" ht="14.25" customHeight="1">
      <c r="A299" s="1087" t="s">
        <v>233</v>
      </c>
      <c r="B299" s="1092" t="s">
        <v>1468</v>
      </c>
      <c r="C299" s="1092">
        <v>2500</v>
      </c>
      <c r="D299" s="1092">
        <v>2480</v>
      </c>
      <c r="E299" s="1092">
        <v>2460</v>
      </c>
      <c r="F299" s="1109"/>
      <c r="H299" s="1107"/>
    </row>
    <row r="300" spans="1:8" s="1079" customFormat="1" ht="14.25" customHeight="1">
      <c r="A300" s="1087" t="s">
        <v>233</v>
      </c>
      <c r="B300" s="1092" t="s">
        <v>1478</v>
      </c>
      <c r="C300" s="1092">
        <v>2760</v>
      </c>
      <c r="D300" s="1092">
        <v>2730</v>
      </c>
      <c r="E300" s="1092">
        <v>2700</v>
      </c>
      <c r="F300" s="1100">
        <v>630</v>
      </c>
      <c r="H300" s="1107"/>
    </row>
    <row r="301" spans="1:8" s="1079" customFormat="1" ht="14.25" customHeight="1">
      <c r="A301" s="1087" t="s">
        <v>233</v>
      </c>
      <c r="B301" s="1092" t="s">
        <v>1488</v>
      </c>
      <c r="C301" s="1092">
        <v>2510</v>
      </c>
      <c r="D301" s="1092">
        <v>2480</v>
      </c>
      <c r="E301" s="1092">
        <v>2460</v>
      </c>
      <c r="F301" s="1109"/>
      <c r="H301" s="1107"/>
    </row>
    <row r="302" spans="1:8" s="1079" customFormat="1" ht="14.25" customHeight="1">
      <c r="A302" s="1087" t="s">
        <v>233</v>
      </c>
      <c r="B302" s="1092" t="s">
        <v>1498</v>
      </c>
      <c r="C302" s="1092">
        <v>2480</v>
      </c>
      <c r="D302" s="1092">
        <v>2450</v>
      </c>
      <c r="E302" s="1092">
        <v>2420</v>
      </c>
      <c r="F302" s="1100">
        <v>600</v>
      </c>
      <c r="H302" s="1107"/>
    </row>
    <row r="303" spans="1:8" s="1079" customFormat="1" ht="14.25" customHeight="1">
      <c r="A303" s="1087" t="s">
        <v>233</v>
      </c>
      <c r="B303" s="1092" t="s">
        <v>1508</v>
      </c>
      <c r="C303" s="1092">
        <v>2270</v>
      </c>
      <c r="D303" s="1092">
        <v>2240</v>
      </c>
      <c r="E303" s="1092">
        <v>2210</v>
      </c>
      <c r="F303" s="1100">
        <v>540</v>
      </c>
      <c r="H303" s="1107"/>
    </row>
    <row r="304" spans="1:8" s="1079" customFormat="1" ht="14.25" customHeight="1">
      <c r="A304" s="1087" t="s">
        <v>233</v>
      </c>
      <c r="B304" s="1092" t="s">
        <v>1518</v>
      </c>
      <c r="C304" s="1092">
        <v>2310</v>
      </c>
      <c r="D304" s="1092">
        <v>2290</v>
      </c>
      <c r="E304" s="1092">
        <v>2270</v>
      </c>
      <c r="F304" s="1109"/>
      <c r="H304" s="1107"/>
    </row>
    <row r="305" spans="1:8" s="1079" customFormat="1" ht="14.25" customHeight="1">
      <c r="A305" s="1087" t="s">
        <v>233</v>
      </c>
      <c r="B305" s="1092" t="s">
        <v>1528</v>
      </c>
      <c r="C305" s="1092">
        <v>2490</v>
      </c>
      <c r="D305" s="1092">
        <v>2470</v>
      </c>
      <c r="E305" s="1092">
        <v>2440</v>
      </c>
      <c r="F305" s="1100">
        <v>560</v>
      </c>
      <c r="H305" s="1107"/>
    </row>
    <row r="306" spans="1:8" s="1079" customFormat="1" ht="14.25" customHeight="1">
      <c r="A306" s="1087" t="s">
        <v>233</v>
      </c>
      <c r="B306" s="1092" t="s">
        <v>1538</v>
      </c>
      <c r="C306" s="1092">
        <v>2420</v>
      </c>
      <c r="D306" s="1092">
        <v>2400</v>
      </c>
      <c r="E306" s="1092">
        <v>2380</v>
      </c>
      <c r="F306" s="1109"/>
      <c r="H306" s="1107"/>
    </row>
    <row r="307" spans="1:8" s="1079" customFormat="1" ht="14.25" customHeight="1">
      <c r="A307" s="1087" t="s">
        <v>233</v>
      </c>
      <c r="B307" s="1092" t="s">
        <v>1548</v>
      </c>
      <c r="C307" s="1092">
        <v>2770</v>
      </c>
      <c r="D307" s="1092">
        <v>2740</v>
      </c>
      <c r="E307" s="1092">
        <v>2710</v>
      </c>
      <c r="F307" s="1100">
        <v>650</v>
      </c>
      <c r="H307" s="1107"/>
    </row>
    <row r="308" spans="1:8" s="1079" customFormat="1" ht="14.25" customHeight="1">
      <c r="A308" s="1087" t="s">
        <v>233</v>
      </c>
      <c r="B308" s="1092" t="s">
        <v>1558</v>
      </c>
      <c r="C308" s="1092">
        <v>2610</v>
      </c>
      <c r="D308" s="1092">
        <v>2580</v>
      </c>
      <c r="E308" s="1092">
        <v>2550</v>
      </c>
      <c r="F308" s="1100">
        <v>580</v>
      </c>
      <c r="H308" s="1107"/>
    </row>
    <row r="309" spans="1:8" s="1079" customFormat="1" ht="14.25" customHeight="1">
      <c r="A309" s="1087" t="s">
        <v>233</v>
      </c>
      <c r="B309" s="1092" t="s">
        <v>1568</v>
      </c>
      <c r="C309" s="1092">
        <v>2690</v>
      </c>
      <c r="D309" s="1092">
        <v>2670</v>
      </c>
      <c r="E309" s="1092">
        <v>2650</v>
      </c>
      <c r="F309" s="1109"/>
      <c r="H309" s="1107"/>
    </row>
    <row r="310" spans="1:8" s="1079" customFormat="1" ht="14.25" customHeight="1">
      <c r="A310" s="1087" t="s">
        <v>233</v>
      </c>
      <c r="B310" s="1092" t="s">
        <v>1577</v>
      </c>
      <c r="C310" s="1092">
        <v>2360</v>
      </c>
      <c r="D310" s="1092">
        <v>2330</v>
      </c>
      <c r="E310" s="1092">
        <v>2310</v>
      </c>
      <c r="F310" s="1100">
        <v>560</v>
      </c>
      <c r="H310" s="1107"/>
    </row>
    <row r="311" spans="1:8" s="1079" customFormat="1" ht="14.25" customHeight="1">
      <c r="A311" s="1087" t="s">
        <v>233</v>
      </c>
      <c r="B311" s="1092" t="s">
        <v>1585</v>
      </c>
      <c r="C311" s="1092">
        <v>1970</v>
      </c>
      <c r="D311" s="1092">
        <v>1950</v>
      </c>
      <c r="E311" s="1092">
        <v>1920</v>
      </c>
      <c r="F311" s="1100">
        <v>470</v>
      </c>
      <c r="H311" s="1107"/>
    </row>
    <row r="312" spans="1:8" s="1079" customFormat="1" ht="14.25" customHeight="1">
      <c r="A312" s="1087" t="s">
        <v>233</v>
      </c>
      <c r="B312" s="1092" t="s">
        <v>1593</v>
      </c>
      <c r="C312" s="1092">
        <v>2230</v>
      </c>
      <c r="D312" s="1092">
        <v>2200</v>
      </c>
      <c r="E312" s="1092">
        <v>2170</v>
      </c>
      <c r="F312" s="1100">
        <v>460</v>
      </c>
      <c r="H312" s="1107"/>
    </row>
    <row r="313" spans="1:8" s="1079" customFormat="1" ht="14.25" customHeight="1">
      <c r="A313" s="1087" t="s">
        <v>233</v>
      </c>
      <c r="B313" s="1092" t="s">
        <v>1600</v>
      </c>
      <c r="C313" s="1092">
        <v>2770</v>
      </c>
      <c r="D313" s="1092">
        <v>2740</v>
      </c>
      <c r="E313" s="1092">
        <v>2710</v>
      </c>
      <c r="F313" s="1100">
        <v>610</v>
      </c>
      <c r="H313" s="1107"/>
    </row>
    <row r="314" spans="1:8" s="1079" customFormat="1" ht="14.25" customHeight="1">
      <c r="A314" s="1087" t="s">
        <v>233</v>
      </c>
      <c r="B314" s="1092" t="s">
        <v>1607</v>
      </c>
      <c r="C314" s="1092"/>
      <c r="D314" s="1092"/>
      <c r="E314" s="1092"/>
      <c r="F314" s="1100">
        <v>490</v>
      </c>
      <c r="H314" s="1107"/>
    </row>
    <row r="315" spans="1:8" s="1079" customFormat="1" ht="14.25" customHeight="1">
      <c r="A315" s="1087" t="s">
        <v>233</v>
      </c>
      <c r="B315" s="1092" t="s">
        <v>1614</v>
      </c>
      <c r="C315" s="1092"/>
      <c r="D315" s="1092"/>
      <c r="E315" s="1092"/>
      <c r="F315" s="1100">
        <v>520</v>
      </c>
      <c r="H315" s="1107"/>
    </row>
    <row r="316" spans="1:8" s="1079" customFormat="1" ht="14.25" customHeight="1">
      <c r="A316" s="1087" t="s">
        <v>233</v>
      </c>
      <c r="B316" s="1098" t="s">
        <v>1621</v>
      </c>
      <c r="C316" s="1098"/>
      <c r="D316" s="1098"/>
      <c r="E316" s="1098"/>
      <c r="F316" s="1108">
        <v>460</v>
      </c>
      <c r="H316" s="1107"/>
    </row>
    <row r="317" spans="1:8" s="1079" customFormat="1" ht="14.25" customHeight="1">
      <c r="A317" s="1087" t="s">
        <v>236</v>
      </c>
      <c r="B317" s="1088" t="s">
        <v>1379</v>
      </c>
      <c r="C317" s="1088">
        <v>1200</v>
      </c>
      <c r="D317" s="1088">
        <v>1180</v>
      </c>
      <c r="E317" s="1088">
        <v>1160</v>
      </c>
      <c r="F317" s="1089">
        <v>370</v>
      </c>
      <c r="H317" s="1081"/>
    </row>
    <row r="318" spans="1:8" s="1079" customFormat="1" ht="14.25" customHeight="1">
      <c r="A318" s="1087" t="s">
        <v>236</v>
      </c>
      <c r="B318" s="1092" t="s">
        <v>1392</v>
      </c>
      <c r="C318" s="1092">
        <v>1090</v>
      </c>
      <c r="D318" s="1092">
        <v>1060</v>
      </c>
      <c r="E318" s="1092">
        <v>1040</v>
      </c>
      <c r="F318" s="1109"/>
      <c r="H318" s="1081"/>
    </row>
    <row r="319" spans="1:8" s="1079" customFormat="1" ht="14.25" customHeight="1">
      <c r="A319" s="1087" t="s">
        <v>236</v>
      </c>
      <c r="B319" s="1092" t="s">
        <v>1405</v>
      </c>
      <c r="C319" s="1092">
        <v>1520</v>
      </c>
      <c r="D319" s="1092">
        <v>1470</v>
      </c>
      <c r="E319" s="1092">
        <v>1440</v>
      </c>
      <c r="F319" s="1100">
        <v>370</v>
      </c>
      <c r="H319" s="1081"/>
    </row>
    <row r="320" spans="1:8" s="1079" customFormat="1" ht="14.25" customHeight="1">
      <c r="A320" s="1087" t="s">
        <v>236</v>
      </c>
      <c r="B320" s="1092" t="s">
        <v>1416</v>
      </c>
      <c r="C320" s="1092">
        <v>1360</v>
      </c>
      <c r="D320" s="1092">
        <v>1300</v>
      </c>
      <c r="E320" s="1092">
        <v>1270</v>
      </c>
      <c r="F320" s="1109"/>
      <c r="H320" s="1081"/>
    </row>
    <row r="321" spans="1:8" s="1079" customFormat="1" ht="14.25" customHeight="1">
      <c r="A321" s="1087" t="s">
        <v>236</v>
      </c>
      <c r="B321" s="1092" t="s">
        <v>1427</v>
      </c>
      <c r="C321" s="1092">
        <v>1750</v>
      </c>
      <c r="D321" s="1092">
        <v>1690</v>
      </c>
      <c r="E321" s="1092">
        <v>1660</v>
      </c>
      <c r="F321" s="1109"/>
      <c r="H321" s="1081"/>
    </row>
    <row r="322" spans="1:8" s="1079" customFormat="1" ht="14.25" customHeight="1">
      <c r="A322" s="1087" t="s">
        <v>236</v>
      </c>
      <c r="B322" s="1092" t="s">
        <v>1438</v>
      </c>
      <c r="C322" s="1092">
        <v>1650</v>
      </c>
      <c r="D322" s="1092">
        <v>1610</v>
      </c>
      <c r="E322" s="1092">
        <v>1580</v>
      </c>
      <c r="F322" s="1100">
        <v>500</v>
      </c>
      <c r="H322" s="1081"/>
    </row>
    <row r="323" spans="1:8" s="1079" customFormat="1" ht="14.25" customHeight="1">
      <c r="A323" s="1087" t="s">
        <v>236</v>
      </c>
      <c r="B323" s="1092" t="s">
        <v>1449</v>
      </c>
      <c r="C323" s="1092">
        <v>1780</v>
      </c>
      <c r="D323" s="1092">
        <v>1740</v>
      </c>
      <c r="E323" s="1092">
        <v>1720</v>
      </c>
      <c r="F323" s="1109"/>
      <c r="H323" s="1081"/>
    </row>
    <row r="324" spans="1:8" s="1079" customFormat="1" ht="14.25" customHeight="1">
      <c r="A324" s="1087" t="s">
        <v>236</v>
      </c>
      <c r="B324" s="1092" t="s">
        <v>1459</v>
      </c>
      <c r="C324" s="1092">
        <v>1650</v>
      </c>
      <c r="D324" s="1092">
        <v>1610</v>
      </c>
      <c r="E324" s="1092">
        <v>1580</v>
      </c>
      <c r="F324" s="1109"/>
      <c r="H324" s="1081"/>
    </row>
    <row r="325" spans="1:8" s="1079" customFormat="1" ht="14.25" customHeight="1">
      <c r="A325" s="1087" t="s">
        <v>236</v>
      </c>
      <c r="B325" s="1092" t="s">
        <v>1469</v>
      </c>
      <c r="C325" s="1092">
        <v>1330</v>
      </c>
      <c r="D325" s="1092">
        <v>1270</v>
      </c>
      <c r="E325" s="1092">
        <v>1240</v>
      </c>
      <c r="F325" s="1100">
        <v>430</v>
      </c>
      <c r="H325" s="1081"/>
    </row>
    <row r="326" spans="1:8" s="1079" customFormat="1" ht="14.25" customHeight="1">
      <c r="A326" s="1087" t="s">
        <v>236</v>
      </c>
      <c r="B326" s="1092" t="s">
        <v>1479</v>
      </c>
      <c r="C326" s="1092">
        <v>1470</v>
      </c>
      <c r="D326" s="1092">
        <v>1430</v>
      </c>
      <c r="E326" s="1092">
        <v>1400</v>
      </c>
      <c r="F326" s="1109"/>
      <c r="H326" s="1081"/>
    </row>
    <row r="327" spans="1:8" s="1079" customFormat="1" ht="14.25" customHeight="1">
      <c r="A327" s="1087" t="s">
        <v>236</v>
      </c>
      <c r="B327" s="1092" t="s">
        <v>1489</v>
      </c>
      <c r="C327" s="1092">
        <v>1420</v>
      </c>
      <c r="D327" s="1092">
        <v>1380</v>
      </c>
      <c r="E327" s="1092">
        <v>1360</v>
      </c>
      <c r="F327" s="1100">
        <v>420</v>
      </c>
      <c r="H327" s="1081"/>
    </row>
    <row r="328" spans="1:8" s="1079" customFormat="1" ht="14.25" customHeight="1">
      <c r="A328" s="1087" t="s">
        <v>236</v>
      </c>
      <c r="B328" s="1092" t="s">
        <v>1499</v>
      </c>
      <c r="C328" s="1092">
        <v>1400</v>
      </c>
      <c r="D328" s="1092">
        <v>1360</v>
      </c>
      <c r="E328" s="1092">
        <v>1330</v>
      </c>
      <c r="F328" s="1100">
        <v>460</v>
      </c>
      <c r="H328" s="1081"/>
    </row>
    <row r="329" spans="1:8" s="1079" customFormat="1" ht="14.25" customHeight="1">
      <c r="A329" s="1087" t="s">
        <v>236</v>
      </c>
      <c r="B329" s="1092" t="s">
        <v>1509</v>
      </c>
      <c r="C329" s="1092">
        <v>1640</v>
      </c>
      <c r="D329" s="1092">
        <v>1610</v>
      </c>
      <c r="E329" s="1092">
        <v>1580</v>
      </c>
      <c r="F329" s="1100">
        <v>410</v>
      </c>
      <c r="H329" s="1081"/>
    </row>
    <row r="330" spans="1:8" s="1079" customFormat="1" ht="14.25" customHeight="1">
      <c r="A330" s="1087" t="s">
        <v>236</v>
      </c>
      <c r="B330" s="1092" t="s">
        <v>1519</v>
      </c>
      <c r="C330" s="1092">
        <v>1260</v>
      </c>
      <c r="D330" s="1092">
        <v>1220</v>
      </c>
      <c r="E330" s="1092">
        <v>1200</v>
      </c>
      <c r="F330" s="1109"/>
      <c r="H330" s="1081"/>
    </row>
    <row r="331" spans="1:8" s="1079" customFormat="1" ht="14.25" customHeight="1">
      <c r="A331" s="1087" t="s">
        <v>236</v>
      </c>
      <c r="B331" s="1092" t="s">
        <v>1529</v>
      </c>
      <c r="C331" s="1092">
        <v>1620</v>
      </c>
      <c r="D331" s="1092">
        <v>1560</v>
      </c>
      <c r="E331" s="1092">
        <v>1530</v>
      </c>
      <c r="F331" s="1100">
        <v>490</v>
      </c>
      <c r="H331" s="1081"/>
    </row>
    <row r="332" spans="1:8" s="1079" customFormat="1" ht="14.25" customHeight="1">
      <c r="A332" s="1087" t="s">
        <v>236</v>
      </c>
      <c r="B332" s="1092" t="s">
        <v>1539</v>
      </c>
      <c r="C332" s="1092">
        <v>1520</v>
      </c>
      <c r="D332" s="1092">
        <v>1470</v>
      </c>
      <c r="E332" s="1092">
        <v>1440</v>
      </c>
      <c r="F332" s="1100">
        <v>440</v>
      </c>
      <c r="H332" s="1081"/>
    </row>
    <row r="333" spans="1:8" s="1079" customFormat="1" ht="14.25" customHeight="1">
      <c r="A333" s="1087" t="s">
        <v>236</v>
      </c>
      <c r="B333" s="1092" t="s">
        <v>1549</v>
      </c>
      <c r="C333" s="1092">
        <v>1370</v>
      </c>
      <c r="D333" s="1092">
        <v>1320</v>
      </c>
      <c r="E333" s="1092">
        <v>1300</v>
      </c>
      <c r="F333" s="1100">
        <v>460</v>
      </c>
      <c r="H333" s="1081"/>
    </row>
    <row r="334" spans="1:8" s="1079" customFormat="1" ht="14.25" customHeight="1">
      <c r="A334" s="1087" t="s">
        <v>236</v>
      </c>
      <c r="B334" s="1092" t="s">
        <v>1559</v>
      </c>
      <c r="C334" s="1092">
        <v>1410</v>
      </c>
      <c r="D334" s="1092">
        <v>1340</v>
      </c>
      <c r="E334" s="1092">
        <v>1310</v>
      </c>
      <c r="F334" s="1100">
        <v>410</v>
      </c>
      <c r="H334" s="1081"/>
    </row>
    <row r="335" spans="1:8" s="1079" customFormat="1" ht="14.25" customHeight="1">
      <c r="A335" s="1087" t="s">
        <v>236</v>
      </c>
      <c r="B335" s="1092" t="s">
        <v>1569</v>
      </c>
      <c r="C335" s="1092">
        <v>1260</v>
      </c>
      <c r="D335" s="1092">
        <v>1220</v>
      </c>
      <c r="E335" s="1092">
        <v>1200</v>
      </c>
      <c r="F335" s="1109"/>
      <c r="H335" s="1081"/>
    </row>
    <row r="336" spans="1:8" s="1079" customFormat="1" ht="14.25" customHeight="1">
      <c r="A336" s="1087" t="s">
        <v>236</v>
      </c>
      <c r="B336" s="1092" t="s">
        <v>1578</v>
      </c>
      <c r="C336" s="1092">
        <v>1160</v>
      </c>
      <c r="D336" s="1092">
        <v>1140</v>
      </c>
      <c r="E336" s="1092">
        <v>1120</v>
      </c>
      <c r="F336" s="1100">
        <v>430</v>
      </c>
      <c r="H336" s="1081"/>
    </row>
    <row r="337" spans="1:8" s="1079" customFormat="1" ht="14.25" customHeight="1">
      <c r="A337" s="1087" t="s">
        <v>236</v>
      </c>
      <c r="B337" s="1098" t="s">
        <v>1586</v>
      </c>
      <c r="C337" s="1098"/>
      <c r="D337" s="1098"/>
      <c r="E337" s="1098"/>
      <c r="F337" s="1108">
        <v>380</v>
      </c>
      <c r="H337" s="1081"/>
    </row>
    <row r="338" spans="1:8" s="1079" customFormat="1" ht="14.25" customHeight="1">
      <c r="A338" s="1087" t="s">
        <v>239</v>
      </c>
      <c r="B338" s="1088" t="s">
        <v>1380</v>
      </c>
      <c r="C338" s="1088">
        <v>880</v>
      </c>
      <c r="D338" s="1088">
        <v>850</v>
      </c>
      <c r="E338" s="1088">
        <v>830</v>
      </c>
      <c r="F338" s="1115"/>
      <c r="H338" s="1081"/>
    </row>
    <row r="339" spans="1:8" s="1079" customFormat="1" ht="14.25" customHeight="1">
      <c r="A339" s="1087" t="s">
        <v>239</v>
      </c>
      <c r="B339" s="1092" t="s">
        <v>1393</v>
      </c>
      <c r="C339" s="1092">
        <v>830</v>
      </c>
      <c r="D339" s="1092">
        <v>800</v>
      </c>
      <c r="E339" s="1092">
        <v>780</v>
      </c>
      <c r="F339" s="1109"/>
      <c r="H339" s="1081"/>
    </row>
    <row r="340" spans="1:8" s="1079" customFormat="1" ht="14.25" customHeight="1">
      <c r="A340" s="1087" t="s">
        <v>239</v>
      </c>
      <c r="B340" s="1092" t="s">
        <v>1406</v>
      </c>
      <c r="C340" s="1092">
        <v>980</v>
      </c>
      <c r="D340" s="1092">
        <v>950</v>
      </c>
      <c r="E340" s="1092">
        <v>920</v>
      </c>
      <c r="F340" s="1109"/>
      <c r="H340" s="1081"/>
    </row>
    <row r="341" spans="1:8" s="1079" customFormat="1" ht="14.25" customHeight="1">
      <c r="A341" s="1087" t="s">
        <v>239</v>
      </c>
      <c r="B341" s="1092" t="s">
        <v>1417</v>
      </c>
      <c r="C341" s="1092">
        <v>760</v>
      </c>
      <c r="D341" s="1092">
        <v>720</v>
      </c>
      <c r="E341" s="1092">
        <v>690</v>
      </c>
      <c r="F341" s="1100">
        <v>350</v>
      </c>
      <c r="H341" s="1081"/>
    </row>
    <row r="342" spans="1:8" s="1079" customFormat="1" ht="14.25" customHeight="1">
      <c r="A342" s="1087" t="s">
        <v>239</v>
      </c>
      <c r="B342" s="1092" t="s">
        <v>1428</v>
      </c>
      <c r="C342" s="1092">
        <v>910</v>
      </c>
      <c r="D342" s="1092">
        <v>870</v>
      </c>
      <c r="E342" s="1092">
        <v>850</v>
      </c>
      <c r="F342" s="1100">
        <v>370</v>
      </c>
      <c r="H342" s="1081"/>
    </row>
    <row r="343" spans="1:8" s="1079" customFormat="1" ht="14.25" customHeight="1">
      <c r="A343" s="1087" t="s">
        <v>239</v>
      </c>
      <c r="B343" s="1092" t="s">
        <v>1439</v>
      </c>
      <c r="C343" s="1092">
        <v>800</v>
      </c>
      <c r="D343" s="1092">
        <v>760</v>
      </c>
      <c r="E343" s="1092">
        <v>730</v>
      </c>
      <c r="F343" s="1100">
        <v>340</v>
      </c>
      <c r="H343" s="1081"/>
    </row>
    <row r="344" spans="1:8" s="1079" customFormat="1" ht="14.25" customHeight="1">
      <c r="A344" s="1087" t="s">
        <v>239</v>
      </c>
      <c r="B344" s="1098" t="s">
        <v>1450</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1708</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1709</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1710</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1711</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279" t="s">
        <v>1712</v>
      </c>
      <c r="B1" s="3279"/>
    </row>
    <row r="2" spans="1:6">
      <c r="A2" s="1038"/>
      <c r="B2" s="1038"/>
    </row>
    <row r="3" spans="1:6">
      <c r="A3" s="1038"/>
      <c r="B3" s="1038"/>
      <c r="C3" s="1039" t="s">
        <v>293</v>
      </c>
      <c r="D3" s="1039" t="s">
        <v>294</v>
      </c>
      <c r="E3" s="1039" t="s">
        <v>292</v>
      </c>
      <c r="F3" s="1039" t="s">
        <v>114</v>
      </c>
    </row>
    <row r="4" spans="1:6">
      <c r="A4" s="1040" t="s">
        <v>1381</v>
      </c>
      <c r="B4" s="1041" t="s">
        <v>345</v>
      </c>
      <c r="C4" s="1039"/>
      <c r="D4" s="1039"/>
      <c r="E4" s="1039"/>
      <c r="F4" s="1039"/>
    </row>
    <row r="5" spans="1:6">
      <c r="A5" s="1042" t="s">
        <v>161</v>
      </c>
      <c r="B5" s="1043" t="s">
        <v>1370</v>
      </c>
      <c r="C5" s="1044">
        <v>8.8999999999999996E-2</v>
      </c>
      <c r="D5" s="1044">
        <v>7.3999999999999996E-2</v>
      </c>
      <c r="E5" s="1044">
        <v>7.4999999999999997E-2</v>
      </c>
      <c r="F5" s="1045">
        <v>0.1</v>
      </c>
    </row>
    <row r="6" spans="1:6">
      <c r="A6" s="1042" t="s">
        <v>161</v>
      </c>
      <c r="B6" s="1046" t="s">
        <v>1382</v>
      </c>
      <c r="C6" s="1047">
        <v>0.1</v>
      </c>
      <c r="D6" s="1047">
        <v>9.0999999999999998E-2</v>
      </c>
      <c r="E6" s="1047">
        <v>9.0999999999999998E-2</v>
      </c>
      <c r="F6" s="1048">
        <v>0.1</v>
      </c>
    </row>
    <row r="7" spans="1:6">
      <c r="A7" s="1042" t="s">
        <v>161</v>
      </c>
      <c r="B7" s="1049" t="s">
        <v>1395</v>
      </c>
      <c r="C7" s="1047">
        <v>8.5999999999999993E-2</v>
      </c>
      <c r="D7" s="1047">
        <v>9.6000000000000002E-2</v>
      </c>
      <c r="E7" s="1047">
        <v>7.5999999999999998E-2</v>
      </c>
      <c r="F7" s="1048">
        <v>0.1</v>
      </c>
    </row>
    <row r="8" spans="1:6">
      <c r="A8" s="1042" t="s">
        <v>161</v>
      </c>
      <c r="B8" s="1046" t="s">
        <v>1407</v>
      </c>
      <c r="C8" s="1047">
        <v>9.9000000000000005E-2</v>
      </c>
      <c r="D8" s="1047">
        <v>9.8000000000000004E-2</v>
      </c>
      <c r="E8" s="1047">
        <v>9.8000000000000004E-2</v>
      </c>
      <c r="F8" s="1048">
        <v>0.1</v>
      </c>
    </row>
    <row r="9" spans="1:6">
      <c r="A9" s="1050" t="s">
        <v>161</v>
      </c>
      <c r="B9" s="1051" t="s">
        <v>1418</v>
      </c>
      <c r="C9" s="1052">
        <v>0.05</v>
      </c>
      <c r="D9" s="1053"/>
      <c r="E9" s="1053"/>
      <c r="F9" s="1054"/>
    </row>
    <row r="10" spans="1:6">
      <c r="A10" s="1042" t="s">
        <v>175</v>
      </c>
      <c r="B10" s="1043" t="s">
        <v>1371</v>
      </c>
      <c r="C10" s="1044">
        <v>8.8999999999999996E-2</v>
      </c>
      <c r="D10" s="1044">
        <v>7.2999999999999995E-2</v>
      </c>
      <c r="E10" s="1044">
        <v>8.2000000000000003E-2</v>
      </c>
      <c r="F10" s="1045">
        <v>0.1</v>
      </c>
    </row>
    <row r="11" spans="1:6">
      <c r="A11" s="1042" t="s">
        <v>175</v>
      </c>
      <c r="B11" s="1049" t="s">
        <v>1383</v>
      </c>
      <c r="C11" s="1047">
        <v>8.8999999999999996E-2</v>
      </c>
      <c r="D11" s="1047">
        <v>7.2999999999999995E-2</v>
      </c>
      <c r="E11" s="1047">
        <v>8.2000000000000003E-2</v>
      </c>
      <c r="F11" s="1048">
        <v>0.1</v>
      </c>
    </row>
    <row r="12" spans="1:6">
      <c r="A12" s="1042" t="s">
        <v>175</v>
      </c>
      <c r="B12" s="1049" t="s">
        <v>1396</v>
      </c>
      <c r="C12" s="1047">
        <v>6.0999999999999999E-2</v>
      </c>
      <c r="D12" s="1047">
        <v>7.0999999999999994E-2</v>
      </c>
      <c r="E12" s="1047">
        <v>9.6000000000000002E-2</v>
      </c>
      <c r="F12" s="1048">
        <v>0.1</v>
      </c>
    </row>
    <row r="13" spans="1:6">
      <c r="A13" s="1042" t="s">
        <v>175</v>
      </c>
      <c r="B13" s="1049" t="s">
        <v>1408</v>
      </c>
      <c r="C13" s="1047">
        <v>6.9000000000000006E-2</v>
      </c>
      <c r="D13" s="1047">
        <v>6.5000000000000002E-2</v>
      </c>
      <c r="E13" s="1047">
        <v>6.6000000000000003E-2</v>
      </c>
      <c r="F13" s="1048">
        <v>0.1</v>
      </c>
    </row>
    <row r="14" spans="1:6">
      <c r="A14" s="1042" t="s">
        <v>175</v>
      </c>
      <c r="B14" s="1049" t="s">
        <v>1419</v>
      </c>
      <c r="C14" s="1047">
        <v>0.1</v>
      </c>
      <c r="D14" s="1047">
        <v>6.5000000000000002E-2</v>
      </c>
      <c r="E14" s="1047">
        <v>7.0000000000000007E-2</v>
      </c>
      <c r="F14" s="1048">
        <v>0.1</v>
      </c>
    </row>
    <row r="15" spans="1:6">
      <c r="A15" s="1042" t="s">
        <v>175</v>
      </c>
      <c r="B15" s="1049" t="s">
        <v>1429</v>
      </c>
      <c r="C15" s="1047">
        <v>9.8000000000000004E-2</v>
      </c>
      <c r="D15" s="1047">
        <v>8.8999999999999996E-2</v>
      </c>
      <c r="E15" s="1047">
        <v>8.8999999999999996E-2</v>
      </c>
      <c r="F15" s="1048">
        <v>0.1</v>
      </c>
    </row>
    <row r="16" spans="1:6">
      <c r="A16" s="1042" t="s">
        <v>175</v>
      </c>
      <c r="B16" s="1049" t="s">
        <v>1440</v>
      </c>
      <c r="C16" s="1047">
        <v>7.0000000000000007E-2</v>
      </c>
      <c r="D16" s="1047">
        <v>9.2999999999999999E-2</v>
      </c>
      <c r="E16" s="1047">
        <v>9.6000000000000002E-2</v>
      </c>
      <c r="F16" s="1048">
        <v>0.1</v>
      </c>
    </row>
    <row r="17" spans="1:6">
      <c r="A17" s="1042" t="s">
        <v>175</v>
      </c>
      <c r="B17" s="1049" t="s">
        <v>1451</v>
      </c>
      <c r="C17" s="1047">
        <v>9.5000000000000001E-2</v>
      </c>
      <c r="D17" s="1047">
        <v>0.1</v>
      </c>
      <c r="E17" s="1047">
        <v>0.1</v>
      </c>
      <c r="F17" s="1055"/>
    </row>
    <row r="18" spans="1:6">
      <c r="A18" s="1042" t="s">
        <v>175</v>
      </c>
      <c r="B18" s="1049" t="s">
        <v>1460</v>
      </c>
      <c r="C18" s="1047">
        <v>7.3999999999999996E-2</v>
      </c>
      <c r="D18" s="1047">
        <v>9.9000000000000005E-2</v>
      </c>
      <c r="E18" s="1047">
        <v>0.1</v>
      </c>
      <c r="F18" s="1055"/>
    </row>
    <row r="19" spans="1:6">
      <c r="A19" s="1042" t="s">
        <v>175</v>
      </c>
      <c r="B19" s="1049" t="s">
        <v>1470</v>
      </c>
      <c r="C19" s="1047">
        <v>9.9000000000000005E-2</v>
      </c>
      <c r="D19" s="1047">
        <v>7.5999999999999998E-2</v>
      </c>
      <c r="E19" s="1047">
        <v>8.6999999999999994E-2</v>
      </c>
      <c r="F19" s="1055"/>
    </row>
    <row r="20" spans="1:6">
      <c r="A20" s="1042" t="s">
        <v>175</v>
      </c>
      <c r="B20" s="1049" t="s">
        <v>1480</v>
      </c>
      <c r="C20" s="1047">
        <v>9.8000000000000004E-2</v>
      </c>
      <c r="D20" s="1047">
        <v>8.5000000000000006E-2</v>
      </c>
      <c r="E20" s="1047">
        <v>8.2000000000000003E-2</v>
      </c>
      <c r="F20" s="1055"/>
    </row>
    <row r="21" spans="1:6">
      <c r="A21" s="1042" t="s">
        <v>175</v>
      </c>
      <c r="B21" s="1049" t="s">
        <v>1490</v>
      </c>
      <c r="C21" s="1047">
        <v>6.6000000000000003E-2</v>
      </c>
      <c r="D21" s="1047">
        <v>6.4000000000000001E-2</v>
      </c>
      <c r="E21" s="1047">
        <v>6.5000000000000002E-2</v>
      </c>
      <c r="F21" s="1055"/>
    </row>
    <row r="22" spans="1:6">
      <c r="A22" s="1042" t="s">
        <v>175</v>
      </c>
      <c r="B22" s="1049" t="s">
        <v>1500</v>
      </c>
      <c r="C22" s="1047">
        <v>0.08</v>
      </c>
      <c r="D22" s="1047">
        <v>9.8000000000000004E-2</v>
      </c>
      <c r="E22" s="1047">
        <v>9.8000000000000004E-2</v>
      </c>
      <c r="F22" s="1055"/>
    </row>
    <row r="23" spans="1:6">
      <c r="A23" s="1042" t="s">
        <v>175</v>
      </c>
      <c r="B23" s="1049" t="s">
        <v>1510</v>
      </c>
      <c r="C23" s="1047">
        <v>9.9000000000000005E-2</v>
      </c>
      <c r="D23" s="1047">
        <v>9.8000000000000004E-2</v>
      </c>
      <c r="E23" s="1047">
        <v>9.0999999999999998E-2</v>
      </c>
      <c r="F23" s="1055"/>
    </row>
    <row r="24" spans="1:6">
      <c r="A24" s="1042" t="s">
        <v>175</v>
      </c>
      <c r="B24" s="1049" t="s">
        <v>1520</v>
      </c>
      <c r="C24" s="1047">
        <v>8.8999999999999996E-2</v>
      </c>
      <c r="D24" s="1047">
        <v>9.7000000000000003E-2</v>
      </c>
      <c r="E24" s="1047">
        <v>7.0000000000000007E-2</v>
      </c>
      <c r="F24" s="1055"/>
    </row>
    <row r="25" spans="1:6">
      <c r="A25" s="1042" t="s">
        <v>175</v>
      </c>
      <c r="B25" s="1049" t="s">
        <v>1530</v>
      </c>
      <c r="C25" s="1047">
        <v>8.8999999999999996E-2</v>
      </c>
      <c r="D25" s="1047">
        <v>0.1</v>
      </c>
      <c r="E25" s="1047">
        <v>8.1000000000000003E-2</v>
      </c>
      <c r="F25" s="1055"/>
    </row>
    <row r="26" spans="1:6">
      <c r="A26" s="1042" t="s">
        <v>175</v>
      </c>
      <c r="B26" s="1049" t="s">
        <v>1540</v>
      </c>
      <c r="C26" s="1056"/>
      <c r="D26" s="1047">
        <v>9.6000000000000002E-2</v>
      </c>
      <c r="E26" s="1047">
        <v>9.2999999999999999E-2</v>
      </c>
      <c r="F26" s="1055"/>
    </row>
    <row r="27" spans="1:6">
      <c r="A27" s="1042" t="s">
        <v>175</v>
      </c>
      <c r="B27" s="1049" t="s">
        <v>1550</v>
      </c>
      <c r="C27" s="1056"/>
      <c r="D27" s="1047">
        <v>7.5999999999999998E-2</v>
      </c>
      <c r="E27" s="1047">
        <v>9.1999999999999998E-2</v>
      </c>
      <c r="F27" s="1055"/>
    </row>
    <row r="28" spans="1:6">
      <c r="A28" s="1050" t="s">
        <v>175</v>
      </c>
      <c r="B28" s="1051" t="s">
        <v>1560</v>
      </c>
      <c r="C28" s="1053"/>
      <c r="D28" s="1052">
        <v>7.5999999999999998E-2</v>
      </c>
      <c r="E28" s="1052">
        <v>9.1999999999999998E-2</v>
      </c>
      <c r="F28" s="1054"/>
    </row>
    <row r="29" spans="1:6">
      <c r="A29" s="1042" t="s">
        <v>188</v>
      </c>
      <c r="B29" s="1043" t="s">
        <v>1372</v>
      </c>
      <c r="C29" s="1044">
        <v>6.4000000000000001E-2</v>
      </c>
      <c r="D29" s="1044">
        <v>6.5000000000000002E-2</v>
      </c>
      <c r="E29" s="1044">
        <v>6.9000000000000006E-2</v>
      </c>
      <c r="F29" s="1045">
        <v>0.1</v>
      </c>
    </row>
    <row r="30" spans="1:6">
      <c r="A30" s="1042" t="s">
        <v>188</v>
      </c>
      <c r="B30" s="1049" t="s">
        <v>1384</v>
      </c>
      <c r="C30" s="1047">
        <v>6.4000000000000001E-2</v>
      </c>
      <c r="D30" s="1047">
        <v>9.9000000000000005E-2</v>
      </c>
      <c r="E30" s="1047">
        <v>0.1</v>
      </c>
      <c r="F30" s="1048">
        <v>0.1</v>
      </c>
    </row>
    <row r="31" spans="1:6">
      <c r="A31" s="1042" t="s">
        <v>188</v>
      </c>
      <c r="B31" s="1049" t="s">
        <v>1397</v>
      </c>
      <c r="C31" s="1047">
        <v>0.1</v>
      </c>
      <c r="D31" s="1047">
        <v>9.5000000000000001E-2</v>
      </c>
      <c r="E31" s="1047">
        <v>8.8999999999999996E-2</v>
      </c>
      <c r="F31" s="1048">
        <v>0.1</v>
      </c>
    </row>
    <row r="32" spans="1:6">
      <c r="A32" s="1042" t="s">
        <v>188</v>
      </c>
      <c r="B32" s="1049" t="s">
        <v>1409</v>
      </c>
      <c r="C32" s="1047">
        <v>0.05</v>
      </c>
      <c r="D32" s="1047">
        <v>0.05</v>
      </c>
      <c r="E32" s="1047">
        <v>8.7999999999999995E-2</v>
      </c>
      <c r="F32" s="1048">
        <v>0.1</v>
      </c>
    </row>
    <row r="33" spans="1:6">
      <c r="A33" s="1042" t="s">
        <v>188</v>
      </c>
      <c r="B33" s="1049" t="s">
        <v>1420</v>
      </c>
      <c r="C33" s="1047">
        <v>7.4999999999999997E-2</v>
      </c>
      <c r="D33" s="1047">
        <v>9.4E-2</v>
      </c>
      <c r="E33" s="1047">
        <v>9.7000000000000003E-2</v>
      </c>
      <c r="F33" s="1048">
        <v>0.1</v>
      </c>
    </row>
    <row r="34" spans="1:6">
      <c r="A34" s="1042" t="s">
        <v>188</v>
      </c>
      <c r="B34" s="1049" t="s">
        <v>1430</v>
      </c>
      <c r="C34" s="1047">
        <v>9.8000000000000004E-2</v>
      </c>
      <c r="D34" s="1047">
        <v>8.5999999999999993E-2</v>
      </c>
      <c r="E34" s="1047">
        <v>9.7000000000000003E-2</v>
      </c>
      <c r="F34" s="1048">
        <v>0.1</v>
      </c>
    </row>
    <row r="35" spans="1:6">
      <c r="A35" s="1042" t="s">
        <v>188</v>
      </c>
      <c r="B35" s="1049" t="s">
        <v>1441</v>
      </c>
      <c r="C35" s="1047">
        <v>5.8999999999999997E-2</v>
      </c>
      <c r="D35" s="1047">
        <v>6.5000000000000002E-2</v>
      </c>
      <c r="E35" s="1047">
        <v>7.0000000000000007E-2</v>
      </c>
      <c r="F35" s="1048">
        <v>0.1</v>
      </c>
    </row>
    <row r="36" spans="1:6">
      <c r="A36" s="1042" t="s">
        <v>188</v>
      </c>
      <c r="B36" s="1049" t="s">
        <v>1452</v>
      </c>
      <c r="C36" s="1047">
        <v>6.3E-2</v>
      </c>
      <c r="D36" s="1047">
        <v>0.1</v>
      </c>
      <c r="E36" s="1047">
        <v>0.1</v>
      </c>
      <c r="F36" s="1048">
        <v>0.1</v>
      </c>
    </row>
    <row r="37" spans="1:6">
      <c r="A37" s="1042" t="s">
        <v>188</v>
      </c>
      <c r="B37" s="1049" t="s">
        <v>1461</v>
      </c>
      <c r="C37" s="1047">
        <v>7.3999999999999996E-2</v>
      </c>
      <c r="D37" s="1047">
        <v>0.1</v>
      </c>
      <c r="E37" s="1047">
        <v>0.1</v>
      </c>
      <c r="F37" s="1048">
        <v>0.1</v>
      </c>
    </row>
    <row r="38" spans="1:6">
      <c r="A38" s="1042" t="s">
        <v>188</v>
      </c>
      <c r="B38" s="1049" t="s">
        <v>1471</v>
      </c>
      <c r="C38" s="1047">
        <v>0.1</v>
      </c>
      <c r="D38" s="1047">
        <v>9.6000000000000002E-2</v>
      </c>
      <c r="E38" s="1047">
        <v>9.6000000000000002E-2</v>
      </c>
      <c r="F38" s="1055"/>
    </row>
    <row r="39" spans="1:6">
      <c r="A39" s="1042" t="s">
        <v>188</v>
      </c>
      <c r="B39" s="1049" t="s">
        <v>1481</v>
      </c>
      <c r="C39" s="1047">
        <v>0.1</v>
      </c>
      <c r="D39" s="1047">
        <v>9.6000000000000002E-2</v>
      </c>
      <c r="E39" s="1047">
        <v>9.6000000000000002E-2</v>
      </c>
      <c r="F39" s="1055"/>
    </row>
    <row r="40" spans="1:6">
      <c r="A40" s="1042" t="s">
        <v>188</v>
      </c>
      <c r="B40" s="1049" t="s">
        <v>1491</v>
      </c>
      <c r="C40" s="1047">
        <v>9.6000000000000002E-2</v>
      </c>
      <c r="D40" s="1047">
        <v>0.1</v>
      </c>
      <c r="E40" s="1047">
        <v>9.9000000000000005E-2</v>
      </c>
      <c r="F40" s="1055"/>
    </row>
    <row r="41" spans="1:6">
      <c r="A41" s="1042" t="s">
        <v>188</v>
      </c>
      <c r="B41" s="1049" t="s">
        <v>1501</v>
      </c>
      <c r="C41" s="1047">
        <v>9.6000000000000002E-2</v>
      </c>
      <c r="D41" s="1047">
        <v>9.8000000000000004E-2</v>
      </c>
      <c r="E41" s="1047">
        <v>9.8000000000000004E-2</v>
      </c>
      <c r="F41" s="1055"/>
    </row>
    <row r="42" spans="1:6">
      <c r="A42" s="1042" t="s">
        <v>188</v>
      </c>
      <c r="B42" s="1049" t="s">
        <v>1511</v>
      </c>
      <c r="C42" s="1047">
        <v>0.1</v>
      </c>
      <c r="D42" s="1047">
        <v>8.7999999999999995E-2</v>
      </c>
      <c r="E42" s="1047">
        <v>0.1</v>
      </c>
      <c r="F42" s="1055"/>
    </row>
    <row r="43" spans="1:6">
      <c r="A43" s="1042" t="s">
        <v>188</v>
      </c>
      <c r="B43" s="1049" t="s">
        <v>1521</v>
      </c>
      <c r="C43" s="1047">
        <v>9.8000000000000004E-2</v>
      </c>
      <c r="D43" s="1047">
        <v>9.7000000000000003E-2</v>
      </c>
      <c r="E43" s="1047">
        <v>9.6000000000000002E-2</v>
      </c>
      <c r="F43" s="1055"/>
    </row>
    <row r="44" spans="1:6">
      <c r="A44" s="1042" t="s">
        <v>188</v>
      </c>
      <c r="B44" s="1049" t="s">
        <v>1531</v>
      </c>
      <c r="C44" s="1047">
        <v>8.5999999999999993E-2</v>
      </c>
      <c r="D44" s="1047">
        <v>7.9000000000000001E-2</v>
      </c>
      <c r="E44" s="1047">
        <v>7.0999999999999994E-2</v>
      </c>
      <c r="F44" s="1055"/>
    </row>
    <row r="45" spans="1:6">
      <c r="A45" s="1042" t="s">
        <v>188</v>
      </c>
      <c r="B45" s="1049" t="s">
        <v>1541</v>
      </c>
      <c r="C45" s="1047">
        <v>9.8000000000000004E-2</v>
      </c>
      <c r="D45" s="1047">
        <v>9.6000000000000002E-2</v>
      </c>
      <c r="E45" s="1047">
        <v>9.6000000000000002E-2</v>
      </c>
      <c r="F45" s="1055"/>
    </row>
    <row r="46" spans="1:6">
      <c r="A46" s="1042" t="s">
        <v>188</v>
      </c>
      <c r="B46" s="1049" t="s">
        <v>1551</v>
      </c>
      <c r="C46" s="1047">
        <v>8.5999999999999993E-2</v>
      </c>
      <c r="D46" s="1047">
        <v>9.8000000000000004E-2</v>
      </c>
      <c r="E46" s="1047">
        <v>8.7999999999999995E-2</v>
      </c>
      <c r="F46" s="1055"/>
    </row>
    <row r="47" spans="1:6">
      <c r="A47" s="1042" t="s">
        <v>188</v>
      </c>
      <c r="B47" s="1049" t="s">
        <v>1561</v>
      </c>
      <c r="C47" s="1047">
        <v>9.6000000000000002E-2</v>
      </c>
      <c r="D47" s="1056"/>
      <c r="E47" s="1047">
        <v>6.9000000000000006E-2</v>
      </c>
      <c r="F47" s="1055"/>
    </row>
    <row r="48" spans="1:6">
      <c r="A48" s="1050" t="s">
        <v>188</v>
      </c>
      <c r="B48" s="1051" t="s">
        <v>1570</v>
      </c>
      <c r="C48" s="1052">
        <v>9.8000000000000004E-2</v>
      </c>
      <c r="D48" s="1053"/>
      <c r="E48" s="1052">
        <v>9.5000000000000001E-2</v>
      </c>
      <c r="F48" s="1054"/>
    </row>
    <row r="49" spans="1:6">
      <c r="A49" s="1042" t="s">
        <v>199</v>
      </c>
      <c r="B49" s="1043" t="s">
        <v>1373</v>
      </c>
      <c r="C49" s="1044">
        <v>9.7000000000000003E-2</v>
      </c>
      <c r="D49" s="1044">
        <v>9.5000000000000001E-2</v>
      </c>
      <c r="E49" s="1044">
        <v>9.7000000000000003E-2</v>
      </c>
      <c r="F49" s="1045">
        <v>0.1</v>
      </c>
    </row>
    <row r="50" spans="1:6">
      <c r="A50" s="1042" t="s">
        <v>199</v>
      </c>
      <c r="B50" s="1046" t="s">
        <v>1385</v>
      </c>
      <c r="C50" s="1047">
        <v>7.4999999999999997E-2</v>
      </c>
      <c r="D50" s="1047">
        <v>9.5000000000000001E-2</v>
      </c>
      <c r="E50" s="1047">
        <v>0.1</v>
      </c>
      <c r="F50" s="1048">
        <v>0.1</v>
      </c>
    </row>
    <row r="51" spans="1:6">
      <c r="A51" s="1042" t="s">
        <v>199</v>
      </c>
      <c r="B51" s="1046" t="s">
        <v>1398</v>
      </c>
      <c r="C51" s="1047">
        <v>9.8000000000000004E-2</v>
      </c>
      <c r="D51" s="1047">
        <v>8.8999999999999996E-2</v>
      </c>
      <c r="E51" s="1047">
        <v>0.1</v>
      </c>
      <c r="F51" s="1048">
        <v>0.1</v>
      </c>
    </row>
    <row r="52" spans="1:6">
      <c r="A52" s="1042" t="s">
        <v>199</v>
      </c>
      <c r="B52" s="1046" t="s">
        <v>1410</v>
      </c>
      <c r="C52" s="1047">
        <v>9.8000000000000004E-2</v>
      </c>
      <c r="D52" s="1047">
        <v>9.7000000000000003E-2</v>
      </c>
      <c r="E52" s="1047">
        <v>8.1000000000000003E-2</v>
      </c>
      <c r="F52" s="1048">
        <v>0.1</v>
      </c>
    </row>
    <row r="53" spans="1:6">
      <c r="A53" s="1042" t="s">
        <v>199</v>
      </c>
      <c r="B53" s="1046" t="s">
        <v>1421</v>
      </c>
      <c r="C53" s="1047">
        <v>9.7000000000000003E-2</v>
      </c>
      <c r="D53" s="1047">
        <v>7.5999999999999998E-2</v>
      </c>
      <c r="E53" s="1047">
        <v>7.0999999999999994E-2</v>
      </c>
      <c r="F53" s="1048">
        <v>0.1</v>
      </c>
    </row>
    <row r="54" spans="1:6">
      <c r="A54" s="1042" t="s">
        <v>199</v>
      </c>
      <c r="B54" s="1046" t="s">
        <v>1431</v>
      </c>
      <c r="C54" s="1047">
        <v>7.5999999999999998E-2</v>
      </c>
      <c r="D54" s="1047">
        <v>0.1</v>
      </c>
      <c r="E54" s="1047">
        <v>9.9000000000000005E-2</v>
      </c>
      <c r="F54" s="1048">
        <v>0.1</v>
      </c>
    </row>
    <row r="55" spans="1:6">
      <c r="A55" s="1042" t="s">
        <v>199</v>
      </c>
      <c r="B55" s="1046" t="s">
        <v>1442</v>
      </c>
      <c r="C55" s="1047">
        <v>0.1</v>
      </c>
      <c r="D55" s="1047">
        <v>0.1</v>
      </c>
      <c r="E55" s="1047">
        <v>9.6000000000000002E-2</v>
      </c>
      <c r="F55" s="1048">
        <v>0.1</v>
      </c>
    </row>
    <row r="56" spans="1:6">
      <c r="A56" s="1042" t="s">
        <v>199</v>
      </c>
      <c r="B56" s="1046" t="s">
        <v>1453</v>
      </c>
      <c r="C56" s="1047">
        <v>0.1</v>
      </c>
      <c r="D56" s="1047">
        <v>9.6000000000000002E-2</v>
      </c>
      <c r="E56" s="1047">
        <v>5.1999999999999998E-2</v>
      </c>
      <c r="F56" s="1048">
        <v>0.1</v>
      </c>
    </row>
    <row r="57" spans="1:6">
      <c r="A57" s="1042" t="s">
        <v>199</v>
      </c>
      <c r="B57" s="1046" t="s">
        <v>1462</v>
      </c>
      <c r="C57" s="1047">
        <v>9.7000000000000003E-2</v>
      </c>
      <c r="D57" s="1047">
        <v>9.6000000000000002E-2</v>
      </c>
      <c r="E57" s="1047">
        <v>9.6000000000000002E-2</v>
      </c>
      <c r="F57" s="1048">
        <v>0.1</v>
      </c>
    </row>
    <row r="58" spans="1:6">
      <c r="A58" s="1042" t="s">
        <v>199</v>
      </c>
      <c r="B58" s="1046" t="s">
        <v>1472</v>
      </c>
      <c r="C58" s="1047">
        <v>9.6000000000000002E-2</v>
      </c>
      <c r="D58" s="1047">
        <v>9.9000000000000005E-2</v>
      </c>
      <c r="E58" s="1047">
        <v>9.6000000000000002E-2</v>
      </c>
      <c r="F58" s="1048">
        <v>0.1</v>
      </c>
    </row>
    <row r="59" spans="1:6">
      <c r="A59" s="1042" t="s">
        <v>199</v>
      </c>
      <c r="B59" s="1046" t="s">
        <v>1482</v>
      </c>
      <c r="C59" s="1047">
        <v>7.1999999999999995E-2</v>
      </c>
      <c r="D59" s="1047">
        <v>9.6000000000000002E-2</v>
      </c>
      <c r="E59" s="1047">
        <v>7.0999999999999994E-2</v>
      </c>
      <c r="F59" s="1048">
        <v>0.1</v>
      </c>
    </row>
    <row r="60" spans="1:6">
      <c r="A60" s="1042" t="s">
        <v>199</v>
      </c>
      <c r="B60" s="1046" t="s">
        <v>1492</v>
      </c>
      <c r="C60" s="1047">
        <v>9.6000000000000002E-2</v>
      </c>
      <c r="D60" s="1047">
        <v>8.8999999999999996E-2</v>
      </c>
      <c r="E60" s="1047">
        <v>9.6000000000000002E-2</v>
      </c>
      <c r="F60" s="1048">
        <v>0.1</v>
      </c>
    </row>
    <row r="61" spans="1:6">
      <c r="A61" s="1042" t="s">
        <v>199</v>
      </c>
      <c r="B61" s="1046" t="s">
        <v>1502</v>
      </c>
      <c r="C61" s="1047">
        <v>8.8999999999999996E-2</v>
      </c>
      <c r="D61" s="1047">
        <v>9.8000000000000004E-2</v>
      </c>
      <c r="E61" s="1047">
        <v>8.7999999999999995E-2</v>
      </c>
      <c r="F61" s="1055"/>
    </row>
    <row r="62" spans="1:6">
      <c r="A62" s="1042" t="s">
        <v>199</v>
      </c>
      <c r="B62" s="1046" t="s">
        <v>1512</v>
      </c>
      <c r="C62" s="1047">
        <v>9.8000000000000004E-2</v>
      </c>
      <c r="D62" s="1047">
        <v>9.2999999999999999E-2</v>
      </c>
      <c r="E62" s="1047">
        <v>9.7000000000000003E-2</v>
      </c>
      <c r="F62" s="1055"/>
    </row>
    <row r="63" spans="1:6">
      <c r="A63" s="1042" t="s">
        <v>199</v>
      </c>
      <c r="B63" s="1046" t="s">
        <v>1522</v>
      </c>
      <c r="C63" s="1047">
        <v>9.6000000000000002E-2</v>
      </c>
      <c r="D63" s="1047">
        <v>9.8000000000000004E-2</v>
      </c>
      <c r="E63" s="1047">
        <v>0.09</v>
      </c>
      <c r="F63" s="1055"/>
    </row>
    <row r="64" spans="1:6">
      <c r="A64" s="1042" t="s">
        <v>199</v>
      </c>
      <c r="B64" s="1046" t="s">
        <v>1532</v>
      </c>
      <c r="C64" s="1047">
        <v>9.9000000000000005E-2</v>
      </c>
      <c r="D64" s="1047">
        <v>9.7000000000000003E-2</v>
      </c>
      <c r="E64" s="1047">
        <v>9.9000000000000005E-2</v>
      </c>
      <c r="F64" s="1055"/>
    </row>
    <row r="65" spans="1:6">
      <c r="A65" s="1042" t="s">
        <v>199</v>
      </c>
      <c r="B65" s="1046" t="s">
        <v>1542</v>
      </c>
      <c r="C65" s="1047">
        <v>9.8000000000000004E-2</v>
      </c>
      <c r="D65" s="1047">
        <v>9.6000000000000002E-2</v>
      </c>
      <c r="E65" s="1047">
        <v>9.6000000000000002E-2</v>
      </c>
      <c r="F65" s="1055"/>
    </row>
    <row r="66" spans="1:6">
      <c r="A66" s="1042" t="s">
        <v>199</v>
      </c>
      <c r="B66" s="1046" t="s">
        <v>1552</v>
      </c>
      <c r="C66" s="1047">
        <v>9.6000000000000002E-2</v>
      </c>
      <c r="D66" s="1047">
        <v>9.1999999999999998E-2</v>
      </c>
      <c r="E66" s="1047">
        <v>9.6000000000000002E-2</v>
      </c>
      <c r="F66" s="1055"/>
    </row>
    <row r="67" spans="1:6">
      <c r="A67" s="1042" t="s">
        <v>199</v>
      </c>
      <c r="B67" s="1046" t="s">
        <v>1562</v>
      </c>
      <c r="C67" s="1047">
        <v>9.4E-2</v>
      </c>
      <c r="D67" s="1047">
        <v>0.1</v>
      </c>
      <c r="E67" s="1047">
        <v>8.7999999999999995E-2</v>
      </c>
      <c r="F67" s="1055"/>
    </row>
    <row r="68" spans="1:6">
      <c r="A68" s="1042" t="s">
        <v>199</v>
      </c>
      <c r="B68" s="1046" t="s">
        <v>1571</v>
      </c>
      <c r="C68" s="1047">
        <v>0.1</v>
      </c>
      <c r="D68" s="1047">
        <v>8.7999999999999995E-2</v>
      </c>
      <c r="E68" s="1047">
        <v>9.7000000000000003E-2</v>
      </c>
      <c r="F68" s="1055"/>
    </row>
    <row r="69" spans="1:6">
      <c r="A69" s="1042" t="s">
        <v>199</v>
      </c>
      <c r="B69" s="1046" t="s">
        <v>1579</v>
      </c>
      <c r="C69" s="1047">
        <v>6.4000000000000001E-2</v>
      </c>
      <c r="D69" s="1047">
        <v>0.1</v>
      </c>
      <c r="E69" s="1047">
        <v>0.1</v>
      </c>
      <c r="F69" s="1055"/>
    </row>
    <row r="70" spans="1:6">
      <c r="A70" s="1042" t="s">
        <v>199</v>
      </c>
      <c r="B70" s="1046" t="s">
        <v>1587</v>
      </c>
      <c r="C70" s="1047">
        <v>9.0999999999999998E-2</v>
      </c>
      <c r="D70" s="1056"/>
      <c r="E70" s="1056"/>
      <c r="F70" s="1055"/>
    </row>
    <row r="71" spans="1:6">
      <c r="A71" s="1042" t="s">
        <v>199</v>
      </c>
      <c r="B71" s="1046" t="s">
        <v>1594</v>
      </c>
      <c r="C71" s="1047">
        <v>0.1</v>
      </c>
      <c r="D71" s="1056"/>
      <c r="E71" s="1056"/>
      <c r="F71" s="1055"/>
    </row>
    <row r="72" spans="1:6">
      <c r="A72" s="1042" t="s">
        <v>199</v>
      </c>
      <c r="B72" s="1046" t="s">
        <v>1601</v>
      </c>
      <c r="C72" s="1056"/>
      <c r="D72" s="1056"/>
      <c r="E72" s="1056"/>
      <c r="F72" s="1048">
        <v>0.05</v>
      </c>
    </row>
    <row r="73" spans="1:6">
      <c r="A73" s="1042" t="s">
        <v>199</v>
      </c>
      <c r="B73" s="1046" t="s">
        <v>1608</v>
      </c>
      <c r="C73" s="1056"/>
      <c r="D73" s="1056"/>
      <c r="E73" s="1056"/>
      <c r="F73" s="1048">
        <v>0.05</v>
      </c>
    </row>
    <row r="74" spans="1:6">
      <c r="A74" s="1042" t="s">
        <v>199</v>
      </c>
      <c r="B74" s="1046" t="s">
        <v>1615</v>
      </c>
      <c r="C74" s="1056"/>
      <c r="D74" s="1056"/>
      <c r="E74" s="1056"/>
      <c r="F74" s="1048">
        <v>0.05</v>
      </c>
    </row>
    <row r="75" spans="1:6">
      <c r="A75" s="1050" t="s">
        <v>199</v>
      </c>
      <c r="B75" s="1057" t="s">
        <v>1622</v>
      </c>
      <c r="C75" s="1053"/>
      <c r="D75" s="1053"/>
      <c r="E75" s="1053"/>
      <c r="F75" s="1058">
        <v>0.05</v>
      </c>
    </row>
    <row r="76" spans="1:6">
      <c r="A76" s="1042" t="s">
        <v>209</v>
      </c>
      <c r="B76" s="1043" t="s">
        <v>1374</v>
      </c>
      <c r="C76" s="1044">
        <v>0.1</v>
      </c>
      <c r="D76" s="1044">
        <v>0.1</v>
      </c>
      <c r="E76" s="1044">
        <v>0.1</v>
      </c>
      <c r="F76" s="1045">
        <v>0.1</v>
      </c>
    </row>
    <row r="77" spans="1:6">
      <c r="A77" s="1042" t="s">
        <v>209</v>
      </c>
      <c r="B77" s="1046" t="s">
        <v>1386</v>
      </c>
      <c r="C77" s="1047">
        <v>8.7999999999999995E-2</v>
      </c>
      <c r="D77" s="1047">
        <v>8.6999999999999994E-2</v>
      </c>
      <c r="E77" s="1047">
        <v>7.9000000000000001E-2</v>
      </c>
      <c r="F77" s="1048">
        <v>0.1</v>
      </c>
    </row>
    <row r="78" spans="1:6">
      <c r="A78" s="1042" t="s">
        <v>209</v>
      </c>
      <c r="B78" s="1046" t="s">
        <v>1399</v>
      </c>
      <c r="C78" s="1047">
        <v>8.6999999999999994E-2</v>
      </c>
      <c r="D78" s="1047">
        <v>8.4000000000000005E-2</v>
      </c>
      <c r="E78" s="1047">
        <v>9.6000000000000002E-2</v>
      </c>
      <c r="F78" s="1048">
        <v>0.1</v>
      </c>
    </row>
    <row r="79" spans="1:6">
      <c r="A79" s="1042" t="s">
        <v>209</v>
      </c>
      <c r="B79" s="1046" t="s">
        <v>1411</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1432</v>
      </c>
      <c r="C81" s="1047">
        <v>9.9000000000000005E-2</v>
      </c>
      <c r="D81" s="1047">
        <v>9.9000000000000005E-2</v>
      </c>
      <c r="E81" s="1047">
        <v>9.8000000000000004E-2</v>
      </c>
      <c r="F81" s="1048">
        <v>0.1</v>
      </c>
    </row>
    <row r="82" spans="1:6">
      <c r="A82" s="1042" t="s">
        <v>209</v>
      </c>
      <c r="B82" s="1046" t="s">
        <v>1443</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1463</v>
      </c>
      <c r="C84" s="1047">
        <v>9.9000000000000005E-2</v>
      </c>
      <c r="D84" s="1047">
        <v>9.9000000000000005E-2</v>
      </c>
      <c r="E84" s="1047">
        <v>9.9000000000000005E-2</v>
      </c>
      <c r="F84" s="1048">
        <v>0.1</v>
      </c>
    </row>
    <row r="85" spans="1:6">
      <c r="A85" s="1042" t="s">
        <v>209</v>
      </c>
      <c r="B85" s="1046" t="s">
        <v>1473</v>
      </c>
      <c r="C85" s="1047">
        <v>9.9000000000000005E-2</v>
      </c>
      <c r="D85" s="1047">
        <v>9.9000000000000005E-2</v>
      </c>
      <c r="E85" s="1047">
        <v>9.9000000000000005E-2</v>
      </c>
      <c r="F85" s="1048">
        <v>0.1</v>
      </c>
    </row>
    <row r="86" spans="1:6">
      <c r="A86" s="1042" t="s">
        <v>209</v>
      </c>
      <c r="B86" s="1046" t="s">
        <v>1483</v>
      </c>
      <c r="C86" s="1047">
        <v>0.1</v>
      </c>
      <c r="D86" s="1047">
        <v>0.1</v>
      </c>
      <c r="E86" s="1047">
        <v>7.6999999999999999E-2</v>
      </c>
      <c r="F86" s="1048">
        <v>0.1</v>
      </c>
    </row>
    <row r="87" spans="1:6">
      <c r="A87" s="1042" t="s">
        <v>209</v>
      </c>
      <c r="B87" s="1046" t="s">
        <v>1493</v>
      </c>
      <c r="C87" s="1047">
        <v>0.1</v>
      </c>
      <c r="D87" s="1047">
        <v>0.1</v>
      </c>
      <c r="E87" s="1047">
        <v>9.8000000000000004E-2</v>
      </c>
      <c r="F87" s="1055"/>
    </row>
    <row r="88" spans="1:6">
      <c r="A88" s="1042" t="s">
        <v>209</v>
      </c>
      <c r="B88" s="1046" t="s">
        <v>1503</v>
      </c>
      <c r="C88" s="1047">
        <v>9.1999999999999998E-2</v>
      </c>
      <c r="D88" s="1047">
        <v>8.5000000000000006E-2</v>
      </c>
      <c r="E88" s="1047">
        <v>9.6000000000000002E-2</v>
      </c>
      <c r="F88" s="1055"/>
    </row>
    <row r="89" spans="1:6">
      <c r="A89" s="1042" t="s">
        <v>209</v>
      </c>
      <c r="B89" s="1046" t="s">
        <v>1513</v>
      </c>
      <c r="C89" s="1047">
        <v>0.1</v>
      </c>
      <c r="D89" s="1047">
        <v>0.1</v>
      </c>
      <c r="E89" s="1047">
        <v>9.7000000000000003E-2</v>
      </c>
      <c r="F89" s="1055"/>
    </row>
    <row r="90" spans="1:6">
      <c r="A90" s="1042" t="s">
        <v>209</v>
      </c>
      <c r="B90" s="1046" t="s">
        <v>1523</v>
      </c>
      <c r="C90" s="1047">
        <v>9.8000000000000004E-2</v>
      </c>
      <c r="D90" s="1047">
        <v>9.8000000000000004E-2</v>
      </c>
      <c r="E90" s="1047">
        <v>8.7999999999999995E-2</v>
      </c>
      <c r="F90" s="1055"/>
    </row>
    <row r="91" spans="1:6">
      <c r="A91" s="1042" t="s">
        <v>209</v>
      </c>
      <c r="B91" s="1046" t="s">
        <v>1533</v>
      </c>
      <c r="C91" s="1047">
        <v>9.9000000000000005E-2</v>
      </c>
      <c r="D91" s="1047">
        <v>9.9000000000000005E-2</v>
      </c>
      <c r="E91" s="1047">
        <v>9.0999999999999998E-2</v>
      </c>
      <c r="F91" s="1055"/>
    </row>
    <row r="92" spans="1:6">
      <c r="A92" s="1042" t="s">
        <v>209</v>
      </c>
      <c r="B92" s="1046" t="s">
        <v>1543</v>
      </c>
      <c r="C92" s="1047">
        <v>9.6000000000000002E-2</v>
      </c>
      <c r="D92" s="1047">
        <v>9.6000000000000002E-2</v>
      </c>
      <c r="E92" s="1047">
        <v>7.2999999999999995E-2</v>
      </c>
      <c r="F92" s="1055"/>
    </row>
    <row r="93" spans="1:6">
      <c r="A93" s="1042" t="s">
        <v>209</v>
      </c>
      <c r="B93" s="1046" t="s">
        <v>1553</v>
      </c>
      <c r="C93" s="1047">
        <v>9.6000000000000002E-2</v>
      </c>
      <c r="D93" s="1047">
        <v>9.6000000000000002E-2</v>
      </c>
      <c r="E93" s="1047">
        <v>9.9000000000000005E-2</v>
      </c>
      <c r="F93" s="1055"/>
    </row>
    <row r="94" spans="1:6">
      <c r="A94" s="1042" t="s">
        <v>209</v>
      </c>
      <c r="B94" s="1046" t="s">
        <v>1563</v>
      </c>
      <c r="C94" s="1047">
        <v>7.5999999999999998E-2</v>
      </c>
      <c r="D94" s="1047">
        <v>7.3999999999999996E-2</v>
      </c>
      <c r="E94" s="1047">
        <v>9.7000000000000003E-2</v>
      </c>
      <c r="F94" s="1055"/>
    </row>
    <row r="95" spans="1:6">
      <c r="A95" s="1042" t="s">
        <v>209</v>
      </c>
      <c r="B95" s="1046" t="s">
        <v>1572</v>
      </c>
      <c r="C95" s="1047">
        <v>9.9000000000000005E-2</v>
      </c>
      <c r="D95" s="1047">
        <v>9.4E-2</v>
      </c>
      <c r="E95" s="1047">
        <v>9.6000000000000002E-2</v>
      </c>
      <c r="F95" s="1055"/>
    </row>
    <row r="96" spans="1:6">
      <c r="A96" s="1042" t="s">
        <v>209</v>
      </c>
      <c r="B96" s="1046" t="s">
        <v>1580</v>
      </c>
      <c r="C96" s="1047">
        <v>9.9000000000000005E-2</v>
      </c>
      <c r="D96" s="1047">
        <v>9.9000000000000005E-2</v>
      </c>
      <c r="E96" s="1047">
        <v>9.9000000000000005E-2</v>
      </c>
      <c r="F96" s="1055"/>
    </row>
    <row r="97" spans="1:6">
      <c r="A97" s="1042" t="s">
        <v>209</v>
      </c>
      <c r="B97" s="1046" t="s">
        <v>1588</v>
      </c>
      <c r="C97" s="1047">
        <v>9.8000000000000004E-2</v>
      </c>
      <c r="D97" s="1047">
        <v>9.8000000000000004E-2</v>
      </c>
      <c r="E97" s="1047">
        <v>9.7000000000000003E-2</v>
      </c>
      <c r="F97" s="1055"/>
    </row>
    <row r="98" spans="1:6">
      <c r="A98" s="1042" t="s">
        <v>209</v>
      </c>
      <c r="B98" s="1046" t="s">
        <v>1595</v>
      </c>
      <c r="C98" s="1047">
        <v>0.1</v>
      </c>
      <c r="D98" s="1047">
        <v>0.1</v>
      </c>
      <c r="E98" s="1047">
        <v>9.7000000000000003E-2</v>
      </c>
      <c r="F98" s="1055"/>
    </row>
    <row r="99" spans="1:6">
      <c r="A99" s="1042" t="s">
        <v>209</v>
      </c>
      <c r="B99" s="1046" t="s">
        <v>1602</v>
      </c>
      <c r="C99" s="1047">
        <v>0.1</v>
      </c>
      <c r="D99" s="1047">
        <v>0.1</v>
      </c>
      <c r="E99" s="1056"/>
      <c r="F99" s="1055"/>
    </row>
    <row r="100" spans="1:6">
      <c r="A100" s="1042" t="s">
        <v>209</v>
      </c>
      <c r="B100" s="1046" t="s">
        <v>1609</v>
      </c>
      <c r="C100" s="1047">
        <v>0.09</v>
      </c>
      <c r="D100" s="1047">
        <v>8.8999999999999996E-2</v>
      </c>
      <c r="E100" s="1056"/>
      <c r="F100" s="1055"/>
    </row>
    <row r="101" spans="1:6">
      <c r="A101" s="1042" t="s">
        <v>209</v>
      </c>
      <c r="B101" s="1046" t="s">
        <v>1616</v>
      </c>
      <c r="C101" s="1047">
        <v>9.8000000000000004E-2</v>
      </c>
      <c r="D101" s="1047">
        <v>9.7000000000000003E-2</v>
      </c>
      <c r="E101" s="1056"/>
      <c r="F101" s="1055"/>
    </row>
    <row r="102" spans="1:6">
      <c r="A102" s="1042" t="s">
        <v>209</v>
      </c>
      <c r="B102" s="1046" t="s">
        <v>1623</v>
      </c>
      <c r="C102" s="1056"/>
      <c r="D102" s="1056"/>
      <c r="E102" s="1056"/>
      <c r="F102" s="1048">
        <v>0.05</v>
      </c>
    </row>
    <row r="103" spans="1:6" ht="24">
      <c r="A103" s="1042" t="s">
        <v>209</v>
      </c>
      <c r="B103" s="1046" t="s">
        <v>1628</v>
      </c>
      <c r="C103" s="1056"/>
      <c r="D103" s="1056"/>
      <c r="E103" s="1056"/>
      <c r="F103" s="1048">
        <v>0.05</v>
      </c>
    </row>
    <row r="104" spans="1:6">
      <c r="A104" s="1042" t="s">
        <v>209</v>
      </c>
      <c r="B104" s="1046" t="s">
        <v>1633</v>
      </c>
      <c r="C104" s="1056"/>
      <c r="D104" s="1056"/>
      <c r="E104" s="1056"/>
      <c r="F104" s="1048">
        <v>0.05</v>
      </c>
    </row>
    <row r="105" spans="1:6">
      <c r="A105" s="1042" t="s">
        <v>209</v>
      </c>
      <c r="B105" s="1046" t="s">
        <v>1638</v>
      </c>
      <c r="C105" s="1056"/>
      <c r="D105" s="1056"/>
      <c r="E105" s="1056"/>
      <c r="F105" s="1048">
        <v>0.05</v>
      </c>
    </row>
    <row r="106" spans="1:6">
      <c r="A106" s="1042" t="s">
        <v>209</v>
      </c>
      <c r="B106" s="1046" t="s">
        <v>1643</v>
      </c>
      <c r="C106" s="1056"/>
      <c r="D106" s="1056"/>
      <c r="E106" s="1056"/>
      <c r="F106" s="1048">
        <v>0.05</v>
      </c>
    </row>
    <row r="107" spans="1:6" ht="24">
      <c r="A107" s="1042" t="s">
        <v>209</v>
      </c>
      <c r="B107" s="1046" t="s">
        <v>1648</v>
      </c>
      <c r="C107" s="1056"/>
      <c r="D107" s="1056"/>
      <c r="E107" s="1056"/>
      <c r="F107" s="1048">
        <v>0.05</v>
      </c>
    </row>
    <row r="108" spans="1:6" ht="24">
      <c r="A108" s="1042" t="s">
        <v>209</v>
      </c>
      <c r="B108" s="1046" t="s">
        <v>1653</v>
      </c>
      <c r="C108" s="1056"/>
      <c r="D108" s="1056"/>
      <c r="E108" s="1056"/>
      <c r="F108" s="1048">
        <v>0.05</v>
      </c>
    </row>
    <row r="109" spans="1:6" ht="24">
      <c r="A109" s="1050" t="s">
        <v>209</v>
      </c>
      <c r="B109" s="1057" t="s">
        <v>1658</v>
      </c>
      <c r="C109" s="1053"/>
      <c r="D109" s="1053"/>
      <c r="E109" s="1053"/>
      <c r="F109" s="1058">
        <v>0.05</v>
      </c>
    </row>
    <row r="110" spans="1:6">
      <c r="A110" s="1042" t="s">
        <v>217</v>
      </c>
      <c r="B110" s="1043" t="s">
        <v>1375</v>
      </c>
      <c r="C110" s="1044">
        <v>0.129</v>
      </c>
      <c r="D110" s="1044">
        <v>0.129</v>
      </c>
      <c r="E110" s="1044">
        <v>0.126</v>
      </c>
      <c r="F110" s="1045">
        <v>0.13</v>
      </c>
    </row>
    <row r="111" spans="1:6">
      <c r="A111" s="1042" t="s">
        <v>217</v>
      </c>
      <c r="B111" s="1046" t="s">
        <v>1387</v>
      </c>
      <c r="C111" s="1047">
        <v>0.11</v>
      </c>
      <c r="D111" s="1047">
        <v>0.11</v>
      </c>
      <c r="E111" s="1047">
        <v>9.9000000000000005E-2</v>
      </c>
      <c r="F111" s="1048">
        <v>0.128</v>
      </c>
    </row>
    <row r="112" spans="1:6">
      <c r="A112" s="1042" t="s">
        <v>217</v>
      </c>
      <c r="B112" s="1046" t="s">
        <v>1400</v>
      </c>
      <c r="C112" s="1047">
        <v>0.125</v>
      </c>
      <c r="D112" s="1047">
        <v>0.125</v>
      </c>
      <c r="E112" s="1047">
        <v>0.12</v>
      </c>
      <c r="F112" s="1048">
        <v>0.125</v>
      </c>
    </row>
    <row r="113" spans="1:6">
      <c r="A113" s="1042" t="s">
        <v>217</v>
      </c>
      <c r="B113" s="1046" t="s">
        <v>1412</v>
      </c>
      <c r="C113" s="1047">
        <v>0.13</v>
      </c>
      <c r="D113" s="1047">
        <v>0.13</v>
      </c>
      <c r="E113" s="1047">
        <v>0.13</v>
      </c>
      <c r="F113" s="1048">
        <v>0.13</v>
      </c>
    </row>
    <row r="114" spans="1:6">
      <c r="A114" s="1042" t="s">
        <v>217</v>
      </c>
      <c r="B114" s="1046" t="s">
        <v>1422</v>
      </c>
      <c r="C114" s="1047">
        <v>0.123</v>
      </c>
      <c r="D114" s="1047">
        <v>0.123</v>
      </c>
      <c r="E114" s="1047">
        <v>0.12</v>
      </c>
      <c r="F114" s="1048">
        <v>0.13</v>
      </c>
    </row>
    <row r="115" spans="1:6">
      <c r="A115" s="1042" t="s">
        <v>217</v>
      </c>
      <c r="B115" s="1046" t="s">
        <v>1433</v>
      </c>
      <c r="C115" s="1047">
        <v>0.125</v>
      </c>
      <c r="D115" s="1047">
        <v>0.125</v>
      </c>
      <c r="E115" s="1047">
        <v>0.11700000000000001</v>
      </c>
      <c r="F115" s="1048">
        <v>0.13</v>
      </c>
    </row>
    <row r="116" spans="1:6">
      <c r="A116" s="1042" t="s">
        <v>217</v>
      </c>
      <c r="B116" s="1046" t="s">
        <v>1444</v>
      </c>
      <c r="C116" s="1047">
        <v>0.11700000000000001</v>
      </c>
      <c r="D116" s="1047">
        <v>0.11700000000000001</v>
      </c>
      <c r="E116" s="1047">
        <v>8.7999999999999995E-2</v>
      </c>
      <c r="F116" s="1048">
        <v>0.13</v>
      </c>
    </row>
    <row r="117" spans="1:6">
      <c r="A117" s="1042" t="s">
        <v>217</v>
      </c>
      <c r="B117" s="1046" t="s">
        <v>1454</v>
      </c>
      <c r="C117" s="1047">
        <v>0.13</v>
      </c>
      <c r="D117" s="1047">
        <v>0.13</v>
      </c>
      <c r="E117" s="1047">
        <v>0.129</v>
      </c>
      <c r="F117" s="1048">
        <v>0.13</v>
      </c>
    </row>
    <row r="118" spans="1:6">
      <c r="A118" s="1042" t="s">
        <v>217</v>
      </c>
      <c r="B118" s="1046" t="s">
        <v>1464</v>
      </c>
      <c r="C118" s="1047">
        <v>0.123</v>
      </c>
      <c r="D118" s="1047">
        <v>0.123</v>
      </c>
      <c r="E118" s="1047">
        <v>0.11600000000000001</v>
      </c>
      <c r="F118" s="1048">
        <v>0.13</v>
      </c>
    </row>
    <row r="119" spans="1:6">
      <c r="A119" s="1042" t="s">
        <v>217</v>
      </c>
      <c r="B119" s="1046" t="s">
        <v>1474</v>
      </c>
      <c r="C119" s="1047">
        <v>0.127</v>
      </c>
      <c r="D119" s="1047">
        <v>0.127</v>
      </c>
      <c r="E119" s="1047">
        <v>0.124</v>
      </c>
      <c r="F119" s="1048">
        <v>0.13</v>
      </c>
    </row>
    <row r="120" spans="1:6">
      <c r="A120" s="1042" t="s">
        <v>217</v>
      </c>
      <c r="B120" s="1046" t="s">
        <v>1484</v>
      </c>
      <c r="C120" s="1047">
        <v>0.125</v>
      </c>
      <c r="D120" s="1047">
        <v>0.125</v>
      </c>
      <c r="E120" s="1047">
        <v>0.122</v>
      </c>
      <c r="F120" s="1048">
        <v>0.13</v>
      </c>
    </row>
    <row r="121" spans="1:6">
      <c r="A121" s="1042" t="s">
        <v>217</v>
      </c>
      <c r="B121" s="1046" t="s">
        <v>1494</v>
      </c>
      <c r="C121" s="1047">
        <v>0.13</v>
      </c>
      <c r="D121" s="1047">
        <v>0.13</v>
      </c>
      <c r="E121" s="1047">
        <v>0.13</v>
      </c>
      <c r="F121" s="1048">
        <v>0.13</v>
      </c>
    </row>
    <row r="122" spans="1:6">
      <c r="A122" s="1042" t="s">
        <v>217</v>
      </c>
      <c r="B122" s="1046" t="s">
        <v>1504</v>
      </c>
      <c r="C122" s="1047">
        <v>0.13</v>
      </c>
      <c r="D122" s="1047">
        <v>0.13</v>
      </c>
      <c r="E122" s="1047">
        <v>0.125</v>
      </c>
      <c r="F122" s="1048">
        <v>0.13</v>
      </c>
    </row>
    <row r="123" spans="1:6">
      <c r="A123" s="1042" t="s">
        <v>217</v>
      </c>
      <c r="B123" s="1046" t="s">
        <v>1514</v>
      </c>
      <c r="C123" s="1047">
        <v>0.129</v>
      </c>
      <c r="D123" s="1047">
        <v>0.129</v>
      </c>
      <c r="E123" s="1047">
        <v>0.123</v>
      </c>
      <c r="F123" s="1048">
        <v>0.13</v>
      </c>
    </row>
    <row r="124" spans="1:6">
      <c r="A124" s="1042" t="s">
        <v>217</v>
      </c>
      <c r="B124" s="1046" t="s">
        <v>1524</v>
      </c>
      <c r="C124" s="1047">
        <v>0.10199999999999999</v>
      </c>
      <c r="D124" s="1047">
        <v>0.10100000000000001</v>
      </c>
      <c r="E124" s="1047">
        <v>0.08</v>
      </c>
      <c r="F124" s="1055"/>
    </row>
    <row r="125" spans="1:6">
      <c r="A125" s="1042" t="s">
        <v>217</v>
      </c>
      <c r="B125" s="1046" t="s">
        <v>1534</v>
      </c>
      <c r="C125" s="1047">
        <v>0.13</v>
      </c>
      <c r="D125" s="1047">
        <v>0.13</v>
      </c>
      <c r="E125" s="1047">
        <v>0.129</v>
      </c>
      <c r="F125" s="1055"/>
    </row>
    <row r="126" spans="1:6">
      <c r="A126" s="1042" t="s">
        <v>217</v>
      </c>
      <c r="B126" s="1046" t="s">
        <v>1544</v>
      </c>
      <c r="C126" s="1047">
        <v>0.13</v>
      </c>
      <c r="D126" s="1047">
        <v>0.13</v>
      </c>
      <c r="E126" s="1047">
        <v>0.126</v>
      </c>
      <c r="F126" s="1055"/>
    </row>
    <row r="127" spans="1:6">
      <c r="A127" s="1042" t="s">
        <v>217</v>
      </c>
      <c r="B127" s="1046" t="s">
        <v>1554</v>
      </c>
      <c r="C127" s="1047">
        <v>0.125</v>
      </c>
      <c r="D127" s="1047">
        <v>0.125</v>
      </c>
      <c r="E127" s="1047">
        <v>0.121</v>
      </c>
      <c r="F127" s="1055"/>
    </row>
    <row r="128" spans="1:6">
      <c r="A128" s="1042" t="s">
        <v>217</v>
      </c>
      <c r="B128" s="1046" t="s">
        <v>1564</v>
      </c>
      <c r="C128" s="1047">
        <v>0.12</v>
      </c>
      <c r="D128" s="1047">
        <v>0.12</v>
      </c>
      <c r="E128" s="1047">
        <v>0.105</v>
      </c>
      <c r="F128" s="1055"/>
    </row>
    <row r="129" spans="1:6">
      <c r="A129" s="1042" t="s">
        <v>217</v>
      </c>
      <c r="B129" s="1046" t="s">
        <v>1573</v>
      </c>
      <c r="C129" s="1047">
        <v>0.13</v>
      </c>
      <c r="D129" s="1047">
        <v>0.13</v>
      </c>
      <c r="E129" s="1047">
        <v>0.126</v>
      </c>
      <c r="F129" s="1055"/>
    </row>
    <row r="130" spans="1:6">
      <c r="A130" s="1042" t="s">
        <v>217</v>
      </c>
      <c r="B130" s="1046" t="s">
        <v>1581</v>
      </c>
      <c r="C130" s="1047">
        <v>0.125</v>
      </c>
      <c r="D130" s="1047">
        <v>0.125</v>
      </c>
      <c r="E130" s="1047">
        <v>0.122</v>
      </c>
      <c r="F130" s="1055"/>
    </row>
    <row r="131" spans="1:6">
      <c r="A131" s="1042" t="s">
        <v>217</v>
      </c>
      <c r="B131" s="1046" t="s">
        <v>1589</v>
      </c>
      <c r="C131" s="1047">
        <v>0.127</v>
      </c>
      <c r="D131" s="1047">
        <v>0.126</v>
      </c>
      <c r="E131" s="1047">
        <v>0.123</v>
      </c>
      <c r="F131" s="1055"/>
    </row>
    <row r="132" spans="1:6">
      <c r="A132" s="1042" t="s">
        <v>217</v>
      </c>
      <c r="B132" s="1046" t="s">
        <v>1596</v>
      </c>
      <c r="C132" s="1047">
        <v>9.0999999999999998E-2</v>
      </c>
      <c r="D132" s="1047">
        <v>0.121</v>
      </c>
      <c r="E132" s="1047">
        <v>9.9000000000000005E-2</v>
      </c>
      <c r="F132" s="1055"/>
    </row>
    <row r="133" spans="1:6">
      <c r="A133" s="1042" t="s">
        <v>217</v>
      </c>
      <c r="B133" s="1046" t="s">
        <v>1603</v>
      </c>
      <c r="C133" s="1047">
        <v>0.13</v>
      </c>
      <c r="D133" s="1047">
        <v>0.13</v>
      </c>
      <c r="E133" s="1047">
        <v>0.129</v>
      </c>
      <c r="F133" s="1055"/>
    </row>
    <row r="134" spans="1:6">
      <c r="A134" s="1042" t="s">
        <v>217</v>
      </c>
      <c r="B134" s="1046" t="s">
        <v>1610</v>
      </c>
      <c r="C134" s="1047">
        <v>6.8000000000000005E-2</v>
      </c>
      <c r="D134" s="1047">
        <v>6.5000000000000002E-2</v>
      </c>
      <c r="E134" s="1047">
        <v>6.5000000000000002E-2</v>
      </c>
      <c r="F134" s="1048">
        <v>0.13</v>
      </c>
    </row>
    <row r="135" spans="1:6">
      <c r="A135" s="1042" t="s">
        <v>217</v>
      </c>
      <c r="B135" s="1046" t="s">
        <v>1617</v>
      </c>
      <c r="C135" s="1047">
        <v>0.123</v>
      </c>
      <c r="D135" s="1047">
        <v>0.123</v>
      </c>
      <c r="E135" s="1047">
        <v>0.11</v>
      </c>
      <c r="F135" s="1055"/>
    </row>
    <row r="136" spans="1:6">
      <c r="A136" s="1042" t="s">
        <v>217</v>
      </c>
      <c r="B136" s="1046" t="s">
        <v>1624</v>
      </c>
      <c r="C136" s="1047">
        <v>0.13</v>
      </c>
      <c r="D136" s="1047">
        <v>0.13</v>
      </c>
      <c r="E136" s="1047">
        <v>0.125</v>
      </c>
      <c r="F136" s="1055"/>
    </row>
    <row r="137" spans="1:6">
      <c r="A137" s="1042" t="s">
        <v>217</v>
      </c>
      <c r="B137" s="1046" t="s">
        <v>1629</v>
      </c>
      <c r="C137" s="1047">
        <v>0.121</v>
      </c>
      <c r="D137" s="1047">
        <v>0.122</v>
      </c>
      <c r="E137" s="1047">
        <v>0.115</v>
      </c>
      <c r="F137" s="1055"/>
    </row>
    <row r="138" spans="1:6">
      <c r="A138" s="1042" t="s">
        <v>217</v>
      </c>
      <c r="B138" s="1046" t="s">
        <v>1634</v>
      </c>
      <c r="C138" s="1047">
        <v>0.105</v>
      </c>
      <c r="D138" s="1047">
        <v>0.125</v>
      </c>
      <c r="E138" s="1047">
        <v>0.112</v>
      </c>
      <c r="F138" s="1055"/>
    </row>
    <row r="139" spans="1:6">
      <c r="A139" s="1042" t="s">
        <v>217</v>
      </c>
      <c r="B139" s="1046" t="s">
        <v>1639</v>
      </c>
      <c r="C139" s="1047">
        <v>0.127</v>
      </c>
      <c r="D139" s="1047">
        <v>0.127</v>
      </c>
      <c r="E139" s="1047">
        <v>0.122</v>
      </c>
      <c r="F139" s="1048">
        <v>0.13</v>
      </c>
    </row>
    <row r="140" spans="1:6">
      <c r="A140" s="1042" t="s">
        <v>217</v>
      </c>
      <c r="B140" s="1046" t="s">
        <v>1644</v>
      </c>
      <c r="C140" s="1047">
        <v>0.125</v>
      </c>
      <c r="D140" s="1047">
        <v>0.125</v>
      </c>
      <c r="E140" s="1047">
        <v>0.11899999999999999</v>
      </c>
      <c r="F140" s="1048">
        <v>0.13</v>
      </c>
    </row>
    <row r="141" spans="1:6">
      <c r="A141" s="1042" t="s">
        <v>217</v>
      </c>
      <c r="B141" s="1046" t="s">
        <v>1649</v>
      </c>
      <c r="C141" s="1047">
        <v>0.125</v>
      </c>
      <c r="D141" s="1047">
        <v>0.125</v>
      </c>
      <c r="E141" s="1047">
        <v>0.11700000000000001</v>
      </c>
      <c r="F141" s="1055"/>
    </row>
    <row r="142" spans="1:6">
      <c r="A142" s="1042" t="s">
        <v>217</v>
      </c>
      <c r="B142" s="1046" t="s">
        <v>1654</v>
      </c>
      <c r="C142" s="1047">
        <v>0.125</v>
      </c>
      <c r="D142" s="1047">
        <v>0.125</v>
      </c>
      <c r="E142" s="1047">
        <v>0.115</v>
      </c>
      <c r="F142" s="1055"/>
    </row>
    <row r="143" spans="1:6">
      <c r="A143" s="1042" t="s">
        <v>217</v>
      </c>
      <c r="B143" s="1046" t="s">
        <v>1659</v>
      </c>
      <c r="C143" s="1047">
        <v>0.121</v>
      </c>
      <c r="D143" s="1047">
        <v>0.121</v>
      </c>
      <c r="E143" s="1047">
        <v>0.108</v>
      </c>
      <c r="F143" s="1055"/>
    </row>
    <row r="144" spans="1:6">
      <c r="A144" s="1042" t="s">
        <v>217</v>
      </c>
      <c r="B144" s="1059" t="s">
        <v>1663</v>
      </c>
      <c r="C144" s="1060">
        <v>0.126</v>
      </c>
      <c r="D144" s="1060">
        <v>0.126</v>
      </c>
      <c r="E144" s="1060">
        <v>0.121</v>
      </c>
      <c r="F144" s="1055"/>
    </row>
    <row r="145" spans="1:6">
      <c r="A145" s="1050" t="s">
        <v>217</v>
      </c>
      <c r="B145" s="1061" t="s">
        <v>1667</v>
      </c>
      <c r="C145" s="1062"/>
      <c r="D145" s="1062"/>
      <c r="E145" s="1062"/>
      <c r="F145" s="1063">
        <v>0.05</v>
      </c>
    </row>
    <row r="146" spans="1:6" ht="24">
      <c r="A146" s="1064" t="s">
        <v>217</v>
      </c>
      <c r="B146" s="1049" t="s">
        <v>1671</v>
      </c>
      <c r="C146" s="1056"/>
      <c r="D146" s="1056"/>
      <c r="E146" s="1056"/>
      <c r="F146" s="1065">
        <v>0.05</v>
      </c>
    </row>
    <row r="147" spans="1:6" ht="24">
      <c r="A147" s="1042" t="s">
        <v>217</v>
      </c>
      <c r="B147" s="1046" t="s">
        <v>1675</v>
      </c>
      <c r="C147" s="1056"/>
      <c r="D147" s="1056"/>
      <c r="E147" s="1056"/>
      <c r="F147" s="1048">
        <v>0.05</v>
      </c>
    </row>
    <row r="148" spans="1:6" ht="24">
      <c r="A148" s="1042" t="s">
        <v>217</v>
      </c>
      <c r="B148" s="1046" t="s">
        <v>1679</v>
      </c>
      <c r="C148" s="1056"/>
      <c r="D148" s="1056"/>
      <c r="E148" s="1056"/>
      <c r="F148" s="1048">
        <v>0.05</v>
      </c>
    </row>
    <row r="149" spans="1:6" ht="24">
      <c r="A149" s="1042" t="s">
        <v>217</v>
      </c>
      <c r="B149" s="1046" t="s">
        <v>1683</v>
      </c>
      <c r="C149" s="1056"/>
      <c r="D149" s="1056"/>
      <c r="E149" s="1056"/>
      <c r="F149" s="1048">
        <v>0.05</v>
      </c>
    </row>
    <row r="150" spans="1:6" ht="24">
      <c r="A150" s="1042" t="s">
        <v>217</v>
      </c>
      <c r="B150" s="1046" t="s">
        <v>1686</v>
      </c>
      <c r="C150" s="1056"/>
      <c r="D150" s="1056"/>
      <c r="E150" s="1056"/>
      <c r="F150" s="1048">
        <v>0.05</v>
      </c>
    </row>
    <row r="151" spans="1:6" ht="24">
      <c r="A151" s="1042" t="s">
        <v>217</v>
      </c>
      <c r="B151" s="1046" t="s">
        <v>1689</v>
      </c>
      <c r="C151" s="1056"/>
      <c r="D151" s="1056"/>
      <c r="E151" s="1056"/>
      <c r="F151" s="1048">
        <v>0.05</v>
      </c>
    </row>
    <row r="152" spans="1:6" ht="24">
      <c r="A152" s="1042" t="s">
        <v>217</v>
      </c>
      <c r="B152" s="1046" t="s">
        <v>1692</v>
      </c>
      <c r="C152" s="1056"/>
      <c r="D152" s="1056"/>
      <c r="E152" s="1056"/>
      <c r="F152" s="1048">
        <v>0.05</v>
      </c>
    </row>
    <row r="153" spans="1:6">
      <c r="A153" s="1042" t="s">
        <v>217</v>
      </c>
      <c r="B153" s="1046" t="s">
        <v>1695</v>
      </c>
      <c r="C153" s="1056"/>
      <c r="D153" s="1056"/>
      <c r="E153" s="1056"/>
      <c r="F153" s="1048">
        <v>0.05</v>
      </c>
    </row>
    <row r="154" spans="1:6">
      <c r="A154" s="1042" t="s">
        <v>217</v>
      </c>
      <c r="B154" s="1046" t="s">
        <v>1698</v>
      </c>
      <c r="C154" s="1056"/>
      <c r="D154" s="1056"/>
      <c r="E154" s="1056"/>
      <c r="F154" s="1048">
        <v>0.05</v>
      </c>
    </row>
    <row r="155" spans="1:6" ht="24">
      <c r="A155" s="1042" t="s">
        <v>217</v>
      </c>
      <c r="B155" s="1046" t="s">
        <v>1701</v>
      </c>
      <c r="C155" s="1056"/>
      <c r="D155" s="1056"/>
      <c r="E155" s="1056"/>
      <c r="F155" s="1048">
        <v>0.05</v>
      </c>
    </row>
    <row r="156" spans="1:6" ht="24">
      <c r="A156" s="1042" t="s">
        <v>217</v>
      </c>
      <c r="B156" s="1046" t="s">
        <v>1703</v>
      </c>
      <c r="C156" s="1056"/>
      <c r="D156" s="1056"/>
      <c r="E156" s="1056"/>
      <c r="F156" s="1048">
        <v>0.05</v>
      </c>
    </row>
    <row r="157" spans="1:6">
      <c r="A157" s="1050" t="s">
        <v>217</v>
      </c>
      <c r="B157" s="1057" t="s">
        <v>1705</v>
      </c>
      <c r="C157" s="1053"/>
      <c r="D157" s="1053"/>
      <c r="E157" s="1053"/>
      <c r="F157" s="1058">
        <v>0.05</v>
      </c>
    </row>
    <row r="158" spans="1:6">
      <c r="A158" s="1042" t="s">
        <v>222</v>
      </c>
      <c r="B158" s="1043" t="s">
        <v>1376</v>
      </c>
      <c r="C158" s="1044">
        <v>0.13</v>
      </c>
      <c r="D158" s="1044">
        <v>0.13</v>
      </c>
      <c r="E158" s="1044">
        <v>0.13</v>
      </c>
      <c r="F158" s="1045">
        <v>0.13</v>
      </c>
    </row>
    <row r="159" spans="1:6">
      <c r="A159" s="1042" t="s">
        <v>222</v>
      </c>
      <c r="B159" s="1046" t="s">
        <v>1388</v>
      </c>
      <c r="C159" s="1047">
        <v>0.13</v>
      </c>
      <c r="D159" s="1047">
        <v>0.13</v>
      </c>
      <c r="E159" s="1047">
        <v>0.13</v>
      </c>
      <c r="F159" s="1048">
        <v>0.13</v>
      </c>
    </row>
    <row r="160" spans="1:6">
      <c r="A160" s="1042" t="s">
        <v>222</v>
      </c>
      <c r="B160" s="1046" t="s">
        <v>1401</v>
      </c>
      <c r="C160" s="1047">
        <v>0.13</v>
      </c>
      <c r="D160" s="1047">
        <v>0.13</v>
      </c>
      <c r="E160" s="1047">
        <v>0.129</v>
      </c>
      <c r="F160" s="1048">
        <v>0.13</v>
      </c>
    </row>
    <row r="161" spans="1:6">
      <c r="A161" s="1042" t="s">
        <v>222</v>
      </c>
      <c r="B161" s="1046" t="s">
        <v>1413</v>
      </c>
      <c r="C161" s="1047">
        <v>0.128</v>
      </c>
      <c r="D161" s="1047">
        <v>0.128</v>
      </c>
      <c r="E161" s="1047">
        <v>0.125</v>
      </c>
      <c r="F161" s="1048">
        <v>0.13</v>
      </c>
    </row>
    <row r="162" spans="1:6">
      <c r="A162" s="1042" t="s">
        <v>222</v>
      </c>
      <c r="B162" s="1046" t="s">
        <v>1423</v>
      </c>
      <c r="C162" s="1047">
        <v>0.122</v>
      </c>
      <c r="D162" s="1047">
        <v>0.122</v>
      </c>
      <c r="E162" s="1047">
        <v>0.126</v>
      </c>
      <c r="F162" s="1048">
        <v>0.122</v>
      </c>
    </row>
    <row r="163" spans="1:6">
      <c r="A163" s="1042" t="s">
        <v>222</v>
      </c>
      <c r="B163" s="1046" t="s">
        <v>1434</v>
      </c>
      <c r="C163" s="1047">
        <v>0.13</v>
      </c>
      <c r="D163" s="1047">
        <v>0.13</v>
      </c>
      <c r="E163" s="1047">
        <v>0.125</v>
      </c>
      <c r="F163" s="1048">
        <v>0.13</v>
      </c>
    </row>
    <row r="164" spans="1:6">
      <c r="A164" s="1042" t="s">
        <v>222</v>
      </c>
      <c r="B164" s="1046" t="s">
        <v>1445</v>
      </c>
      <c r="C164" s="1047">
        <v>0.13</v>
      </c>
      <c r="D164" s="1047">
        <v>0.13</v>
      </c>
      <c r="E164" s="1047">
        <v>0.13</v>
      </c>
      <c r="F164" s="1048">
        <v>0.13</v>
      </c>
    </row>
    <row r="165" spans="1:6">
      <c r="A165" s="1042" t="s">
        <v>222</v>
      </c>
      <c r="B165" s="1046" t="s">
        <v>1455</v>
      </c>
      <c r="C165" s="1047">
        <v>0.13</v>
      </c>
      <c r="D165" s="1047">
        <v>0.13</v>
      </c>
      <c r="E165" s="1047">
        <v>0.124</v>
      </c>
      <c r="F165" s="1048">
        <v>0.13</v>
      </c>
    </row>
    <row r="166" spans="1:6">
      <c r="A166" s="1042" t="s">
        <v>222</v>
      </c>
      <c r="B166" s="1046" t="s">
        <v>1465</v>
      </c>
      <c r="C166" s="1047">
        <v>0.13</v>
      </c>
      <c r="D166" s="1047">
        <v>0.13</v>
      </c>
      <c r="E166" s="1047">
        <v>0.13</v>
      </c>
      <c r="F166" s="1048">
        <v>0.13</v>
      </c>
    </row>
    <row r="167" spans="1:6">
      <c r="A167" s="1042" t="s">
        <v>222</v>
      </c>
      <c r="B167" s="1046" t="s">
        <v>1475</v>
      </c>
      <c r="C167" s="1047">
        <v>0.125</v>
      </c>
      <c r="D167" s="1047">
        <v>0.125</v>
      </c>
      <c r="E167" s="1047">
        <v>0.121</v>
      </c>
      <c r="F167" s="1055"/>
    </row>
    <row r="168" spans="1:6">
      <c r="A168" s="1042" t="s">
        <v>222</v>
      </c>
      <c r="B168" s="1046" t="s">
        <v>1485</v>
      </c>
      <c r="C168" s="1047">
        <v>0.13</v>
      </c>
      <c r="D168" s="1047">
        <v>0.13</v>
      </c>
      <c r="E168" s="1047">
        <v>0.126</v>
      </c>
      <c r="F168" s="1055"/>
    </row>
    <row r="169" spans="1:6">
      <c r="A169" s="1042" t="s">
        <v>222</v>
      </c>
      <c r="B169" s="1046" t="s">
        <v>1495</v>
      </c>
      <c r="C169" s="1047">
        <v>0.128</v>
      </c>
      <c r="D169" s="1047">
        <v>0.129</v>
      </c>
      <c r="E169" s="1047">
        <v>0.13</v>
      </c>
      <c r="F169" s="1055"/>
    </row>
    <row r="170" spans="1:6">
      <c r="A170" s="1042" t="s">
        <v>222</v>
      </c>
      <c r="B170" s="1046" t="s">
        <v>1505</v>
      </c>
      <c r="C170" s="1047">
        <v>0.14099999999999999</v>
      </c>
      <c r="D170" s="1047">
        <v>0.13</v>
      </c>
      <c r="E170" s="1047">
        <v>0.125</v>
      </c>
      <c r="F170" s="1055"/>
    </row>
    <row r="171" spans="1:6">
      <c r="A171" s="1042" t="s">
        <v>222</v>
      </c>
      <c r="B171" s="1046" t="s">
        <v>1515</v>
      </c>
      <c r="C171" s="1047">
        <v>0.127</v>
      </c>
      <c r="D171" s="1047">
        <v>0.126</v>
      </c>
      <c r="E171" s="1047">
        <v>0.126</v>
      </c>
      <c r="F171" s="1048">
        <v>0.11799999999999999</v>
      </c>
    </row>
    <row r="172" spans="1:6">
      <c r="A172" s="1042" t="s">
        <v>222</v>
      </c>
      <c r="B172" s="1046" t="s">
        <v>1525</v>
      </c>
      <c r="C172" s="1047">
        <v>0.13</v>
      </c>
      <c r="D172" s="1047">
        <v>0.13</v>
      </c>
      <c r="E172" s="1047">
        <v>0.13</v>
      </c>
      <c r="F172" s="1055"/>
    </row>
    <row r="173" spans="1:6">
      <c r="A173" s="1042" t="s">
        <v>222</v>
      </c>
      <c r="B173" s="1046" t="s">
        <v>1535</v>
      </c>
      <c r="C173" s="1047">
        <v>0.13</v>
      </c>
      <c r="D173" s="1047">
        <v>0.13</v>
      </c>
      <c r="E173" s="1047">
        <v>0.13</v>
      </c>
      <c r="F173" s="1055"/>
    </row>
    <row r="174" spans="1:6">
      <c r="A174" s="1042" t="s">
        <v>222</v>
      </c>
      <c r="B174" s="1046" t="s">
        <v>1545</v>
      </c>
      <c r="C174" s="1047">
        <v>0.13</v>
      </c>
      <c r="D174" s="1047">
        <v>0.13</v>
      </c>
      <c r="E174" s="1047">
        <v>0.13</v>
      </c>
      <c r="F174" s="1048">
        <v>0.13</v>
      </c>
    </row>
    <row r="175" spans="1:6">
      <c r="A175" s="1042" t="s">
        <v>222</v>
      </c>
      <c r="B175" s="1046" t="s">
        <v>1555</v>
      </c>
      <c r="C175" s="1047">
        <v>0.13</v>
      </c>
      <c r="D175" s="1047">
        <v>0.13</v>
      </c>
      <c r="E175" s="1047">
        <v>0.13</v>
      </c>
      <c r="F175" s="1048">
        <v>0.13</v>
      </c>
    </row>
    <row r="176" spans="1:6">
      <c r="A176" s="1042" t="s">
        <v>222</v>
      </c>
      <c r="B176" s="1046" t="s">
        <v>1565</v>
      </c>
      <c r="C176" s="1047">
        <v>0.13</v>
      </c>
      <c r="D176" s="1047">
        <v>0.13</v>
      </c>
      <c r="E176" s="1047">
        <v>0.13</v>
      </c>
      <c r="F176" s="1048">
        <v>0.13</v>
      </c>
    </row>
    <row r="177" spans="1:6">
      <c r="A177" s="1042" t="s">
        <v>222</v>
      </c>
      <c r="B177" s="1046" t="s">
        <v>1574</v>
      </c>
      <c r="C177" s="1047">
        <v>0.13</v>
      </c>
      <c r="D177" s="1047">
        <v>0.13</v>
      </c>
      <c r="E177" s="1047">
        <v>0.13</v>
      </c>
      <c r="F177" s="1048">
        <v>0.13</v>
      </c>
    </row>
    <row r="178" spans="1:6">
      <c r="A178" s="1042" t="s">
        <v>222</v>
      </c>
      <c r="B178" s="1046" t="s">
        <v>1582</v>
      </c>
      <c r="C178" s="1047">
        <v>0.13</v>
      </c>
      <c r="D178" s="1047">
        <v>0.13</v>
      </c>
      <c r="E178" s="1047">
        <v>0.13</v>
      </c>
      <c r="F178" s="1048">
        <v>0.127</v>
      </c>
    </row>
    <row r="179" spans="1:6">
      <c r="A179" s="1042" t="s">
        <v>222</v>
      </c>
      <c r="B179" s="1046" t="s">
        <v>1590</v>
      </c>
      <c r="C179" s="1047">
        <v>0.13</v>
      </c>
      <c r="D179" s="1047">
        <v>0.13</v>
      </c>
      <c r="E179" s="1047">
        <v>0.13</v>
      </c>
      <c r="F179" s="1055"/>
    </row>
    <row r="180" spans="1:6">
      <c r="A180" s="1042" t="s">
        <v>222</v>
      </c>
      <c r="B180" s="1046" t="s">
        <v>1597</v>
      </c>
      <c r="C180" s="1047">
        <v>0.13</v>
      </c>
      <c r="D180" s="1047">
        <v>0.13</v>
      </c>
      <c r="E180" s="1047">
        <v>0.125</v>
      </c>
      <c r="F180" s="1048">
        <v>0.13</v>
      </c>
    </row>
    <row r="181" spans="1:6">
      <c r="A181" s="1042" t="s">
        <v>222</v>
      </c>
      <c r="B181" s="1046" t="s">
        <v>1604</v>
      </c>
      <c r="C181" s="1047">
        <v>0.122</v>
      </c>
      <c r="D181" s="1047">
        <v>0.123</v>
      </c>
      <c r="E181" s="1047">
        <v>0.126</v>
      </c>
      <c r="F181" s="1048">
        <v>0.121</v>
      </c>
    </row>
    <row r="182" spans="1:6">
      <c r="A182" s="1042" t="s">
        <v>222</v>
      </c>
      <c r="B182" s="1046" t="s">
        <v>1611</v>
      </c>
      <c r="C182" s="1047">
        <v>0.125</v>
      </c>
      <c r="D182" s="1047">
        <v>0.125</v>
      </c>
      <c r="E182" s="1047">
        <v>0.11700000000000001</v>
      </c>
      <c r="F182" s="1048">
        <v>0.13</v>
      </c>
    </row>
    <row r="183" spans="1:6">
      <c r="A183" s="1042" t="s">
        <v>222</v>
      </c>
      <c r="B183" s="1046" t="s">
        <v>1618</v>
      </c>
      <c r="C183" s="1047">
        <v>0.127</v>
      </c>
      <c r="D183" s="1047">
        <v>0.127</v>
      </c>
      <c r="E183" s="1047">
        <v>0.128</v>
      </c>
      <c r="F183" s="1055"/>
    </row>
    <row r="184" spans="1:6">
      <c r="A184" s="1042" t="s">
        <v>222</v>
      </c>
      <c r="B184" s="1046" t="s">
        <v>1625</v>
      </c>
      <c r="C184" s="1047">
        <v>0.125</v>
      </c>
      <c r="D184" s="1047">
        <v>0.125</v>
      </c>
      <c r="E184" s="1047">
        <v>0.127</v>
      </c>
      <c r="F184" s="1055"/>
    </row>
    <row r="185" spans="1:6">
      <c r="A185" s="1042" t="s">
        <v>222</v>
      </c>
      <c r="B185" s="1046" t="s">
        <v>1630</v>
      </c>
      <c r="C185" s="1047">
        <v>0.127</v>
      </c>
      <c r="D185" s="1047">
        <v>0.127</v>
      </c>
      <c r="E185" s="1047">
        <v>0.128</v>
      </c>
      <c r="F185" s="1048">
        <v>0.13</v>
      </c>
    </row>
    <row r="186" spans="1:6" ht="24">
      <c r="A186" s="1042" t="s">
        <v>222</v>
      </c>
      <c r="B186" s="1046" t="s">
        <v>1635</v>
      </c>
      <c r="C186" s="1056"/>
      <c r="D186" s="1056"/>
      <c r="E186" s="1056"/>
      <c r="F186" s="1048">
        <v>0.05</v>
      </c>
    </row>
    <row r="187" spans="1:6">
      <c r="A187" s="1042" t="s">
        <v>222</v>
      </c>
      <c r="B187" s="1046" t="s">
        <v>1640</v>
      </c>
      <c r="C187" s="1056"/>
      <c r="D187" s="1056"/>
      <c r="E187" s="1056"/>
      <c r="F187" s="1048">
        <v>0.05</v>
      </c>
    </row>
    <row r="188" spans="1:6">
      <c r="A188" s="1042" t="s">
        <v>222</v>
      </c>
      <c r="B188" s="1046" t="s">
        <v>1645</v>
      </c>
      <c r="C188" s="1056"/>
      <c r="D188" s="1056"/>
      <c r="E188" s="1056"/>
      <c r="F188" s="1048">
        <v>0.05</v>
      </c>
    </row>
    <row r="189" spans="1:6" ht="24">
      <c r="A189" s="1042" t="s">
        <v>222</v>
      </c>
      <c r="B189" s="1046" t="s">
        <v>1650</v>
      </c>
      <c r="C189" s="1056"/>
      <c r="D189" s="1056"/>
      <c r="E189" s="1056"/>
      <c r="F189" s="1048">
        <v>0.05</v>
      </c>
    </row>
    <row r="190" spans="1:6" ht="24">
      <c r="A190" s="1042" t="s">
        <v>222</v>
      </c>
      <c r="B190" s="1046" t="s">
        <v>1655</v>
      </c>
      <c r="C190" s="1056"/>
      <c r="D190" s="1056"/>
      <c r="E190" s="1056"/>
      <c r="F190" s="1048">
        <v>0.05</v>
      </c>
    </row>
    <row r="191" spans="1:6" ht="24">
      <c r="A191" s="1042" t="s">
        <v>222</v>
      </c>
      <c r="B191" s="1046" t="s">
        <v>1660</v>
      </c>
      <c r="C191" s="1056"/>
      <c r="D191" s="1056"/>
      <c r="E191" s="1056"/>
      <c r="F191" s="1048">
        <v>0.05</v>
      </c>
    </row>
    <row r="192" spans="1:6" ht="24">
      <c r="A192" s="1042" t="s">
        <v>222</v>
      </c>
      <c r="B192" s="1046" t="s">
        <v>1664</v>
      </c>
      <c r="C192" s="1056"/>
      <c r="D192" s="1056"/>
      <c r="E192" s="1056"/>
      <c r="F192" s="1048">
        <v>0.05</v>
      </c>
    </row>
    <row r="193" spans="1:6" ht="24">
      <c r="A193" s="1042" t="s">
        <v>222</v>
      </c>
      <c r="B193" s="1046" t="s">
        <v>1668</v>
      </c>
      <c r="C193" s="1056"/>
      <c r="D193" s="1056"/>
      <c r="E193" s="1056"/>
      <c r="F193" s="1048">
        <v>0.05</v>
      </c>
    </row>
    <row r="194" spans="1:6" ht="24">
      <c r="A194" s="1042" t="s">
        <v>222</v>
      </c>
      <c r="B194" s="1046" t="s">
        <v>1672</v>
      </c>
      <c r="C194" s="1056"/>
      <c r="D194" s="1056"/>
      <c r="E194" s="1056"/>
      <c r="F194" s="1048">
        <v>0.05</v>
      </c>
    </row>
    <row r="195" spans="1:6">
      <c r="A195" s="1042" t="s">
        <v>222</v>
      </c>
      <c r="B195" s="1046" t="s">
        <v>1676</v>
      </c>
      <c r="C195" s="1056"/>
      <c r="D195" s="1056"/>
      <c r="E195" s="1056"/>
      <c r="F195" s="1048">
        <v>0.05</v>
      </c>
    </row>
    <row r="196" spans="1:6" ht="24">
      <c r="A196" s="1042" t="s">
        <v>222</v>
      </c>
      <c r="B196" s="1046" t="s">
        <v>1680</v>
      </c>
      <c r="C196" s="1056"/>
      <c r="D196" s="1056"/>
      <c r="E196" s="1056"/>
      <c r="F196" s="1048">
        <v>0.05</v>
      </c>
    </row>
    <row r="197" spans="1:6" ht="24">
      <c r="A197" s="1042" t="s">
        <v>222</v>
      </c>
      <c r="B197" s="1046" t="s">
        <v>1684</v>
      </c>
      <c r="C197" s="1056"/>
      <c r="D197" s="1056"/>
      <c r="E197" s="1056"/>
      <c r="F197" s="1048">
        <v>0.05</v>
      </c>
    </row>
    <row r="198" spans="1:6" ht="24">
      <c r="A198" s="1042" t="s">
        <v>222</v>
      </c>
      <c r="B198" s="1046" t="s">
        <v>1687</v>
      </c>
      <c r="C198" s="1056"/>
      <c r="D198" s="1056"/>
      <c r="E198" s="1056"/>
      <c r="F198" s="1048">
        <v>0.05</v>
      </c>
    </row>
    <row r="199" spans="1:6" ht="24">
      <c r="A199" s="1042" t="s">
        <v>222</v>
      </c>
      <c r="B199" s="1046" t="s">
        <v>1690</v>
      </c>
      <c r="C199" s="1056"/>
      <c r="D199" s="1056"/>
      <c r="E199" s="1056"/>
      <c r="F199" s="1048">
        <v>0.05</v>
      </c>
    </row>
    <row r="200" spans="1:6" ht="24">
      <c r="A200" s="1042" t="s">
        <v>222</v>
      </c>
      <c r="B200" s="1046" t="s">
        <v>1693</v>
      </c>
      <c r="C200" s="1056"/>
      <c r="D200" s="1056"/>
      <c r="E200" s="1056"/>
      <c r="F200" s="1048">
        <v>0.05</v>
      </c>
    </row>
    <row r="201" spans="1:6" ht="24">
      <c r="A201" s="1042" t="s">
        <v>222</v>
      </c>
      <c r="B201" s="1046" t="s">
        <v>1696</v>
      </c>
      <c r="C201" s="1056"/>
      <c r="D201" s="1056"/>
      <c r="E201" s="1056"/>
      <c r="F201" s="1048">
        <v>0.05</v>
      </c>
    </row>
    <row r="202" spans="1:6" ht="24">
      <c r="A202" s="1042" t="s">
        <v>222</v>
      </c>
      <c r="B202" s="1046" t="s">
        <v>1699</v>
      </c>
      <c r="C202" s="1056"/>
      <c r="D202" s="1056"/>
      <c r="E202" s="1056"/>
      <c r="F202" s="1048">
        <v>0.05</v>
      </c>
    </row>
    <row r="203" spans="1:6" ht="24">
      <c r="A203" s="1042" t="s">
        <v>222</v>
      </c>
      <c r="B203" s="1046" t="s">
        <v>1702</v>
      </c>
      <c r="C203" s="1056"/>
      <c r="D203" s="1056"/>
      <c r="E203" s="1056"/>
      <c r="F203" s="1048">
        <v>0.05</v>
      </c>
    </row>
    <row r="204" spans="1:6">
      <c r="A204" s="1042" t="s">
        <v>222</v>
      </c>
      <c r="B204" s="1046" t="s">
        <v>1704</v>
      </c>
      <c r="C204" s="1056"/>
      <c r="D204" s="1056"/>
      <c r="E204" s="1056"/>
      <c r="F204" s="1048">
        <v>0.05</v>
      </c>
    </row>
    <row r="205" spans="1:6">
      <c r="A205" s="1050" t="s">
        <v>222</v>
      </c>
      <c r="B205" s="1057" t="s">
        <v>1706</v>
      </c>
      <c r="C205" s="1053"/>
      <c r="D205" s="1053"/>
      <c r="E205" s="1053"/>
      <c r="F205" s="1058">
        <v>0.05</v>
      </c>
    </row>
    <row r="206" spans="1:6">
      <c r="A206" s="1042" t="s">
        <v>227</v>
      </c>
      <c r="B206" s="1043" t="s">
        <v>1377</v>
      </c>
      <c r="C206" s="1044">
        <v>0.15</v>
      </c>
      <c r="D206" s="1044">
        <v>0.15</v>
      </c>
      <c r="E206" s="1044">
        <v>0.15</v>
      </c>
      <c r="F206" s="1045">
        <v>0.15</v>
      </c>
    </row>
    <row r="207" spans="1:6">
      <c r="A207" s="1042" t="s">
        <v>227</v>
      </c>
      <c r="B207" s="1046" t="s">
        <v>1389</v>
      </c>
      <c r="C207" s="1047">
        <v>0.15</v>
      </c>
      <c r="D207" s="1047">
        <v>0.15</v>
      </c>
      <c r="E207" s="1047">
        <v>0.15</v>
      </c>
      <c r="F207" s="1048">
        <v>0.14399999999999999</v>
      </c>
    </row>
    <row r="208" spans="1:6">
      <c r="A208" s="1042" t="s">
        <v>227</v>
      </c>
      <c r="B208" s="1046" t="s">
        <v>1402</v>
      </c>
      <c r="C208" s="1047">
        <v>0.15</v>
      </c>
      <c r="D208" s="1047">
        <v>0.15</v>
      </c>
      <c r="E208" s="1047">
        <v>0.15</v>
      </c>
      <c r="F208" s="1048">
        <v>0.15</v>
      </c>
    </row>
    <row r="209" spans="1:6">
      <c r="A209" s="1042" t="s">
        <v>227</v>
      </c>
      <c r="B209" s="1046" t="s">
        <v>1414</v>
      </c>
      <c r="C209" s="1047">
        <v>0.13700000000000001</v>
      </c>
      <c r="D209" s="1047">
        <v>0.13700000000000001</v>
      </c>
      <c r="E209" s="1047">
        <v>0.14000000000000001</v>
      </c>
      <c r="F209" s="1048">
        <v>0.11700000000000001</v>
      </c>
    </row>
    <row r="210" spans="1:6">
      <c r="A210" s="1042" t="s">
        <v>227</v>
      </c>
      <c r="B210" s="1046" t="s">
        <v>1424</v>
      </c>
      <c r="C210" s="1047">
        <v>0.15</v>
      </c>
      <c r="D210" s="1047">
        <v>0.15</v>
      </c>
      <c r="E210" s="1047">
        <v>0.15</v>
      </c>
      <c r="F210" s="1048">
        <v>0.13800000000000001</v>
      </c>
    </row>
    <row r="211" spans="1:6">
      <c r="A211" s="1042" t="s">
        <v>227</v>
      </c>
      <c r="B211" s="1046" t="s">
        <v>1435</v>
      </c>
      <c r="C211" s="1047">
        <v>0.13700000000000001</v>
      </c>
      <c r="D211" s="1047">
        <v>0.13500000000000001</v>
      </c>
      <c r="E211" s="1047">
        <v>0.13600000000000001</v>
      </c>
      <c r="F211" s="1048">
        <v>0.1</v>
      </c>
    </row>
    <row r="212" spans="1:6">
      <c r="A212" s="1042" t="s">
        <v>227</v>
      </c>
      <c r="B212" s="1046" t="s">
        <v>1446</v>
      </c>
      <c r="C212" s="1047">
        <v>0.15</v>
      </c>
      <c r="D212" s="1047">
        <v>0.15</v>
      </c>
      <c r="E212" s="1047">
        <v>0.14799999999999999</v>
      </c>
      <c r="F212" s="1048">
        <v>0.13600000000000001</v>
      </c>
    </row>
    <row r="213" spans="1:6">
      <c r="A213" s="1042" t="s">
        <v>227</v>
      </c>
      <c r="B213" s="1046" t="s">
        <v>1456</v>
      </c>
      <c r="C213" s="1047">
        <v>0.15</v>
      </c>
      <c r="D213" s="1047">
        <v>0.15</v>
      </c>
      <c r="E213" s="1047">
        <v>0.15</v>
      </c>
      <c r="F213" s="1048">
        <v>0.13800000000000001</v>
      </c>
    </row>
    <row r="214" spans="1:6">
      <c r="A214" s="1042" t="s">
        <v>227</v>
      </c>
      <c r="B214" s="1046" t="s">
        <v>1466</v>
      </c>
      <c r="C214" s="1047">
        <v>9.0999999999999998E-2</v>
      </c>
      <c r="D214" s="1047">
        <v>0.09</v>
      </c>
      <c r="E214" s="1047">
        <v>9.1999999999999998E-2</v>
      </c>
      <c r="F214" s="1055"/>
    </row>
    <row r="215" spans="1:6">
      <c r="A215" s="1042" t="s">
        <v>227</v>
      </c>
      <c r="B215" s="1046" t="s">
        <v>1476</v>
      </c>
      <c r="C215" s="1047">
        <v>0.15</v>
      </c>
      <c r="D215" s="1047">
        <v>0.15</v>
      </c>
      <c r="E215" s="1047">
        <v>0.15</v>
      </c>
      <c r="F215" s="1048">
        <v>0.15</v>
      </c>
    </row>
    <row r="216" spans="1:6">
      <c r="A216" s="1042" t="s">
        <v>227</v>
      </c>
      <c r="B216" s="1046" t="s">
        <v>1486</v>
      </c>
      <c r="C216" s="1047">
        <v>0.14699999999999999</v>
      </c>
      <c r="D216" s="1047">
        <v>0.14699999999999999</v>
      </c>
      <c r="E216" s="1047">
        <v>0.15</v>
      </c>
      <c r="F216" s="1048">
        <v>0.14000000000000001</v>
      </c>
    </row>
    <row r="217" spans="1:6">
      <c r="A217" s="1042" t="s">
        <v>227</v>
      </c>
      <c r="B217" s="1046" t="s">
        <v>1496</v>
      </c>
      <c r="C217" s="1047">
        <v>0.15</v>
      </c>
      <c r="D217" s="1047">
        <v>0.15</v>
      </c>
      <c r="E217" s="1047">
        <v>0.15</v>
      </c>
      <c r="F217" s="1048">
        <v>0.15</v>
      </c>
    </row>
    <row r="218" spans="1:6">
      <c r="A218" s="1042" t="s">
        <v>227</v>
      </c>
      <c r="B218" s="1046" t="s">
        <v>1506</v>
      </c>
      <c r="C218" s="1047">
        <v>0.15</v>
      </c>
      <c r="D218" s="1047">
        <v>0.15</v>
      </c>
      <c r="E218" s="1047">
        <v>0.15</v>
      </c>
      <c r="F218" s="1048">
        <v>0.15</v>
      </c>
    </row>
    <row r="219" spans="1:6">
      <c r="A219" s="1042" t="s">
        <v>227</v>
      </c>
      <c r="B219" s="1046" t="s">
        <v>1516</v>
      </c>
      <c r="C219" s="1047">
        <v>0.15</v>
      </c>
      <c r="D219" s="1047">
        <v>0.15</v>
      </c>
      <c r="E219" s="1047">
        <v>0.15</v>
      </c>
      <c r="F219" s="1048">
        <v>0.14799999999999999</v>
      </c>
    </row>
    <row r="220" spans="1:6">
      <c r="A220" s="1042" t="s">
        <v>227</v>
      </c>
      <c r="B220" s="1046" t="s">
        <v>1526</v>
      </c>
      <c r="C220" s="1047">
        <v>0.15</v>
      </c>
      <c r="D220" s="1047">
        <v>0.15</v>
      </c>
      <c r="E220" s="1047">
        <v>0.15</v>
      </c>
      <c r="F220" s="1048">
        <v>0.15</v>
      </c>
    </row>
    <row r="221" spans="1:6">
      <c r="A221" s="1042" t="s">
        <v>227</v>
      </c>
      <c r="B221" s="1046" t="s">
        <v>1536</v>
      </c>
      <c r="C221" s="1047"/>
      <c r="D221" s="1056"/>
      <c r="E221" s="1056"/>
      <c r="F221" s="1048">
        <v>0.14799999999999999</v>
      </c>
    </row>
    <row r="222" spans="1:6">
      <c r="A222" s="1042" t="s">
        <v>227</v>
      </c>
      <c r="B222" s="1046" t="s">
        <v>1546</v>
      </c>
      <c r="C222" s="1047"/>
      <c r="D222" s="1056"/>
      <c r="E222" s="1056"/>
      <c r="F222" s="1048">
        <v>0.1</v>
      </c>
    </row>
    <row r="223" spans="1:6">
      <c r="A223" s="1042" t="s">
        <v>227</v>
      </c>
      <c r="B223" s="1046" t="s">
        <v>1556</v>
      </c>
      <c r="C223" s="1047"/>
      <c r="D223" s="1056"/>
      <c r="E223" s="1056"/>
      <c r="F223" s="1048">
        <v>0.15</v>
      </c>
    </row>
    <row r="224" spans="1:6">
      <c r="A224" s="1042" t="s">
        <v>227</v>
      </c>
      <c r="B224" s="1046" t="s">
        <v>1566</v>
      </c>
      <c r="C224" s="1047"/>
      <c r="D224" s="1056"/>
      <c r="E224" s="1056"/>
      <c r="F224" s="1048">
        <v>0.15</v>
      </c>
    </row>
    <row r="225" spans="1:6">
      <c r="A225" s="1042" t="s">
        <v>227</v>
      </c>
      <c r="B225" s="1046" t="s">
        <v>1575</v>
      </c>
      <c r="C225" s="1047">
        <v>0.15</v>
      </c>
      <c r="D225" s="1047">
        <v>0.15</v>
      </c>
      <c r="E225" s="1047">
        <v>0.15</v>
      </c>
      <c r="F225" s="1048">
        <v>0.15</v>
      </c>
    </row>
    <row r="226" spans="1:6">
      <c r="A226" s="1042" t="s">
        <v>227</v>
      </c>
      <c r="B226" s="1046" t="s">
        <v>1583</v>
      </c>
      <c r="C226" s="1047">
        <v>0.15</v>
      </c>
      <c r="D226" s="1047">
        <v>0.15</v>
      </c>
      <c r="E226" s="1047">
        <v>0.15</v>
      </c>
      <c r="F226" s="1048">
        <v>0.14799999999999999</v>
      </c>
    </row>
    <row r="227" spans="1:6">
      <c r="A227" s="1042" t="s">
        <v>227</v>
      </c>
      <c r="B227" s="1046" t="s">
        <v>1591</v>
      </c>
      <c r="C227" s="1047">
        <v>0.15</v>
      </c>
      <c r="D227" s="1047">
        <v>0.15</v>
      </c>
      <c r="E227" s="1047">
        <v>0.15</v>
      </c>
      <c r="F227" s="1048">
        <v>0.15</v>
      </c>
    </row>
    <row r="228" spans="1:6">
      <c r="A228" s="1042" t="s">
        <v>227</v>
      </c>
      <c r="B228" s="1046" t="s">
        <v>1598</v>
      </c>
      <c r="C228" s="1047">
        <v>0.15</v>
      </c>
      <c r="D228" s="1047">
        <v>0.15</v>
      </c>
      <c r="E228" s="1047">
        <v>0.15</v>
      </c>
      <c r="F228" s="1048">
        <v>0.15</v>
      </c>
    </row>
    <row r="229" spans="1:6">
      <c r="A229" s="1042" t="s">
        <v>227</v>
      </c>
      <c r="B229" s="1046" t="s">
        <v>1605</v>
      </c>
      <c r="C229" s="1047">
        <v>0.15</v>
      </c>
      <c r="D229" s="1047">
        <v>0.15</v>
      </c>
      <c r="E229" s="1047">
        <v>0.15</v>
      </c>
      <c r="F229" s="1055"/>
    </row>
    <row r="230" spans="1:6">
      <c r="A230" s="1042" t="s">
        <v>227</v>
      </c>
      <c r="B230" s="1046" t="s">
        <v>1612</v>
      </c>
      <c r="C230" s="1047">
        <v>0.14499999999999999</v>
      </c>
      <c r="D230" s="1047">
        <v>0.14499999999999999</v>
      </c>
      <c r="E230" s="1047">
        <v>0.14399999999999999</v>
      </c>
      <c r="F230" s="1055"/>
    </row>
    <row r="231" spans="1:6">
      <c r="A231" s="1042" t="s">
        <v>227</v>
      </c>
      <c r="B231" s="1046" t="s">
        <v>1619</v>
      </c>
      <c r="C231" s="1047">
        <v>0.128</v>
      </c>
      <c r="D231" s="1047">
        <v>0.125</v>
      </c>
      <c r="E231" s="1047">
        <v>0.13200000000000001</v>
      </c>
      <c r="F231" s="1055"/>
    </row>
    <row r="232" spans="1:6">
      <c r="A232" s="1042" t="s">
        <v>227</v>
      </c>
      <c r="B232" s="1046" t="s">
        <v>1626</v>
      </c>
      <c r="C232" s="1047">
        <v>0.14499999999999999</v>
      </c>
      <c r="D232" s="1047">
        <v>0.14399999999999999</v>
      </c>
      <c r="E232" s="1047">
        <v>0.14599999999999999</v>
      </c>
      <c r="F232" s="1048">
        <v>0.13800000000000001</v>
      </c>
    </row>
    <row r="233" spans="1:6">
      <c r="A233" s="1042" t="s">
        <v>227</v>
      </c>
      <c r="B233" s="1046" t="s">
        <v>1631</v>
      </c>
      <c r="C233" s="1047">
        <v>0.14499999999999999</v>
      </c>
      <c r="D233" s="1047">
        <v>0.14299999999999999</v>
      </c>
      <c r="E233" s="1047">
        <v>0.14199999999999999</v>
      </c>
      <c r="F233" s="1055"/>
    </row>
    <row r="234" spans="1:6">
      <c r="A234" s="1042" t="s">
        <v>227</v>
      </c>
      <c r="B234" s="1046" t="s">
        <v>1713</v>
      </c>
      <c r="C234" s="1047">
        <v>0.14000000000000001</v>
      </c>
      <c r="D234" s="1047">
        <v>0.14000000000000001</v>
      </c>
      <c r="E234" s="1047">
        <v>0.14399999999999999</v>
      </c>
      <c r="F234" s="1055"/>
    </row>
    <row r="235" spans="1:6">
      <c r="A235" s="1042" t="s">
        <v>227</v>
      </c>
      <c r="B235" s="1046" t="s">
        <v>1641</v>
      </c>
      <c r="C235" s="1047">
        <v>0.14099999999999999</v>
      </c>
      <c r="D235" s="1047">
        <v>0.14199999999999999</v>
      </c>
      <c r="E235" s="1047">
        <v>0.14499999999999999</v>
      </c>
      <c r="F235" s="1048">
        <v>0.15</v>
      </c>
    </row>
    <row r="236" spans="1:6">
      <c r="A236" s="1042" t="s">
        <v>227</v>
      </c>
      <c r="B236" s="1046" t="s">
        <v>1646</v>
      </c>
      <c r="C236" s="1056"/>
      <c r="D236" s="1056"/>
      <c r="E236" s="1056"/>
      <c r="F236" s="1048">
        <v>0.14299999999999999</v>
      </c>
    </row>
    <row r="237" spans="1:6" ht="24">
      <c r="A237" s="1042" t="s">
        <v>227</v>
      </c>
      <c r="B237" s="1046" t="s">
        <v>1651</v>
      </c>
      <c r="C237" s="1056"/>
      <c r="D237" s="1056"/>
      <c r="E237" s="1056"/>
      <c r="F237" s="1048">
        <v>0.05</v>
      </c>
    </row>
    <row r="238" spans="1:6" ht="24">
      <c r="A238" s="1042" t="s">
        <v>227</v>
      </c>
      <c r="B238" s="1046" t="s">
        <v>1656</v>
      </c>
      <c r="C238" s="1056"/>
      <c r="D238" s="1056"/>
      <c r="E238" s="1056"/>
      <c r="F238" s="1048">
        <v>0.05</v>
      </c>
    </row>
    <row r="239" spans="1:6" ht="24">
      <c r="A239" s="1042" t="s">
        <v>227</v>
      </c>
      <c r="B239" s="1046" t="s">
        <v>1661</v>
      </c>
      <c r="C239" s="1056"/>
      <c r="D239" s="1056"/>
      <c r="E239" s="1056"/>
      <c r="F239" s="1048">
        <v>0.05</v>
      </c>
    </row>
    <row r="240" spans="1:6" ht="24">
      <c r="A240" s="1042" t="s">
        <v>227</v>
      </c>
      <c r="B240" s="1046" t="s">
        <v>1665</v>
      </c>
      <c r="C240" s="1056"/>
      <c r="D240" s="1056"/>
      <c r="E240" s="1056"/>
      <c r="F240" s="1048">
        <v>0.05</v>
      </c>
    </row>
    <row r="241" spans="1:6" ht="24">
      <c r="A241" s="1042" t="s">
        <v>227</v>
      </c>
      <c r="B241" s="1046" t="s">
        <v>1669</v>
      </c>
      <c r="C241" s="1056"/>
      <c r="D241" s="1056"/>
      <c r="E241" s="1056"/>
      <c r="F241" s="1048">
        <v>0.05</v>
      </c>
    </row>
    <row r="242" spans="1:6" ht="24">
      <c r="A242" s="1042" t="s">
        <v>227</v>
      </c>
      <c r="B242" s="1046" t="s">
        <v>1673</v>
      </c>
      <c r="C242" s="1056"/>
      <c r="D242" s="1056"/>
      <c r="E242" s="1056"/>
      <c r="F242" s="1048">
        <v>0.05</v>
      </c>
    </row>
    <row r="243" spans="1:6" ht="24">
      <c r="A243" s="1042" t="s">
        <v>227</v>
      </c>
      <c r="B243" s="1046" t="s">
        <v>1677</v>
      </c>
      <c r="C243" s="1056"/>
      <c r="D243" s="1056"/>
      <c r="E243" s="1056"/>
      <c r="F243" s="1048">
        <v>0.05</v>
      </c>
    </row>
    <row r="244" spans="1:6" ht="24">
      <c r="A244" s="1050" t="s">
        <v>227</v>
      </c>
      <c r="B244" s="1057" t="s">
        <v>1681</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1390</v>
      </c>
      <c r="C246" s="1047">
        <v>0.15</v>
      </c>
      <c r="D246" s="1047">
        <v>0.15</v>
      </c>
      <c r="E246" s="1047">
        <v>0.15</v>
      </c>
      <c r="F246" s="1048">
        <v>0.114</v>
      </c>
    </row>
    <row r="247" spans="1:6">
      <c r="A247" s="1042" t="s">
        <v>230</v>
      </c>
      <c r="B247" s="1046" t="s">
        <v>1403</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1425</v>
      </c>
      <c r="C249" s="1047">
        <v>0.15</v>
      </c>
      <c r="D249" s="1047">
        <v>0.14899999999999999</v>
      </c>
      <c r="E249" s="1047">
        <v>0.15</v>
      </c>
      <c r="F249" s="1048">
        <v>0.1</v>
      </c>
    </row>
    <row r="250" spans="1:6">
      <c r="A250" s="1042" t="s">
        <v>230</v>
      </c>
      <c r="B250" s="1046" t="s">
        <v>1436</v>
      </c>
      <c r="C250" s="1047">
        <v>0.15</v>
      </c>
      <c r="D250" s="1047">
        <v>0.15</v>
      </c>
      <c r="E250" s="1047">
        <v>0.15</v>
      </c>
      <c r="F250" s="1048">
        <v>0.14399999999999999</v>
      </c>
    </row>
    <row r="251" spans="1:6">
      <c r="A251" s="1042" t="s">
        <v>230</v>
      </c>
      <c r="B251" s="1046" t="s">
        <v>1447</v>
      </c>
      <c r="C251" s="1047">
        <v>0.15</v>
      </c>
      <c r="D251" s="1047">
        <v>0.15</v>
      </c>
      <c r="E251" s="1047">
        <v>0.15</v>
      </c>
      <c r="F251" s="1048">
        <v>0.14299999999999999</v>
      </c>
    </row>
    <row r="252" spans="1:6">
      <c r="A252" s="1042" t="s">
        <v>230</v>
      </c>
      <c r="B252" s="1046" t="s">
        <v>1457</v>
      </c>
      <c r="C252" s="1047">
        <v>0.15</v>
      </c>
      <c r="D252" s="1047">
        <v>0.15</v>
      </c>
      <c r="E252" s="1047">
        <v>0.15</v>
      </c>
      <c r="F252" s="1048">
        <v>0.1</v>
      </c>
    </row>
    <row r="253" spans="1:6">
      <c r="A253" s="1042" t="s">
        <v>230</v>
      </c>
      <c r="B253" s="1046" t="s">
        <v>1467</v>
      </c>
      <c r="C253" s="1047">
        <v>0.15</v>
      </c>
      <c r="D253" s="1047">
        <v>0.15</v>
      </c>
      <c r="E253" s="1047">
        <v>0.15</v>
      </c>
      <c r="F253" s="1048">
        <v>0.1</v>
      </c>
    </row>
    <row r="254" spans="1:6">
      <c r="A254" s="1042" t="s">
        <v>230</v>
      </c>
      <c r="B254" s="1046" t="s">
        <v>1477</v>
      </c>
      <c r="C254" s="1056"/>
      <c r="D254" s="1056"/>
      <c r="E254" s="1056"/>
      <c r="F254" s="1048">
        <v>0.15</v>
      </c>
    </row>
    <row r="255" spans="1:6">
      <c r="A255" s="1042" t="s">
        <v>230</v>
      </c>
      <c r="B255" s="1046" t="s">
        <v>1487</v>
      </c>
      <c r="C255" s="1056"/>
      <c r="D255" s="1056"/>
      <c r="E255" s="1056"/>
      <c r="F255" s="1048">
        <v>0.14299999999999999</v>
      </c>
    </row>
    <row r="256" spans="1:6">
      <c r="A256" s="1042" t="s">
        <v>230</v>
      </c>
      <c r="B256" s="1046" t="s">
        <v>1497</v>
      </c>
      <c r="C256" s="1047">
        <v>0.14599999999999999</v>
      </c>
      <c r="D256" s="1047">
        <v>0.14699999999999999</v>
      </c>
      <c r="E256" s="1047">
        <v>0.15</v>
      </c>
      <c r="F256" s="1048">
        <v>0.13200000000000001</v>
      </c>
    </row>
    <row r="257" spans="1:6">
      <c r="A257" s="1042" t="s">
        <v>230</v>
      </c>
      <c r="B257" s="1046" t="s">
        <v>1507</v>
      </c>
      <c r="C257" s="1047">
        <v>0.15</v>
      </c>
      <c r="D257" s="1047">
        <v>0.15</v>
      </c>
      <c r="E257" s="1047">
        <v>0.15</v>
      </c>
      <c r="F257" s="1048">
        <v>0.13900000000000001</v>
      </c>
    </row>
    <row r="258" spans="1:6">
      <c r="A258" s="1042" t="s">
        <v>230</v>
      </c>
      <c r="B258" s="1046" t="s">
        <v>1517</v>
      </c>
      <c r="C258" s="1047">
        <v>0.15</v>
      </c>
      <c r="D258" s="1047">
        <v>0.15</v>
      </c>
      <c r="E258" s="1047">
        <v>0.15</v>
      </c>
      <c r="F258" s="1048">
        <v>0.13</v>
      </c>
    </row>
    <row r="259" spans="1:6">
      <c r="A259" s="1042" t="s">
        <v>230</v>
      </c>
      <c r="B259" s="1046" t="s">
        <v>1527</v>
      </c>
      <c r="C259" s="1047">
        <v>0.14799999999999999</v>
      </c>
      <c r="D259" s="1047">
        <v>0.14899999999999999</v>
      </c>
      <c r="E259" s="1047">
        <v>0.15</v>
      </c>
      <c r="F259" s="1048">
        <v>0.13700000000000001</v>
      </c>
    </row>
    <row r="260" spans="1:6">
      <c r="A260" s="1042" t="s">
        <v>230</v>
      </c>
      <c r="B260" s="1046" t="s">
        <v>1537</v>
      </c>
      <c r="C260" s="1047">
        <v>0.15</v>
      </c>
      <c r="D260" s="1047">
        <v>0.15</v>
      </c>
      <c r="E260" s="1047">
        <v>0.15</v>
      </c>
      <c r="F260" s="1048">
        <v>0.14199999999999999</v>
      </c>
    </row>
    <row r="261" spans="1:6">
      <c r="A261" s="1042" t="s">
        <v>230</v>
      </c>
      <c r="B261" s="1046" t="s">
        <v>1547</v>
      </c>
      <c r="C261" s="1047">
        <v>0.15</v>
      </c>
      <c r="D261" s="1047">
        <v>0.15</v>
      </c>
      <c r="E261" s="1047">
        <v>0.14899999999999999</v>
      </c>
      <c r="F261" s="1048">
        <v>0.14799999999999999</v>
      </c>
    </row>
    <row r="262" spans="1:6">
      <c r="A262" s="1042" t="s">
        <v>230</v>
      </c>
      <c r="B262" s="1046" t="s">
        <v>1557</v>
      </c>
      <c r="C262" s="1047">
        <v>0.15</v>
      </c>
      <c r="D262" s="1047">
        <v>0.15</v>
      </c>
      <c r="E262" s="1047">
        <v>0.15</v>
      </c>
      <c r="F262" s="1055"/>
    </row>
    <row r="263" spans="1:6">
      <c r="A263" s="1042" t="s">
        <v>230</v>
      </c>
      <c r="B263" s="1046" t="s">
        <v>1567</v>
      </c>
      <c r="C263" s="1047">
        <v>0.14899999999999999</v>
      </c>
      <c r="D263" s="1047">
        <v>0.14899999999999999</v>
      </c>
      <c r="E263" s="1047">
        <v>0.15</v>
      </c>
      <c r="F263" s="1048">
        <v>0.13</v>
      </c>
    </row>
    <row r="264" spans="1:6">
      <c r="A264" s="1042" t="s">
        <v>230</v>
      </c>
      <c r="B264" s="1046" t="s">
        <v>1576</v>
      </c>
      <c r="C264" s="1047">
        <v>0.14799999999999999</v>
      </c>
      <c r="D264" s="1047">
        <v>0.14699999999999999</v>
      </c>
      <c r="E264" s="1047">
        <v>0.15</v>
      </c>
      <c r="F264" s="1048">
        <v>7.8E-2</v>
      </c>
    </row>
    <row r="265" spans="1:6">
      <c r="A265" s="1042" t="s">
        <v>230</v>
      </c>
      <c r="B265" s="1046" t="s">
        <v>1584</v>
      </c>
      <c r="C265" s="1047">
        <v>0.15</v>
      </c>
      <c r="D265" s="1047">
        <v>0.15</v>
      </c>
      <c r="E265" s="1047">
        <v>0.15</v>
      </c>
      <c r="F265" s="1048">
        <v>7.3999999999999996E-2</v>
      </c>
    </row>
    <row r="266" spans="1:6">
      <c r="A266" s="1042" t="s">
        <v>230</v>
      </c>
      <c r="B266" s="1046" t="s">
        <v>1592</v>
      </c>
      <c r="C266" s="1047">
        <v>0.14699999999999999</v>
      </c>
      <c r="D266" s="1047">
        <v>0.14699999999999999</v>
      </c>
      <c r="E266" s="1047">
        <v>0.15</v>
      </c>
      <c r="F266" s="1048">
        <v>0.14299999999999999</v>
      </c>
    </row>
    <row r="267" spans="1:6">
      <c r="A267" s="1042" t="s">
        <v>230</v>
      </c>
      <c r="B267" s="1046" t="s">
        <v>1599</v>
      </c>
      <c r="C267" s="1047">
        <v>0.14199999999999999</v>
      </c>
      <c r="D267" s="1047">
        <v>0.14299999999999999</v>
      </c>
      <c r="E267" s="1047">
        <v>0.15</v>
      </c>
      <c r="F267" s="1055"/>
    </row>
    <row r="268" spans="1:6">
      <c r="A268" s="1042" t="s">
        <v>230</v>
      </c>
      <c r="B268" s="1046" t="s">
        <v>1606</v>
      </c>
      <c r="C268" s="1047">
        <v>0.15</v>
      </c>
      <c r="D268" s="1047">
        <v>0.15</v>
      </c>
      <c r="E268" s="1047">
        <v>0.15</v>
      </c>
      <c r="F268" s="1048">
        <v>0.13</v>
      </c>
    </row>
    <row r="269" spans="1:6">
      <c r="A269" s="1042" t="s">
        <v>230</v>
      </c>
      <c r="B269" s="1046" t="s">
        <v>1613</v>
      </c>
      <c r="C269" s="1047">
        <v>0.15</v>
      </c>
      <c r="D269" s="1047">
        <v>0.15</v>
      </c>
      <c r="E269" s="1047">
        <v>0.15</v>
      </c>
      <c r="F269" s="1048">
        <v>0.14299999999999999</v>
      </c>
    </row>
    <row r="270" spans="1:6">
      <c r="A270" s="1042" t="s">
        <v>230</v>
      </c>
      <c r="B270" s="1046" t="s">
        <v>1620</v>
      </c>
      <c r="C270" s="1047">
        <v>0.14499999999999999</v>
      </c>
      <c r="D270" s="1047">
        <v>0.14499999999999999</v>
      </c>
      <c r="E270" s="1047">
        <v>0.15</v>
      </c>
      <c r="F270" s="1048">
        <v>0.14699999999999999</v>
      </c>
    </row>
    <row r="271" spans="1:6">
      <c r="A271" s="1042" t="s">
        <v>230</v>
      </c>
      <c r="B271" s="1046" t="s">
        <v>1627</v>
      </c>
      <c r="C271" s="1047">
        <v>0.15</v>
      </c>
      <c r="D271" s="1047">
        <v>0.15</v>
      </c>
      <c r="E271" s="1047">
        <v>0.15</v>
      </c>
      <c r="F271" s="1048">
        <v>0.13800000000000001</v>
      </c>
    </row>
    <row r="272" spans="1:6">
      <c r="A272" s="1042" t="s">
        <v>230</v>
      </c>
      <c r="B272" s="1046" t="s">
        <v>1632</v>
      </c>
      <c r="C272" s="1056"/>
      <c r="D272" s="1056"/>
      <c r="E272" s="1056"/>
      <c r="F272" s="1048">
        <v>0.14000000000000001</v>
      </c>
    </row>
    <row r="273" spans="1:6">
      <c r="A273" s="1042" t="s">
        <v>230</v>
      </c>
      <c r="B273" s="1046" t="s">
        <v>1637</v>
      </c>
      <c r="C273" s="1047">
        <v>0.14199999999999999</v>
      </c>
      <c r="D273" s="1047">
        <v>0.14299999999999999</v>
      </c>
      <c r="E273" s="1047">
        <v>0.15</v>
      </c>
      <c r="F273" s="1048">
        <v>0.1</v>
      </c>
    </row>
    <row r="274" spans="1:6">
      <c r="A274" s="1042" t="s">
        <v>230</v>
      </c>
      <c r="B274" s="1046" t="s">
        <v>1642</v>
      </c>
      <c r="C274" s="1047">
        <v>0.14799999999999999</v>
      </c>
      <c r="D274" s="1047">
        <v>0.14799999999999999</v>
      </c>
      <c r="E274" s="1047">
        <v>0.15</v>
      </c>
      <c r="F274" s="1048">
        <v>6.7000000000000004E-2</v>
      </c>
    </row>
    <row r="275" spans="1:6">
      <c r="A275" s="1042" t="s">
        <v>230</v>
      </c>
      <c r="B275" s="1046" t="s">
        <v>1647</v>
      </c>
      <c r="C275" s="1047">
        <v>0.15</v>
      </c>
      <c r="D275" s="1047">
        <v>0.15</v>
      </c>
      <c r="E275" s="1047">
        <v>0.15</v>
      </c>
      <c r="F275" s="1048">
        <v>0.15</v>
      </c>
    </row>
    <row r="276" spans="1:6">
      <c r="A276" s="1042" t="s">
        <v>230</v>
      </c>
      <c r="B276" s="1046" t="s">
        <v>1652</v>
      </c>
      <c r="C276" s="1047">
        <v>0.14499999999999999</v>
      </c>
      <c r="D276" s="1047">
        <v>0.14299999999999999</v>
      </c>
      <c r="E276" s="1047">
        <v>0.15</v>
      </c>
      <c r="F276" s="1048">
        <v>5.8999999999999997E-2</v>
      </c>
    </row>
    <row r="277" spans="1:6">
      <c r="A277" s="1042" t="s">
        <v>230</v>
      </c>
      <c r="B277" s="1046" t="s">
        <v>1657</v>
      </c>
      <c r="C277" s="1047">
        <v>0.15</v>
      </c>
      <c r="D277" s="1047">
        <v>0.15</v>
      </c>
      <c r="E277" s="1047">
        <v>0.15</v>
      </c>
      <c r="F277" s="1048">
        <v>0.121</v>
      </c>
    </row>
    <row r="278" spans="1:6">
      <c r="A278" s="1042" t="s">
        <v>230</v>
      </c>
      <c r="B278" s="1046" t="s">
        <v>1662</v>
      </c>
      <c r="C278" s="1047">
        <v>0.15</v>
      </c>
      <c r="D278" s="1047">
        <v>0.15</v>
      </c>
      <c r="E278" s="1047">
        <v>0.15</v>
      </c>
      <c r="F278" s="1048">
        <v>0.13800000000000001</v>
      </c>
    </row>
    <row r="279" spans="1:6" ht="24">
      <c r="A279" s="1042" t="s">
        <v>230</v>
      </c>
      <c r="B279" s="1046" t="s">
        <v>1666</v>
      </c>
      <c r="C279" s="1056"/>
      <c r="D279" s="1056"/>
      <c r="E279" s="1056"/>
      <c r="F279" s="1048">
        <v>0.05</v>
      </c>
    </row>
    <row r="280" spans="1:6" ht="24">
      <c r="A280" s="1042" t="s">
        <v>230</v>
      </c>
      <c r="B280" s="1046" t="s">
        <v>1670</v>
      </c>
      <c r="C280" s="1056"/>
      <c r="D280" s="1056"/>
      <c r="E280" s="1056"/>
      <c r="F280" s="1048">
        <v>0.05</v>
      </c>
    </row>
    <row r="281" spans="1:6" ht="24">
      <c r="A281" s="1042" t="s">
        <v>230</v>
      </c>
      <c r="B281" s="1046" t="s">
        <v>1674</v>
      </c>
      <c r="C281" s="1056"/>
      <c r="D281" s="1056"/>
      <c r="E281" s="1056"/>
      <c r="F281" s="1048">
        <v>0.05</v>
      </c>
    </row>
    <row r="282" spans="1:6" ht="24">
      <c r="A282" s="1042" t="s">
        <v>230</v>
      </c>
      <c r="B282" s="1046" t="s">
        <v>1678</v>
      </c>
      <c r="C282" s="1056"/>
      <c r="D282" s="1056"/>
      <c r="E282" s="1056"/>
      <c r="F282" s="1048">
        <v>0.05</v>
      </c>
    </row>
    <row r="283" spans="1:6" ht="24">
      <c r="A283" s="1042" t="s">
        <v>230</v>
      </c>
      <c r="B283" s="1046" t="s">
        <v>1682</v>
      </c>
      <c r="C283" s="1056"/>
      <c r="D283" s="1056"/>
      <c r="E283" s="1056"/>
      <c r="F283" s="1048">
        <v>0.05</v>
      </c>
    </row>
    <row r="284" spans="1:6" ht="24">
      <c r="A284" s="1042" t="s">
        <v>230</v>
      </c>
      <c r="B284" s="1046" t="s">
        <v>1685</v>
      </c>
      <c r="C284" s="1056"/>
      <c r="D284" s="1056"/>
      <c r="E284" s="1056"/>
      <c r="F284" s="1048">
        <v>0.05</v>
      </c>
    </row>
    <row r="285" spans="1:6" ht="24">
      <c r="A285" s="1042" t="s">
        <v>230</v>
      </c>
      <c r="B285" s="1046" t="s">
        <v>1688</v>
      </c>
      <c r="C285" s="1056"/>
      <c r="D285" s="1056"/>
      <c r="E285" s="1056"/>
      <c r="F285" s="1048">
        <v>0.05</v>
      </c>
    </row>
    <row r="286" spans="1:6" ht="24">
      <c r="A286" s="1042" t="s">
        <v>230</v>
      </c>
      <c r="B286" s="1046" t="s">
        <v>1691</v>
      </c>
      <c r="C286" s="1056"/>
      <c r="D286" s="1056"/>
      <c r="E286" s="1056"/>
      <c r="F286" s="1048">
        <v>0.05</v>
      </c>
    </row>
    <row r="287" spans="1:6" ht="24">
      <c r="A287" s="1042" t="s">
        <v>230</v>
      </c>
      <c r="B287" s="1046" t="s">
        <v>1694</v>
      </c>
      <c r="C287" s="1056"/>
      <c r="D287" s="1056"/>
      <c r="E287" s="1056"/>
      <c r="F287" s="1048">
        <v>0.05</v>
      </c>
    </row>
    <row r="288" spans="1:6" ht="24">
      <c r="A288" s="1042" t="s">
        <v>230</v>
      </c>
      <c r="B288" s="1046" t="s">
        <v>1697</v>
      </c>
      <c r="C288" s="1056"/>
      <c r="D288" s="1056"/>
      <c r="E288" s="1056"/>
      <c r="F288" s="1048">
        <v>0.05</v>
      </c>
    </row>
    <row r="289" spans="1:6" ht="24">
      <c r="A289" s="1050" t="s">
        <v>230</v>
      </c>
      <c r="B289" s="1057" t="s">
        <v>1700</v>
      </c>
      <c r="C289" s="1053"/>
      <c r="D289" s="1053"/>
      <c r="E289" s="1053"/>
      <c r="F289" s="1058">
        <v>0.05</v>
      </c>
    </row>
    <row r="290" spans="1:6">
      <c r="A290" s="1042" t="s">
        <v>233</v>
      </c>
      <c r="B290" s="1043" t="s">
        <v>1378</v>
      </c>
      <c r="C290" s="1044">
        <v>0.15</v>
      </c>
      <c r="D290" s="1044">
        <v>0.15</v>
      </c>
      <c r="E290" s="1044">
        <v>0.15</v>
      </c>
      <c r="F290" s="1066"/>
    </row>
    <row r="291" spans="1:6">
      <c r="A291" s="1042" t="s">
        <v>233</v>
      </c>
      <c r="B291" s="1046" t="s">
        <v>1391</v>
      </c>
      <c r="C291" s="1047">
        <v>0.15</v>
      </c>
      <c r="D291" s="1047">
        <v>0.15</v>
      </c>
      <c r="E291" s="1047">
        <v>0.15</v>
      </c>
      <c r="F291" s="1055"/>
    </row>
    <row r="292" spans="1:6">
      <c r="A292" s="1042" t="s">
        <v>233</v>
      </c>
      <c r="B292" s="1046" t="s">
        <v>1404</v>
      </c>
      <c r="C292" s="1047">
        <v>0.15</v>
      </c>
      <c r="D292" s="1047">
        <v>0.15</v>
      </c>
      <c r="E292" s="1047">
        <v>0.15</v>
      </c>
      <c r="F292" s="1048">
        <v>0.14699999999999999</v>
      </c>
    </row>
    <row r="293" spans="1:6">
      <c r="A293" s="1042" t="s">
        <v>233</v>
      </c>
      <c r="B293" s="1046" t="s">
        <v>1707</v>
      </c>
      <c r="C293" s="1056"/>
      <c r="D293" s="1056"/>
      <c r="E293" s="1056"/>
      <c r="F293" s="1048">
        <v>0.1</v>
      </c>
    </row>
    <row r="294" spans="1:6">
      <c r="A294" s="1042" t="s">
        <v>233</v>
      </c>
      <c r="B294" s="1046" t="s">
        <v>1415</v>
      </c>
      <c r="C294" s="1047">
        <v>0.15</v>
      </c>
      <c r="D294" s="1047">
        <v>0.15</v>
      </c>
      <c r="E294" s="1047">
        <v>0.15</v>
      </c>
      <c r="F294" s="1048">
        <v>0.15</v>
      </c>
    </row>
    <row r="295" spans="1:6">
      <c r="A295" s="1042" t="s">
        <v>233</v>
      </c>
      <c r="B295" s="1046" t="s">
        <v>1426</v>
      </c>
      <c r="C295" s="1047">
        <v>0.15</v>
      </c>
      <c r="D295" s="1047">
        <v>0.15</v>
      </c>
      <c r="E295" s="1047">
        <v>0.15</v>
      </c>
      <c r="F295" s="1048">
        <v>0.15</v>
      </c>
    </row>
    <row r="296" spans="1:6">
      <c r="A296" s="1042" t="s">
        <v>233</v>
      </c>
      <c r="B296" s="1046" t="s">
        <v>1437</v>
      </c>
      <c r="C296" s="1047">
        <v>0.15</v>
      </c>
      <c r="D296" s="1047">
        <v>0.15</v>
      </c>
      <c r="E296" s="1047">
        <v>0.15</v>
      </c>
      <c r="F296" s="1048">
        <v>0.15</v>
      </c>
    </row>
    <row r="297" spans="1:6">
      <c r="A297" s="1042" t="s">
        <v>233</v>
      </c>
      <c r="B297" s="1046" t="s">
        <v>1448</v>
      </c>
      <c r="C297" s="1047">
        <v>0.14799999999999999</v>
      </c>
      <c r="D297" s="1047">
        <v>0.14899999999999999</v>
      </c>
      <c r="E297" s="1047">
        <v>0.15</v>
      </c>
      <c r="F297" s="1048">
        <v>0.13700000000000001</v>
      </c>
    </row>
    <row r="298" spans="1:6">
      <c r="A298" s="1042" t="s">
        <v>233</v>
      </c>
      <c r="B298" s="1046" t="s">
        <v>1458</v>
      </c>
      <c r="C298" s="1047">
        <v>0.13400000000000001</v>
      </c>
      <c r="D298" s="1047">
        <v>0.13400000000000001</v>
      </c>
      <c r="E298" s="1047">
        <v>0.14499999999999999</v>
      </c>
      <c r="F298" s="1048">
        <v>0.14799999999999999</v>
      </c>
    </row>
    <row r="299" spans="1:6">
      <c r="A299" s="1042" t="s">
        <v>233</v>
      </c>
      <c r="B299" s="1046" t="s">
        <v>1468</v>
      </c>
      <c r="C299" s="1047">
        <v>0.15</v>
      </c>
      <c r="D299" s="1047">
        <v>0.15</v>
      </c>
      <c r="E299" s="1047">
        <v>0.15</v>
      </c>
      <c r="F299" s="1055"/>
    </row>
    <row r="300" spans="1:6">
      <c r="A300" s="1042" t="s">
        <v>233</v>
      </c>
      <c r="B300" s="1046" t="s">
        <v>1478</v>
      </c>
      <c r="C300" s="1047">
        <v>0.15</v>
      </c>
      <c r="D300" s="1047">
        <v>0.15</v>
      </c>
      <c r="E300" s="1047">
        <v>0.15</v>
      </c>
      <c r="F300" s="1048">
        <v>0.15</v>
      </c>
    </row>
    <row r="301" spans="1:6">
      <c r="A301" s="1042" t="s">
        <v>233</v>
      </c>
      <c r="B301" s="1046" t="s">
        <v>1488</v>
      </c>
      <c r="C301" s="1047">
        <v>0.15</v>
      </c>
      <c r="D301" s="1047">
        <v>0.15</v>
      </c>
      <c r="E301" s="1047">
        <v>0.15</v>
      </c>
      <c r="F301" s="1055"/>
    </row>
    <row r="302" spans="1:6">
      <c r="A302" s="1042" t="s">
        <v>233</v>
      </c>
      <c r="B302" s="1046" t="s">
        <v>1498</v>
      </c>
      <c r="C302" s="1047">
        <v>0.15</v>
      </c>
      <c r="D302" s="1047">
        <v>0.15</v>
      </c>
      <c r="E302" s="1047">
        <v>0.15</v>
      </c>
      <c r="F302" s="1048">
        <v>0.15</v>
      </c>
    </row>
    <row r="303" spans="1:6">
      <c r="A303" s="1042" t="s">
        <v>233</v>
      </c>
      <c r="B303" s="1046" t="s">
        <v>1508</v>
      </c>
      <c r="C303" s="1047">
        <v>0.15</v>
      </c>
      <c r="D303" s="1047">
        <v>0.15</v>
      </c>
      <c r="E303" s="1047">
        <v>0.15</v>
      </c>
      <c r="F303" s="1048">
        <v>0.15</v>
      </c>
    </row>
    <row r="304" spans="1:6">
      <c r="A304" s="1042" t="s">
        <v>233</v>
      </c>
      <c r="B304" s="1046" t="s">
        <v>1518</v>
      </c>
      <c r="C304" s="1047">
        <v>0.15</v>
      </c>
      <c r="D304" s="1047">
        <v>0.15</v>
      </c>
      <c r="E304" s="1047">
        <v>0.15</v>
      </c>
      <c r="F304" s="1055"/>
    </row>
    <row r="305" spans="1:6">
      <c r="A305" s="1042" t="s">
        <v>233</v>
      </c>
      <c r="B305" s="1046" t="s">
        <v>1528</v>
      </c>
      <c r="C305" s="1047">
        <v>0.15</v>
      </c>
      <c r="D305" s="1047">
        <v>0.15</v>
      </c>
      <c r="E305" s="1047">
        <v>0.15</v>
      </c>
      <c r="F305" s="1048">
        <v>0.14000000000000001</v>
      </c>
    </row>
    <row r="306" spans="1:6">
      <c r="A306" s="1042" t="s">
        <v>233</v>
      </c>
      <c r="B306" s="1046" t="s">
        <v>1538</v>
      </c>
      <c r="C306" s="1047">
        <v>0.15</v>
      </c>
      <c r="D306" s="1047">
        <v>0.15</v>
      </c>
      <c r="E306" s="1047">
        <v>0.15</v>
      </c>
      <c r="F306" s="1055"/>
    </row>
    <row r="307" spans="1:6">
      <c r="A307" s="1042" t="s">
        <v>233</v>
      </c>
      <c r="B307" s="1046" t="s">
        <v>1548</v>
      </c>
      <c r="C307" s="1047">
        <v>0.15</v>
      </c>
      <c r="D307" s="1047">
        <v>0.15</v>
      </c>
      <c r="E307" s="1047">
        <v>0.15</v>
      </c>
      <c r="F307" s="1048">
        <v>0.14299999999999999</v>
      </c>
    </row>
    <row r="308" spans="1:6">
      <c r="A308" s="1042" t="s">
        <v>233</v>
      </c>
      <c r="B308" s="1046" t="s">
        <v>1558</v>
      </c>
      <c r="C308" s="1047">
        <v>0.15</v>
      </c>
      <c r="D308" s="1047">
        <v>0.15</v>
      </c>
      <c r="E308" s="1047">
        <v>0.15</v>
      </c>
      <c r="F308" s="1048">
        <v>0.15</v>
      </c>
    </row>
    <row r="309" spans="1:6">
      <c r="A309" s="1042" t="s">
        <v>233</v>
      </c>
      <c r="B309" s="1046" t="s">
        <v>1568</v>
      </c>
      <c r="C309" s="1047">
        <v>0.15</v>
      </c>
      <c r="D309" s="1047">
        <v>0.15</v>
      </c>
      <c r="E309" s="1047">
        <v>0.15</v>
      </c>
      <c r="F309" s="1055"/>
    </row>
    <row r="310" spans="1:6">
      <c r="A310" s="1042" t="s">
        <v>233</v>
      </c>
      <c r="B310" s="1046" t="s">
        <v>1577</v>
      </c>
      <c r="C310" s="1047">
        <v>0.15</v>
      </c>
      <c r="D310" s="1047">
        <v>0.15</v>
      </c>
      <c r="E310" s="1047">
        <v>0.15</v>
      </c>
      <c r="F310" s="1048">
        <v>0.13700000000000001</v>
      </c>
    </row>
    <row r="311" spans="1:6">
      <c r="A311" s="1042" t="s">
        <v>233</v>
      </c>
      <c r="B311" s="1046" t="s">
        <v>1585</v>
      </c>
      <c r="C311" s="1047">
        <v>0.15</v>
      </c>
      <c r="D311" s="1047">
        <v>0.15</v>
      </c>
      <c r="E311" s="1047">
        <v>0.15</v>
      </c>
      <c r="F311" s="1048">
        <v>0.15</v>
      </c>
    </row>
    <row r="312" spans="1:6">
      <c r="A312" s="1042" t="s">
        <v>233</v>
      </c>
      <c r="B312" s="1046" t="s">
        <v>1593</v>
      </c>
      <c r="C312" s="1047">
        <v>0.15</v>
      </c>
      <c r="D312" s="1047">
        <v>0.15</v>
      </c>
      <c r="E312" s="1047">
        <v>0.15</v>
      </c>
      <c r="F312" s="1048">
        <v>0.1</v>
      </c>
    </row>
    <row r="313" spans="1:6">
      <c r="A313" s="1042" t="s">
        <v>233</v>
      </c>
      <c r="B313" s="1046" t="s">
        <v>1600</v>
      </c>
      <c r="C313" s="1047">
        <v>0.15</v>
      </c>
      <c r="D313" s="1047">
        <v>0.15</v>
      </c>
      <c r="E313" s="1047">
        <v>0.15</v>
      </c>
      <c r="F313" s="1048">
        <v>0.15</v>
      </c>
    </row>
    <row r="314" spans="1:6" ht="24">
      <c r="A314" s="1042" t="s">
        <v>233</v>
      </c>
      <c r="B314" s="1046" t="s">
        <v>1607</v>
      </c>
      <c r="C314" s="1056"/>
      <c r="D314" s="1056"/>
      <c r="E314" s="1056"/>
      <c r="F314" s="1048">
        <v>0.05</v>
      </c>
    </row>
    <row r="315" spans="1:6" ht="24">
      <c r="A315" s="1042" t="s">
        <v>233</v>
      </c>
      <c r="B315" s="1046" t="s">
        <v>1614</v>
      </c>
      <c r="C315" s="1056"/>
      <c r="D315" s="1056"/>
      <c r="E315" s="1056"/>
      <c r="F315" s="1048">
        <v>0.05</v>
      </c>
    </row>
    <row r="316" spans="1:6" ht="24">
      <c r="A316" s="1050" t="s">
        <v>233</v>
      </c>
      <c r="B316" s="1057" t="s">
        <v>1621</v>
      </c>
      <c r="C316" s="1053"/>
      <c r="D316" s="1053"/>
      <c r="E316" s="1053"/>
      <c r="F316" s="1058">
        <v>0.05</v>
      </c>
    </row>
    <row r="317" spans="1:6">
      <c r="A317" s="1042" t="s">
        <v>236</v>
      </c>
      <c r="B317" s="1043" t="s">
        <v>1379</v>
      </c>
      <c r="C317" s="1044">
        <v>0.15</v>
      </c>
      <c r="D317" s="1044">
        <v>0.15</v>
      </c>
      <c r="E317" s="1044">
        <v>0.15</v>
      </c>
      <c r="F317" s="1045">
        <v>0.15</v>
      </c>
    </row>
    <row r="318" spans="1:6">
      <c r="A318" s="1042" t="s">
        <v>236</v>
      </c>
      <c r="B318" s="1046" t="s">
        <v>1392</v>
      </c>
      <c r="C318" s="1047">
        <v>0.107</v>
      </c>
      <c r="D318" s="1047">
        <v>0.11</v>
      </c>
      <c r="E318" s="1047">
        <v>0.112</v>
      </c>
      <c r="F318" s="1055"/>
    </row>
    <row r="319" spans="1:6">
      <c r="A319" s="1042" t="s">
        <v>236</v>
      </c>
      <c r="B319" s="1046" t="s">
        <v>1405</v>
      </c>
      <c r="C319" s="1047">
        <v>0.15</v>
      </c>
      <c r="D319" s="1047">
        <v>0.15</v>
      </c>
      <c r="E319" s="1047">
        <v>0.15</v>
      </c>
      <c r="F319" s="1048">
        <v>0.15</v>
      </c>
    </row>
    <row r="320" spans="1:6">
      <c r="A320" s="1042" t="s">
        <v>236</v>
      </c>
      <c r="B320" s="1046" t="s">
        <v>1416</v>
      </c>
      <c r="C320" s="1047">
        <v>0.15</v>
      </c>
      <c r="D320" s="1047">
        <v>0.15</v>
      </c>
      <c r="E320" s="1047">
        <v>0.15</v>
      </c>
      <c r="F320" s="1055"/>
    </row>
    <row r="321" spans="1:6">
      <c r="A321" s="1042" t="s">
        <v>236</v>
      </c>
      <c r="B321" s="1046" t="s">
        <v>1427</v>
      </c>
      <c r="C321" s="1047">
        <v>0.15</v>
      </c>
      <c r="D321" s="1047">
        <v>0.15</v>
      </c>
      <c r="E321" s="1047">
        <v>0.15</v>
      </c>
      <c r="F321" s="1055"/>
    </row>
    <row r="322" spans="1:6">
      <c r="A322" s="1042" t="s">
        <v>236</v>
      </c>
      <c r="B322" s="1046" t="s">
        <v>1438</v>
      </c>
      <c r="C322" s="1047">
        <v>0.15</v>
      </c>
      <c r="D322" s="1047">
        <v>0.15</v>
      </c>
      <c r="E322" s="1047">
        <v>0.15</v>
      </c>
      <c r="F322" s="1048">
        <v>0.15</v>
      </c>
    </row>
    <row r="323" spans="1:6">
      <c r="A323" s="1042" t="s">
        <v>236</v>
      </c>
      <c r="B323" s="1046" t="s">
        <v>1449</v>
      </c>
      <c r="C323" s="1047">
        <v>0.15</v>
      </c>
      <c r="D323" s="1047">
        <v>0.15</v>
      </c>
      <c r="E323" s="1047">
        <v>0.15</v>
      </c>
      <c r="F323" s="1055"/>
    </row>
    <row r="324" spans="1:6">
      <c r="A324" s="1042" t="s">
        <v>236</v>
      </c>
      <c r="B324" s="1046" t="s">
        <v>1459</v>
      </c>
      <c r="C324" s="1047">
        <v>0.15</v>
      </c>
      <c r="D324" s="1047">
        <v>0.15</v>
      </c>
      <c r="E324" s="1047">
        <v>0.15</v>
      </c>
      <c r="F324" s="1055"/>
    </row>
    <row r="325" spans="1:6">
      <c r="A325" s="1042" t="s">
        <v>236</v>
      </c>
      <c r="B325" s="1046" t="s">
        <v>1469</v>
      </c>
      <c r="C325" s="1047">
        <v>0.15</v>
      </c>
      <c r="D325" s="1047">
        <v>0.15</v>
      </c>
      <c r="E325" s="1047">
        <v>0.15</v>
      </c>
      <c r="F325" s="1048">
        <v>0.14699999999999999</v>
      </c>
    </row>
    <row r="326" spans="1:6">
      <c r="A326" s="1042" t="s">
        <v>236</v>
      </c>
      <c r="B326" s="1046" t="s">
        <v>1479</v>
      </c>
      <c r="C326" s="1047">
        <v>0.15</v>
      </c>
      <c r="D326" s="1047">
        <v>0.15</v>
      </c>
      <c r="E326" s="1047">
        <v>0.15</v>
      </c>
      <c r="F326" s="1055"/>
    </row>
    <row r="327" spans="1:6">
      <c r="A327" s="1042" t="s">
        <v>236</v>
      </c>
      <c r="B327" s="1046" t="s">
        <v>1489</v>
      </c>
      <c r="C327" s="1047">
        <v>0.15</v>
      </c>
      <c r="D327" s="1047">
        <v>0.15</v>
      </c>
      <c r="E327" s="1047">
        <v>0.15</v>
      </c>
      <c r="F327" s="1048">
        <v>0.15</v>
      </c>
    </row>
    <row r="328" spans="1:6">
      <c r="A328" s="1042" t="s">
        <v>236</v>
      </c>
      <c r="B328" s="1046" t="s">
        <v>1499</v>
      </c>
      <c r="C328" s="1047">
        <v>0.15</v>
      </c>
      <c r="D328" s="1047">
        <v>0.15</v>
      </c>
      <c r="E328" s="1047">
        <v>0.15</v>
      </c>
      <c r="F328" s="1048">
        <v>0.14099999999999999</v>
      </c>
    </row>
    <row r="329" spans="1:6">
      <c r="A329" s="1042" t="s">
        <v>236</v>
      </c>
      <c r="B329" s="1046" t="s">
        <v>1509</v>
      </c>
      <c r="C329" s="1047">
        <v>0.15</v>
      </c>
      <c r="D329" s="1047">
        <v>0.15</v>
      </c>
      <c r="E329" s="1047">
        <v>0.15</v>
      </c>
      <c r="F329" s="1048">
        <v>0.15</v>
      </c>
    </row>
    <row r="330" spans="1:6">
      <c r="A330" s="1042" t="s">
        <v>236</v>
      </c>
      <c r="B330" s="1046" t="s">
        <v>1519</v>
      </c>
      <c r="C330" s="1047">
        <v>0.15</v>
      </c>
      <c r="D330" s="1047">
        <v>0.15</v>
      </c>
      <c r="E330" s="1047">
        <v>0.15</v>
      </c>
      <c r="F330" s="1055"/>
    </row>
    <row r="331" spans="1:6">
      <c r="A331" s="1042" t="s">
        <v>236</v>
      </c>
      <c r="B331" s="1046" t="s">
        <v>1529</v>
      </c>
      <c r="C331" s="1047">
        <v>0.15</v>
      </c>
      <c r="D331" s="1047">
        <v>0.15</v>
      </c>
      <c r="E331" s="1047">
        <v>0.15</v>
      </c>
      <c r="F331" s="1048">
        <v>0.15</v>
      </c>
    </row>
    <row r="332" spans="1:6">
      <c r="A332" s="1042" t="s">
        <v>236</v>
      </c>
      <c r="B332" s="1046" t="s">
        <v>1539</v>
      </c>
      <c r="C332" s="1047">
        <v>0.15</v>
      </c>
      <c r="D332" s="1047">
        <v>0.15</v>
      </c>
      <c r="E332" s="1047">
        <v>0.15</v>
      </c>
      <c r="F332" s="1048">
        <v>0.15</v>
      </c>
    </row>
    <row r="333" spans="1:6">
      <c r="A333" s="1042" t="s">
        <v>236</v>
      </c>
      <c r="B333" s="1046" t="s">
        <v>1549</v>
      </c>
      <c r="C333" s="1047">
        <v>0.15</v>
      </c>
      <c r="D333" s="1047">
        <v>0.15</v>
      </c>
      <c r="E333" s="1047">
        <v>0.15</v>
      </c>
      <c r="F333" s="1048">
        <v>0.14099999999999999</v>
      </c>
    </row>
    <row r="334" spans="1:6">
      <c r="A334" s="1042" t="s">
        <v>236</v>
      </c>
      <c r="B334" s="1046" t="s">
        <v>1559</v>
      </c>
      <c r="C334" s="1047">
        <v>0.15</v>
      </c>
      <c r="D334" s="1047">
        <v>0.15</v>
      </c>
      <c r="E334" s="1047">
        <v>0.15</v>
      </c>
      <c r="F334" s="1048">
        <v>0.15</v>
      </c>
    </row>
    <row r="335" spans="1:6">
      <c r="A335" s="1042" t="s">
        <v>236</v>
      </c>
      <c r="B335" s="1046" t="s">
        <v>1569</v>
      </c>
      <c r="C335" s="1047">
        <v>0.15</v>
      </c>
      <c r="D335" s="1047">
        <v>0.15</v>
      </c>
      <c r="E335" s="1047">
        <v>0.15</v>
      </c>
      <c r="F335" s="1055"/>
    </row>
    <row r="336" spans="1:6">
      <c r="A336" s="1042" t="s">
        <v>236</v>
      </c>
      <c r="B336" s="1046" t="s">
        <v>1578</v>
      </c>
      <c r="C336" s="1047">
        <v>0.15</v>
      </c>
      <c r="D336" s="1047">
        <v>0.15</v>
      </c>
      <c r="E336" s="1047">
        <v>0.15</v>
      </c>
      <c r="F336" s="1048">
        <v>0.11799999999999999</v>
      </c>
    </row>
    <row r="337" spans="1:6">
      <c r="A337" s="1050" t="s">
        <v>236</v>
      </c>
      <c r="B337" s="1057" t="s">
        <v>1586</v>
      </c>
      <c r="C337" s="1053"/>
      <c r="D337" s="1053"/>
      <c r="E337" s="1053"/>
      <c r="F337" s="1058">
        <v>0.14299999999999999</v>
      </c>
    </row>
    <row r="338" spans="1:6">
      <c r="A338" s="1042" t="s">
        <v>239</v>
      </c>
      <c r="B338" s="1043" t="s">
        <v>1380</v>
      </c>
      <c r="C338" s="1044">
        <v>0.15</v>
      </c>
      <c r="D338" s="1044">
        <v>0.15</v>
      </c>
      <c r="E338" s="1044">
        <v>0.15</v>
      </c>
      <c r="F338" s="1066"/>
    </row>
    <row r="339" spans="1:6">
      <c r="A339" s="1042" t="s">
        <v>239</v>
      </c>
      <c r="B339" s="1046" t="s">
        <v>1393</v>
      </c>
      <c r="C339" s="1047">
        <v>0.15</v>
      </c>
      <c r="D339" s="1047">
        <v>0.15</v>
      </c>
      <c r="E339" s="1047">
        <v>0.15</v>
      </c>
      <c r="F339" s="1055"/>
    </row>
    <row r="340" spans="1:6">
      <c r="A340" s="1042" t="s">
        <v>239</v>
      </c>
      <c r="B340" s="1046" t="s">
        <v>1406</v>
      </c>
      <c r="C340" s="1047">
        <v>0.15</v>
      </c>
      <c r="D340" s="1047">
        <v>0.15</v>
      </c>
      <c r="E340" s="1047">
        <v>0.15</v>
      </c>
      <c r="F340" s="1055"/>
    </row>
    <row r="341" spans="1:6">
      <c r="A341" s="1042" t="s">
        <v>239</v>
      </c>
      <c r="B341" s="1046" t="s">
        <v>1417</v>
      </c>
      <c r="C341" s="1047">
        <v>0.15</v>
      </c>
      <c r="D341" s="1047">
        <v>0.15</v>
      </c>
      <c r="E341" s="1047">
        <v>0.15</v>
      </c>
      <c r="F341" s="1048">
        <v>0.15</v>
      </c>
    </row>
    <row r="342" spans="1:6">
      <c r="A342" s="1042" t="s">
        <v>239</v>
      </c>
      <c r="B342" s="1046" t="s">
        <v>1428</v>
      </c>
      <c r="C342" s="1047">
        <v>0.15</v>
      </c>
      <c r="D342" s="1047">
        <v>0.15</v>
      </c>
      <c r="E342" s="1047">
        <v>0.15</v>
      </c>
      <c r="F342" s="1048">
        <v>0.15</v>
      </c>
    </row>
    <row r="343" spans="1:6">
      <c r="A343" s="1042" t="s">
        <v>239</v>
      </c>
      <c r="B343" s="1046" t="s">
        <v>1439</v>
      </c>
      <c r="C343" s="1047">
        <v>0.15</v>
      </c>
      <c r="D343" s="1047">
        <v>0.15</v>
      </c>
      <c r="E343" s="1047">
        <v>0.15</v>
      </c>
      <c r="F343" s="1048">
        <v>0.15</v>
      </c>
    </row>
    <row r="344" spans="1:6">
      <c r="A344" s="1050" t="s">
        <v>239</v>
      </c>
      <c r="B344" s="1057" t="s">
        <v>1450</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topLeftCell="A31" zoomScale="95" zoomScaleNormal="95" workbookViewId="0">
      <selection activeCell="F25" sqref="F25"/>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1714</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797</v>
      </c>
      <c r="B2" s="50">
        <f ca="1">IF(ISERROR(C45+J31),0,C45+J31)</f>
        <v>0</v>
      </c>
      <c r="C2" s="986"/>
      <c r="D2" s="743"/>
      <c r="E2" s="744"/>
      <c r="F2" s="744"/>
      <c r="G2" s="745"/>
      <c r="H2" s="880"/>
      <c r="I2" s="742"/>
      <c r="J2" s="742"/>
      <c r="K2" s="879"/>
      <c r="L2" s="742"/>
      <c r="M2" s="742"/>
    </row>
    <row r="3" spans="1:25" ht="18" customHeight="1">
      <c r="A3" s="987" t="s">
        <v>798</v>
      </c>
      <c r="B3" s="988">
        <f ca="1">ROUND(B2*10000/'数据-汇总表'!E3,0)</f>
        <v>0</v>
      </c>
      <c r="C3" s="986"/>
      <c r="D3" s="743"/>
      <c r="E3" s="744"/>
      <c r="F3" s="744"/>
      <c r="G3" s="745"/>
      <c r="H3" s="748" t="s">
        <v>1715</v>
      </c>
      <c r="I3" s="742"/>
      <c r="J3" s="742"/>
      <c r="K3" s="879"/>
      <c r="L3" s="742"/>
      <c r="M3" s="742"/>
    </row>
    <row r="4" spans="1:25" ht="18" customHeight="1">
      <c r="A4" s="989" t="s">
        <v>799</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800</v>
      </c>
      <c r="D5" s="743"/>
      <c r="E5" s="744"/>
      <c r="F5" s="744"/>
      <c r="G5" s="745"/>
      <c r="H5" s="748"/>
      <c r="I5" s="742"/>
      <c r="J5" s="742"/>
      <c r="K5" s="879"/>
      <c r="L5" s="742"/>
      <c r="M5" s="742"/>
    </row>
    <row r="6" spans="1:25" ht="18" customHeight="1">
      <c r="A6" s="992" t="s">
        <v>1716</v>
      </c>
      <c r="B6" s="993" t="s">
        <v>1717</v>
      </c>
      <c r="C6" s="993" t="s">
        <v>1718</v>
      </c>
      <c r="D6" s="993" t="s">
        <v>1719</v>
      </c>
      <c r="E6" s="751" t="s">
        <v>1720</v>
      </c>
      <c r="F6" s="752"/>
      <c r="G6" s="753"/>
      <c r="H6" s="992" t="s">
        <v>1716</v>
      </c>
      <c r="I6" s="993" t="s">
        <v>1717</v>
      </c>
      <c r="J6" s="993" t="s">
        <v>1718</v>
      </c>
      <c r="K6" s="993" t="s">
        <v>1719</v>
      </c>
      <c r="L6" s="751" t="s">
        <v>1720</v>
      </c>
      <c r="M6" s="752"/>
    </row>
    <row r="7" spans="1:25" ht="18" customHeight="1">
      <c r="A7" s="754">
        <v>1</v>
      </c>
      <c r="B7" s="755" t="s">
        <v>1721</v>
      </c>
      <c r="C7" s="52" t="e">
        <f ca="1">C8+C12+C14</f>
        <v>#N/A</v>
      </c>
      <c r="D7" s="757" t="s">
        <v>1722</v>
      </c>
      <c r="E7" s="758"/>
      <c r="F7" s="759"/>
      <c r="G7" s="753"/>
      <c r="H7" s="754">
        <v>1</v>
      </c>
      <c r="I7" s="755" t="s">
        <v>1721</v>
      </c>
      <c r="J7" s="52" t="e">
        <f ca="1">J8+J12+J14</f>
        <v>#N/A</v>
      </c>
      <c r="K7" s="757" t="s">
        <v>1722</v>
      </c>
      <c r="L7" s="758"/>
      <c r="M7" s="759"/>
    </row>
    <row r="8" spans="1:25" ht="18" customHeight="1">
      <c r="A8" s="760" t="s">
        <v>746</v>
      </c>
      <c r="B8" s="3280" t="s">
        <v>1723</v>
      </c>
      <c r="C8" s="994" t="e">
        <f ca="1">ROUND(F8*F10*F9*(1-F11)/10000,0)</f>
        <v>#N/A</v>
      </c>
      <c r="D8" s="995" t="s">
        <v>1724</v>
      </c>
      <c r="E8" s="996" t="s">
        <v>1725</v>
      </c>
      <c r="F8" s="763" t="e">
        <f ca="1">INDIRECT("'数据-取费表'!u"&amp;$G$1)</f>
        <v>#N/A</v>
      </c>
      <c r="G8" s="753"/>
      <c r="H8" s="764" t="s">
        <v>746</v>
      </c>
      <c r="I8" s="3280" t="s">
        <v>1723</v>
      </c>
      <c r="J8" s="761" t="e">
        <f ca="1">ROUND(M8*M10*M9*(1-M11)/10000,0)</f>
        <v>#N/A</v>
      </c>
      <c r="K8" s="831" t="s">
        <v>1724</v>
      </c>
      <c r="L8" s="762" t="s">
        <v>1725</v>
      </c>
      <c r="M8" s="763" t="e">
        <f ca="1">INDIRECT("'数据-取费表'!z"&amp;$G$1)</f>
        <v>#N/A</v>
      </c>
    </row>
    <row r="9" spans="1:25" ht="18" customHeight="1">
      <c r="A9" s="765"/>
      <c r="B9" s="3281"/>
      <c r="C9" s="997"/>
      <c r="D9" s="998"/>
      <c r="E9" s="996" t="s">
        <v>1726</v>
      </c>
      <c r="F9" s="763" t="e">
        <f ca="1">IF(INDIRECT("'数据-取费表'!ah"&amp;$G$1)="",INDIRECT("'数据-取费表'!k"&amp;$G$1),INDIRECT("'数据-取费表'!ah"&amp;$G$1))</f>
        <v>#N/A</v>
      </c>
      <c r="G9" s="753"/>
      <c r="H9" s="768"/>
      <c r="I9" s="3281"/>
      <c r="J9" s="766"/>
      <c r="K9" s="767"/>
      <c r="L9" s="762" t="s">
        <v>1726</v>
      </c>
      <c r="M9" s="763" t="e">
        <f ca="1">F9</f>
        <v>#N/A</v>
      </c>
    </row>
    <row r="10" spans="1:25" ht="18" customHeight="1">
      <c r="A10" s="769"/>
      <c r="B10" s="3282"/>
      <c r="C10" s="997"/>
      <c r="D10" s="998"/>
      <c r="E10" s="996" t="s">
        <v>1727</v>
      </c>
      <c r="F10" s="763" t="e">
        <f ca="1">INDIRECT("'数据-取费表'!ai"&amp;$G$1)</f>
        <v>#N/A</v>
      </c>
      <c r="G10" s="753"/>
      <c r="H10" s="768"/>
      <c r="I10" s="3282"/>
      <c r="J10" s="766"/>
      <c r="K10" s="767"/>
      <c r="L10" s="762" t="s">
        <v>1727</v>
      </c>
      <c r="M10" s="763" t="e">
        <f ca="1">INDIRECT("'数据-取费表'!ai"&amp;$G$1)</f>
        <v>#N/A</v>
      </c>
    </row>
    <row r="11" spans="1:25" ht="18" customHeight="1">
      <c r="A11" s="770"/>
      <c r="B11" s="3283"/>
      <c r="C11" s="997"/>
      <c r="D11" s="998"/>
      <c r="E11" s="996" t="s">
        <v>1728</v>
      </c>
      <c r="F11" s="771" t="e">
        <f ca="1">INDIRECT("'数据-取费表'!w"&amp;$G$1)</f>
        <v>#N/A</v>
      </c>
      <c r="G11" s="753"/>
      <c r="H11" s="772"/>
      <c r="I11" s="3282"/>
      <c r="J11" s="766"/>
      <c r="K11" s="767"/>
      <c r="L11" s="814" t="s">
        <v>1728</v>
      </c>
      <c r="M11" s="781" t="e">
        <f ca="1">INDIRECT("'数据-取费表'!ab"&amp;$G$1)</f>
        <v>#N/A</v>
      </c>
    </row>
    <row r="12" spans="1:25" ht="18" customHeight="1">
      <c r="A12" s="760" t="s">
        <v>748</v>
      </c>
      <c r="B12" s="773" t="s">
        <v>1729</v>
      </c>
      <c r="C12" s="51">
        <f>ROUND(IF(F12="押一",F8*F10*F9/12*F13,IF(F12="押二",F8*F10*F9/12*2*F13,IF(F12="押三",F8*F10*F9/12*3*F13,C13*F13)))/10000,0)</f>
        <v>0</v>
      </c>
      <c r="D12" s="774" t="s">
        <v>1730</v>
      </c>
      <c r="E12" s="775" t="s">
        <v>1731</v>
      </c>
      <c r="F12" s="776" t="s">
        <v>1732</v>
      </c>
      <c r="G12" s="753"/>
      <c r="H12" s="777" t="s">
        <v>748</v>
      </c>
      <c r="I12" s="882" t="s">
        <v>1729</v>
      </c>
      <c r="J12" s="761" t="e">
        <f ca="1">ROUND(IF(M12="押一",M8*M10*M9/12*M13,IF(M12="押二",M8*M10*M9/12*2*M13,IF(M12="押三",M8*M10*M9/12*3*M13,J13*M13)))/10000,0)</f>
        <v>#N/A</v>
      </c>
      <c r="K12" s="774" t="s">
        <v>1730</v>
      </c>
      <c r="L12" s="775" t="s">
        <v>1731</v>
      </c>
      <c r="M12" s="776" t="s">
        <v>1733</v>
      </c>
    </row>
    <row r="13" spans="1:25" ht="18" customHeight="1">
      <c r="A13" s="778"/>
      <c r="B13" s="779" t="s">
        <v>1734</v>
      </c>
      <c r="C13" s="780"/>
      <c r="D13" s="767"/>
      <c r="E13" s="775" t="s">
        <v>553</v>
      </c>
      <c r="F13" s="781">
        <f>'数据-取费表'!B39</f>
        <v>1.4999999999999999E-2</v>
      </c>
      <c r="G13" s="753"/>
      <c r="H13" s="782"/>
      <c r="I13" s="779" t="s">
        <v>1734</v>
      </c>
      <c r="J13" s="780"/>
      <c r="K13" s="883"/>
      <c r="L13" s="775" t="s">
        <v>553</v>
      </c>
      <c r="M13" s="884">
        <f>'数据-取费表'!B39</f>
        <v>1.4999999999999999E-2</v>
      </c>
    </row>
    <row r="14" spans="1:25" ht="18" customHeight="1">
      <c r="A14" s="783" t="s">
        <v>805</v>
      </c>
      <c r="B14" s="784" t="s">
        <v>1735</v>
      </c>
      <c r="C14" s="785"/>
      <c r="D14" s="786"/>
      <c r="E14" s="787"/>
      <c r="F14" s="788"/>
      <c r="G14" s="753"/>
      <c r="H14" s="789" t="s">
        <v>805</v>
      </c>
      <c r="I14" s="885" t="s">
        <v>1735</v>
      </c>
      <c r="J14" s="886"/>
      <c r="K14" s="786"/>
      <c r="L14" s="787"/>
      <c r="M14" s="887"/>
    </row>
    <row r="15" spans="1:25" ht="18" customHeight="1">
      <c r="A15" s="790" t="s">
        <v>750</v>
      </c>
      <c r="B15" s="791" t="s">
        <v>1736</v>
      </c>
      <c r="C15" s="792" t="e">
        <f ca="1">ROUND(C31*F15,0)</f>
        <v>#N/A</v>
      </c>
      <c r="D15" s="793" t="s">
        <v>1737</v>
      </c>
      <c r="E15" s="814" t="s">
        <v>1738</v>
      </c>
      <c r="F15" s="871">
        <f ca="1">IF('数据-取费表'!N5="工程进度",100%,INDIRECT("'数据-取费表'!y"&amp;$G$1))</f>
        <v>1</v>
      </c>
      <c r="G15" s="753"/>
      <c r="H15" s="790" t="s">
        <v>750</v>
      </c>
      <c r="I15" s="791" t="s">
        <v>1739</v>
      </c>
      <c r="J15" s="888" t="e">
        <f ca="1">ROUND(J16*J17,0)</f>
        <v>#N/A</v>
      </c>
      <c r="K15" s="822" t="s">
        <v>1737</v>
      </c>
      <c r="L15" s="891"/>
      <c r="M15" s="892"/>
    </row>
    <row r="16" spans="1:25" ht="18" customHeight="1">
      <c r="A16" s="999" t="s">
        <v>760</v>
      </c>
      <c r="B16" s="762" t="s">
        <v>812</v>
      </c>
      <c r="C16" s="795" t="e">
        <f ca="1">INDIRECT("'数据-取费表'!m"&amp;$G$1)+INDIRECT("'数据-取费表'!t"&amp;$G$1)</f>
        <v>#N/A</v>
      </c>
      <c r="D16" s="796" t="s">
        <v>1740</v>
      </c>
      <c r="E16" s="797"/>
      <c r="F16" s="798"/>
      <c r="G16" s="753"/>
      <c r="H16" s="999" t="s">
        <v>746</v>
      </c>
      <c r="I16" s="762" t="s">
        <v>1741</v>
      </c>
      <c r="J16" s="52" t="e">
        <f ca="1">C31</f>
        <v>#N/A</v>
      </c>
      <c r="K16" s="875"/>
      <c r="L16" s="891"/>
      <c r="M16" s="892"/>
    </row>
    <row r="17" spans="1:25" s="730" customFormat="1" ht="18" customHeight="1">
      <c r="A17" s="999" t="s">
        <v>813</v>
      </c>
      <c r="B17" s="762" t="s">
        <v>814</v>
      </c>
      <c r="C17" s="52" t="e">
        <f ca="1">ROUND(C16*F17,0)</f>
        <v>#N/A</v>
      </c>
      <c r="D17" s="800" t="s">
        <v>1742</v>
      </c>
      <c r="E17" s="800" t="s">
        <v>1743</v>
      </c>
      <c r="F17" s="801">
        <f>'数据-取费表'!B33</f>
        <v>0.03</v>
      </c>
      <c r="G17" s="802"/>
      <c r="H17" s="999" t="s">
        <v>748</v>
      </c>
      <c r="I17" s="762" t="s">
        <v>1738</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816</v>
      </c>
      <c r="B18" s="762" t="s">
        <v>817</v>
      </c>
      <c r="C18" s="52" t="e">
        <f ca="1">ROUND(INDIRECT("'数据-取费表'!m"&amp;$G$1)*F18,0)</f>
        <v>#N/A</v>
      </c>
      <c r="D18" s="762" t="s">
        <v>1742</v>
      </c>
      <c r="E18" s="762" t="s">
        <v>1743</v>
      </c>
      <c r="F18" s="803" t="e">
        <f ca="1">IF(INDIRECT("'数据-取费表'!c"&amp;$G$1)="住宅",'数据-取费表'!B34,0)</f>
        <v>#N/A</v>
      </c>
      <c r="G18" s="753"/>
      <c r="H18" s="872" t="s">
        <v>752</v>
      </c>
      <c r="I18" s="873" t="s">
        <v>1744</v>
      </c>
      <c r="J18" s="51" t="e">
        <f ca="1">ROUND(J19+J24+J25+J26,0)</f>
        <v>#N/A</v>
      </c>
      <c r="K18" s="875" t="s">
        <v>1745</v>
      </c>
      <c r="L18" s="54"/>
      <c r="M18" s="804"/>
    </row>
    <row r="19" spans="1:25" s="730" customFormat="1" ht="18" customHeight="1">
      <c r="A19" s="999" t="s">
        <v>819</v>
      </c>
      <c r="B19" s="762" t="s">
        <v>1746</v>
      </c>
      <c r="C19" s="52" t="e">
        <f ca="1">ROUND(F19*(INDIRECT("'数据-取费表'!k"&amp;$G$1)+INDIRECT("'数据-取费表'!S"&amp;$G$1))/10000,0)</f>
        <v>#N/A</v>
      </c>
      <c r="D19" s="762" t="s">
        <v>1747</v>
      </c>
      <c r="E19" s="762" t="s">
        <v>1748</v>
      </c>
      <c r="F19" s="804">
        <f>'数据-取费表'!B35</f>
        <v>200</v>
      </c>
      <c r="G19" s="802"/>
      <c r="H19" s="999" t="s">
        <v>746</v>
      </c>
      <c r="I19" s="762" t="s">
        <v>1749</v>
      </c>
      <c r="J19" s="52" t="e">
        <f ca="1">ROUND(IF(项目基本情况!B10="自然人",J8*M19,J20+J21+J22),0)</f>
        <v>#N/A</v>
      </c>
      <c r="K19" s="796" t="s">
        <v>1750</v>
      </c>
      <c r="L19" s="826" t="s">
        <v>1751</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821</v>
      </c>
      <c r="B20" s="762" t="s">
        <v>822</v>
      </c>
      <c r="C20" s="52" t="e">
        <f ca="1">ROUND(C16*F20,0)</f>
        <v>#N/A</v>
      </c>
      <c r="D20" s="762" t="s">
        <v>1742</v>
      </c>
      <c r="E20" s="762" t="s">
        <v>1743</v>
      </c>
      <c r="F20" s="803">
        <f>'数据-取费表'!B36</f>
        <v>1.4999999999999999E-2</v>
      </c>
      <c r="G20" s="802"/>
      <c r="H20" s="999" t="s">
        <v>760</v>
      </c>
      <c r="I20" s="762" t="s">
        <v>1752</v>
      </c>
      <c r="J20" s="52" t="e">
        <f ca="1">ROUND(J8*M20/1.05,1)</f>
        <v>#N/A</v>
      </c>
      <c r="K20" s="826" t="s">
        <v>1753</v>
      </c>
      <c r="L20" s="762" t="s">
        <v>1743</v>
      </c>
      <c r="M20" s="803">
        <f>'数据-取费表'!B41</f>
        <v>5.6000000000000001E-2</v>
      </c>
      <c r="N20" s="897"/>
      <c r="O20" s="897"/>
      <c r="P20" s="897"/>
      <c r="Q20" s="897"/>
      <c r="R20" s="897"/>
      <c r="S20" s="897"/>
      <c r="T20" s="897"/>
      <c r="U20" s="897"/>
      <c r="V20" s="897"/>
      <c r="W20" s="897"/>
      <c r="X20" s="897"/>
      <c r="Y20" s="897"/>
    </row>
    <row r="21" spans="1:25" ht="18" customHeight="1">
      <c r="A21" s="999" t="s">
        <v>746</v>
      </c>
      <c r="B21" s="762" t="s">
        <v>1754</v>
      </c>
      <c r="C21" s="52" t="e">
        <f ca="1">SUM(C16:C20)</f>
        <v>#N/A</v>
      </c>
      <c r="D21" s="805" t="s">
        <v>1755</v>
      </c>
      <c r="E21" s="54"/>
      <c r="F21" s="804"/>
      <c r="G21" s="753"/>
      <c r="H21" s="760" t="s">
        <v>813</v>
      </c>
      <c r="I21" s="762" t="s">
        <v>1756</v>
      </c>
      <c r="J21" s="52" t="e">
        <f ca="1">IF(K21="按租金收入计税",ROUND(J8*M21,1),ROUND(C31*F35*0.7,1))</f>
        <v>#N/A</v>
      </c>
      <c r="K21" s="829" t="s">
        <v>1757</v>
      </c>
      <c r="L21" s="762" t="s">
        <v>1743</v>
      </c>
      <c r="M21" s="803">
        <f>IF(K21="按租金收入计税",'数据-取费表'!B51,'数据-取费表'!B50)</f>
        <v>1.2E-2</v>
      </c>
    </row>
    <row r="22" spans="1:25" s="730" customFormat="1" ht="18" customHeight="1">
      <c r="A22" s="999" t="s">
        <v>1758</v>
      </c>
      <c r="B22" s="762" t="s">
        <v>1759</v>
      </c>
      <c r="C22" s="52" t="e">
        <f ca="1">ROUND(C21*F22,0)</f>
        <v>#N/A</v>
      </c>
      <c r="D22" s="806" t="s">
        <v>1760</v>
      </c>
      <c r="E22" s="762" t="s">
        <v>1743</v>
      </c>
      <c r="F22" s="803">
        <f>'数据-取费表'!B37</f>
        <v>1.4999999999999999E-2</v>
      </c>
      <c r="G22" s="802"/>
      <c r="H22" s="1000" t="s">
        <v>816</v>
      </c>
      <c r="I22" s="995" t="s">
        <v>1761</v>
      </c>
      <c r="J22" s="832" t="e">
        <f ca="1">ROUND(M22*M23/10000,0)</f>
        <v>#N/A</v>
      </c>
      <c r="K22" s="833" t="s">
        <v>1762</v>
      </c>
      <c r="L22" s="762" t="s">
        <v>1763</v>
      </c>
      <c r="M22" s="811">
        <f>'数据-取费表'!B52</f>
        <v>10</v>
      </c>
      <c r="N22" s="897"/>
      <c r="O22" s="897"/>
      <c r="P22" s="897"/>
      <c r="Q22" s="897"/>
      <c r="R22" s="897"/>
      <c r="S22" s="897"/>
      <c r="T22" s="897"/>
      <c r="U22" s="897"/>
      <c r="V22" s="897"/>
      <c r="W22" s="897"/>
      <c r="X22" s="897"/>
      <c r="Y22" s="897"/>
    </row>
    <row r="23" spans="1:25" s="730" customFormat="1" ht="18" customHeight="1">
      <c r="A23" s="999" t="s">
        <v>1764</v>
      </c>
      <c r="B23" s="762" t="s">
        <v>851</v>
      </c>
      <c r="C23" s="52" t="s">
        <v>67</v>
      </c>
      <c r="D23" s="806" t="s">
        <v>1765</v>
      </c>
      <c r="E23" s="762" t="s">
        <v>1766</v>
      </c>
      <c r="F23" s="803">
        <f>'数据-取费表'!B38</f>
        <v>2.5000000000000001E-2</v>
      </c>
      <c r="G23" s="802"/>
      <c r="H23" s="1001"/>
      <c r="I23" s="1031"/>
      <c r="J23" s="836"/>
      <c r="K23" s="837"/>
      <c r="L23" s="762" t="s">
        <v>1767</v>
      </c>
      <c r="M23" s="763" t="e">
        <f ca="1">INDIRECT("'数据-取费表'!r"&amp;$G$1)</f>
        <v>#N/A</v>
      </c>
      <c r="N23" s="897"/>
      <c r="O23" s="897"/>
      <c r="P23" s="897"/>
      <c r="Q23" s="897"/>
      <c r="R23" s="897"/>
      <c r="S23" s="897"/>
      <c r="T23" s="897"/>
      <c r="U23" s="897"/>
      <c r="V23" s="897"/>
      <c r="W23" s="897"/>
      <c r="X23" s="897"/>
      <c r="Y23" s="897"/>
    </row>
    <row r="24" spans="1:25" ht="18" customHeight="1">
      <c r="A24" s="999" t="s">
        <v>1768</v>
      </c>
      <c r="B24" s="762" t="s">
        <v>1769</v>
      </c>
      <c r="C24" s="52"/>
      <c r="D24" s="809" t="str">
        <f>IF(F25&lt;=1,"单利计息。","复利计息。")&amp;"建造成本、管理费用、销售费用产生的利息。"</f>
        <v>复利计息。建造成本、管理费用、销售费用产生的利息。</v>
      </c>
      <c r="E24" s="54"/>
      <c r="F24" s="804"/>
      <c r="G24" s="753"/>
      <c r="H24" s="1002" t="s">
        <v>748</v>
      </c>
      <c r="I24" s="762" t="s">
        <v>1770</v>
      </c>
      <c r="J24" s="52" t="e">
        <f ca="1">ROUND(J16*M24,0)</f>
        <v>#N/A</v>
      </c>
      <c r="K24" s="826" t="s">
        <v>1771</v>
      </c>
      <c r="L24" s="762" t="s">
        <v>1743</v>
      </c>
      <c r="M24" s="838" t="e">
        <f ca="1">INDIRECT("'数据-取费表'!Ak"&amp;$G$1)</f>
        <v>#N/A</v>
      </c>
    </row>
    <row r="25" spans="1:25" s="730" customFormat="1" ht="18" customHeight="1">
      <c r="A25" s="999" t="s">
        <v>760</v>
      </c>
      <c r="B25" s="762" t="s">
        <v>1772</v>
      </c>
      <c r="C25" s="52" t="e">
        <f ca="1">ROUND(IF('数据-取费表'!B22&lt;=1,(C21+C22)*F26*F25/2,(C21+C22)*(POWER((1+F26),F25/2)-1)),0)</f>
        <v>#N/A</v>
      </c>
      <c r="D25" s="810" t="str">
        <f>IF(F25&lt;=1,"(建造成本+管理费用)×利率×(建设周期÷2)","(建造成本+管理费用)×((1+利率)^(建设周期÷2)-1)")</f>
        <v>(建造成本+管理费用)×((1+利率)^(建设周期÷2)-1)</v>
      </c>
      <c r="E25" s="762" t="s">
        <v>1773</v>
      </c>
      <c r="F25" s="811">
        <f>'数据-取费表'!B20</f>
        <v>2</v>
      </c>
      <c r="G25" s="802"/>
      <c r="H25" s="999" t="s">
        <v>1764</v>
      </c>
      <c r="I25" s="762" t="s">
        <v>1774</v>
      </c>
      <c r="J25" s="52" t="e">
        <f ca="1">ROUND(J15*M25,0)</f>
        <v>#N/A</v>
      </c>
      <c r="K25" s="826" t="s">
        <v>1775</v>
      </c>
      <c r="L25" s="762" t="s">
        <v>1743</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813</v>
      </c>
      <c r="B26" s="762" t="s">
        <v>1776</v>
      </c>
      <c r="C26" s="52">
        <f>ROUND(IF('数据-取费表'!B22&lt;=1,F23*F26*F25/2,F23*(POWER((1+F26),F25/2)-1)),4)</f>
        <v>1.1999999999999999E-3</v>
      </c>
      <c r="D26" s="810" t="str">
        <f>IF(F25&lt;=1,"销售费用×利率×(建设周期÷2)","销售费用×((1+利率)^(建设周期÷2)-1)")</f>
        <v>销售费用×((1+利率)^(建设周期÷2)-1)</v>
      </c>
      <c r="E26" s="762" t="s">
        <v>1777</v>
      </c>
      <c r="F26" s="812">
        <f>'数据-取费表'!B40</f>
        <v>4.7500000000000001E-2</v>
      </c>
      <c r="G26" s="802"/>
      <c r="H26" s="999" t="s">
        <v>1768</v>
      </c>
      <c r="I26" s="762" t="s">
        <v>1759</v>
      </c>
      <c r="J26" s="52" t="e">
        <f ca="1">ROUND(J8*M26,0)</f>
        <v>#N/A</v>
      </c>
      <c r="K26" s="826" t="s">
        <v>1778</v>
      </c>
      <c r="L26" s="762" t="s">
        <v>1743</v>
      </c>
      <c r="M26" s="771" t="e">
        <f ca="1">INDIRECT("'数据-取费表'!Am"&amp;$G$1)</f>
        <v>#N/A</v>
      </c>
      <c r="N26" s="897"/>
      <c r="O26" s="897"/>
      <c r="P26" s="897"/>
      <c r="Q26" s="897"/>
      <c r="R26" s="897"/>
      <c r="S26" s="897"/>
      <c r="T26" s="897"/>
      <c r="U26" s="897"/>
      <c r="V26" s="897"/>
      <c r="W26" s="897"/>
      <c r="X26" s="897"/>
      <c r="Y26" s="897"/>
    </row>
    <row r="27" spans="1:25" ht="18" customHeight="1">
      <c r="A27" s="999" t="s">
        <v>1779</v>
      </c>
      <c r="B27" s="762" t="s">
        <v>1780</v>
      </c>
      <c r="C27" s="52"/>
      <c r="D27" s="805" t="s">
        <v>1781</v>
      </c>
      <c r="E27" s="54"/>
      <c r="F27" s="804"/>
      <c r="G27" s="753"/>
      <c r="H27" s="872" t="s">
        <v>754</v>
      </c>
      <c r="I27" s="975" t="s">
        <v>1782</v>
      </c>
      <c r="J27" s="51" t="e">
        <f ca="1">J7-J18</f>
        <v>#N/A</v>
      </c>
      <c r="K27" s="796" t="s">
        <v>1783</v>
      </c>
      <c r="L27" s="976"/>
      <c r="M27" s="977"/>
    </row>
    <row r="28" spans="1:25" ht="18" customHeight="1">
      <c r="A28" s="999" t="s">
        <v>760</v>
      </c>
      <c r="B28" s="762" t="s">
        <v>1784</v>
      </c>
      <c r="C28" s="52" t="e">
        <f ca="1">ROUND((C21+C22)*F28,0)</f>
        <v>#N/A</v>
      </c>
      <c r="D28" s="806" t="s">
        <v>1785</v>
      </c>
      <c r="E28" s="814" t="s">
        <v>1786</v>
      </c>
      <c r="F28" s="771" t="e">
        <f ca="1">INDIRECT("'数据-取费表'!q"&amp;$G$1)</f>
        <v>#N/A</v>
      </c>
      <c r="G28" s="753"/>
      <c r="H28" s="754" t="s">
        <v>776</v>
      </c>
      <c r="I28" s="755" t="s">
        <v>1787</v>
      </c>
      <c r="J28" s="761" t="e">
        <f ca="1">IF(J8&lt;&gt;0,ROUND(J27*(1-((1+M30)/(1+M28))^M29)/(M28-M30),0),0)</f>
        <v>#N/A</v>
      </c>
      <c r="K28" s="833" t="s">
        <v>1788</v>
      </c>
      <c r="L28" s="762" t="s">
        <v>1789</v>
      </c>
      <c r="M28" s="771" t="e">
        <f ca="1">INDIRECT("'数据-取费表'!I"&amp;$G$1)</f>
        <v>#N/A</v>
      </c>
    </row>
    <row r="29" spans="1:25" ht="18" customHeight="1">
      <c r="A29" s="999" t="s">
        <v>813</v>
      </c>
      <c r="B29" s="762" t="s">
        <v>1790</v>
      </c>
      <c r="C29" s="52" t="e">
        <f ca="1">ROUND(F23*F28,4)</f>
        <v>#N/A</v>
      </c>
      <c r="D29" s="806" t="s">
        <v>1791</v>
      </c>
      <c r="E29" s="800"/>
      <c r="F29" s="801"/>
      <c r="G29" s="753"/>
      <c r="H29" s="770"/>
      <c r="I29" s="845"/>
      <c r="J29" s="766"/>
      <c r="K29" s="846" t="s">
        <v>1792</v>
      </c>
      <c r="L29" s="762" t="s">
        <v>1793</v>
      </c>
      <c r="M29" s="847" t="e">
        <f ca="1">INDIRECT("'数据-取费表'!ag"&amp;$G$1)</f>
        <v>#N/A</v>
      </c>
    </row>
    <row r="30" spans="1:25" s="730" customFormat="1" ht="18" customHeight="1">
      <c r="A30" s="999" t="s">
        <v>1794</v>
      </c>
      <c r="B30" s="762" t="s">
        <v>1795</v>
      </c>
      <c r="C30" s="52" t="s">
        <v>67</v>
      </c>
      <c r="D30" s="806" t="s">
        <v>1796</v>
      </c>
      <c r="E30" s="762" t="s">
        <v>1743</v>
      </c>
      <c r="F30" s="803">
        <f>'数据-取费表'!B41</f>
        <v>5.6000000000000001E-2</v>
      </c>
      <c r="G30" s="802"/>
      <c r="H30" s="778"/>
      <c r="I30" s="849"/>
      <c r="J30" s="792"/>
      <c r="K30" s="837"/>
      <c r="L30" s="762" t="s">
        <v>1797</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1798</v>
      </c>
      <c r="B31" s="787" t="s">
        <v>1799</v>
      </c>
      <c r="C31" s="817" t="e">
        <f ca="1">ROUND((C21+C22+C25+C28)/(1-F23-C26-C29-F30/1.05),0)</f>
        <v>#N/A</v>
      </c>
      <c r="D31" s="818"/>
      <c r="E31" s="819"/>
      <c r="F31" s="820"/>
      <c r="G31" s="802"/>
      <c r="H31" s="821" t="s">
        <v>1121</v>
      </c>
      <c r="I31" s="850" t="s">
        <v>1800</v>
      </c>
      <c r="J31" s="851" t="e">
        <f ca="1">ROUND(J28/(1+F45)^F46,0)</f>
        <v>#N/A</v>
      </c>
      <c r="K31" s="852" t="s">
        <v>1801</v>
      </c>
      <c r="L31" s="853"/>
      <c r="M31" s="854" t="e">
        <f ca="1">INDIRECT("'数据-取费表'!k"&amp;$G$1)</f>
        <v>#N/A</v>
      </c>
      <c r="N31" s="897"/>
      <c r="O31" s="897"/>
      <c r="P31" s="897"/>
      <c r="Q31" s="897"/>
      <c r="R31" s="897"/>
      <c r="S31" s="897"/>
      <c r="T31" s="897"/>
      <c r="U31" s="897"/>
      <c r="V31" s="897"/>
      <c r="W31" s="897"/>
      <c r="X31" s="897"/>
      <c r="Y31" s="897"/>
    </row>
    <row r="32" spans="1:25" ht="18" customHeight="1">
      <c r="A32" s="790" t="s">
        <v>1802</v>
      </c>
      <c r="B32" s="791" t="s">
        <v>1803</v>
      </c>
      <c r="C32" s="792" t="e">
        <f ca="1">ROUND(C33+C38+C39+C40,0)</f>
        <v>#N/A</v>
      </c>
      <c r="D32" s="822" t="s">
        <v>1745</v>
      </c>
      <c r="E32" s="823"/>
      <c r="F32" s="759"/>
      <c r="G32" s="824"/>
      <c r="H32" s="825"/>
      <c r="I32" s="898"/>
      <c r="J32" s="899"/>
      <c r="K32" s="900"/>
      <c r="L32" s="901"/>
      <c r="M32" s="902"/>
    </row>
    <row r="33" spans="1:13" ht="18" customHeight="1">
      <c r="A33" s="999" t="s">
        <v>746</v>
      </c>
      <c r="B33" s="762" t="s">
        <v>1749</v>
      </c>
      <c r="C33" s="52" t="e">
        <f ca="1">ROUND(IF(项目基本情况!B10="自然人",C8*F33,C34+C35+C36),1)</f>
        <v>#N/A</v>
      </c>
      <c r="D33" s="796" t="s">
        <v>1750</v>
      </c>
      <c r="E33" s="826" t="s">
        <v>1751</v>
      </c>
      <c r="F33" s="827" t="str">
        <f ca="1">IF(项目基本情况!B10="企业","",IF(INDIRECT("'数据-取费表'!c"&amp;$G$1)="住宅",4.5%,IF(F8*F9*F10/12&gt;20000,11%,6%)))</f>
        <v/>
      </c>
      <c r="G33" s="824"/>
      <c r="H33" s="825"/>
      <c r="I33" s="898"/>
      <c r="J33" s="899"/>
      <c r="K33" s="900"/>
      <c r="L33" s="901"/>
      <c r="M33" s="902"/>
    </row>
    <row r="34" spans="1:13" ht="18" customHeight="1">
      <c r="A34" s="999" t="s">
        <v>760</v>
      </c>
      <c r="B34" s="762" t="s">
        <v>1752</v>
      </c>
      <c r="C34" s="52" t="e">
        <f ca="1">ROUND(C8*F34/1.05,1)</f>
        <v>#N/A</v>
      </c>
      <c r="D34" s="826" t="s">
        <v>1753</v>
      </c>
      <c r="E34" s="762" t="s">
        <v>1743</v>
      </c>
      <c r="F34" s="803">
        <f>'数据-取费表'!B41</f>
        <v>5.6000000000000001E-2</v>
      </c>
      <c r="G34" s="824"/>
      <c r="H34" s="828"/>
      <c r="I34" s="903"/>
      <c r="J34" s="904"/>
      <c r="K34" s="905"/>
      <c r="L34" s="906"/>
      <c r="M34" s="907"/>
    </row>
    <row r="35" spans="1:13" ht="18" customHeight="1">
      <c r="A35" s="999" t="s">
        <v>813</v>
      </c>
      <c r="B35" s="762" t="s">
        <v>1756</v>
      </c>
      <c r="C35" s="52" t="e">
        <f ca="1">IF(D35="按租金收入计税",ROUND(C8*F35,1),IF(D35="按房产原值计税",ROUND(C31*F35*0.7,1),INDIRECT("'数据-取费表'!Aj"&amp;$G$1)))</f>
        <v>#N/A</v>
      </c>
      <c r="D35" s="829" t="s">
        <v>1804</v>
      </c>
      <c r="E35" s="762" t="s">
        <v>1743</v>
      </c>
      <c r="F35" s="803">
        <f>IF(D35="按租金收入计税",'数据-取费表'!B51,'数据-取费表'!B50)</f>
        <v>1.2E-2</v>
      </c>
      <c r="G35" s="824"/>
      <c r="H35" s="830"/>
      <c r="I35" s="830"/>
      <c r="J35" s="830"/>
      <c r="K35" s="908"/>
      <c r="L35" s="830"/>
      <c r="M35" s="830"/>
    </row>
    <row r="36" spans="1:13" ht="18" customHeight="1">
      <c r="A36" s="1004" t="s">
        <v>768</v>
      </c>
      <c r="B36" s="831" t="s">
        <v>1761</v>
      </c>
      <c r="C36" s="832" t="e">
        <f ca="1">ROUND(F36*F37/10000,1)</f>
        <v>#N/A</v>
      </c>
      <c r="D36" s="833" t="s">
        <v>1762</v>
      </c>
      <c r="E36" s="762" t="s">
        <v>1763</v>
      </c>
      <c r="F36" s="811">
        <f>'数据-取费表'!B52</f>
        <v>10</v>
      </c>
      <c r="G36" s="824"/>
      <c r="H36" s="825"/>
      <c r="I36" s="3284"/>
      <c r="J36" s="912"/>
      <c r="K36" s="911"/>
      <c r="L36" s="912"/>
      <c r="M36" s="912"/>
    </row>
    <row r="37" spans="1:13" ht="18" customHeight="1">
      <c r="A37" s="834"/>
      <c r="B37" s="835"/>
      <c r="C37" s="836"/>
      <c r="D37" s="837"/>
      <c r="E37" s="762" t="s">
        <v>1767</v>
      </c>
      <c r="F37" s="763" t="e">
        <f ca="1">INDIRECT("'数据-取费表'!r"&amp;$G$1)</f>
        <v>#N/A</v>
      </c>
      <c r="G37" s="824"/>
      <c r="H37" s="825"/>
      <c r="I37" s="3284"/>
      <c r="J37" s="830"/>
      <c r="K37" s="908"/>
      <c r="L37" s="830"/>
      <c r="M37" s="830"/>
    </row>
    <row r="38" spans="1:13" ht="18" customHeight="1">
      <c r="A38" s="999" t="s">
        <v>1758</v>
      </c>
      <c r="B38" s="762" t="s">
        <v>1770</v>
      </c>
      <c r="C38" s="52" t="e">
        <f ca="1">ROUND(C31*F38,1)</f>
        <v>#N/A</v>
      </c>
      <c r="D38" s="826" t="s">
        <v>1805</v>
      </c>
      <c r="E38" s="762" t="s">
        <v>1743</v>
      </c>
      <c r="F38" s="838" t="e">
        <f ca="1">INDIRECT("'数据-取费表'!Ak"&amp;$G$1)</f>
        <v>#N/A</v>
      </c>
      <c r="G38" s="824"/>
      <c r="H38" s="830"/>
      <c r="I38" s="1032"/>
      <c r="J38" s="848"/>
      <c r="K38" s="917"/>
      <c r="L38" s="830"/>
      <c r="M38" s="830"/>
    </row>
    <row r="39" spans="1:13" ht="18" customHeight="1">
      <c r="A39" s="999" t="s">
        <v>1764</v>
      </c>
      <c r="B39" s="762" t="s">
        <v>1774</v>
      </c>
      <c r="C39" s="52" t="e">
        <f ca="1">ROUND(C15*F39,1)</f>
        <v>#N/A</v>
      </c>
      <c r="D39" s="826" t="s">
        <v>1775</v>
      </c>
      <c r="E39" s="762" t="s">
        <v>1743</v>
      </c>
      <c r="F39" s="839" t="e">
        <f ca="1">INDIRECT("'数据-取费表'!Al"&amp;$G$1)</f>
        <v>#N/A</v>
      </c>
      <c r="G39" s="824"/>
      <c r="H39" s="830"/>
      <c r="I39" s="1032"/>
      <c r="J39" s="848"/>
      <c r="K39" s="917"/>
      <c r="L39" s="830"/>
      <c r="M39" s="830"/>
    </row>
    <row r="40" spans="1:13" ht="18" customHeight="1">
      <c r="A40" s="1003" t="s">
        <v>1768</v>
      </c>
      <c r="B40" s="819" t="s">
        <v>1759</v>
      </c>
      <c r="C40" s="817" t="e">
        <f ca="1">ROUND(C8*F40,1)</f>
        <v>#N/A</v>
      </c>
      <c r="D40" s="818" t="s">
        <v>1778</v>
      </c>
      <c r="E40" s="819" t="s">
        <v>1743</v>
      </c>
      <c r="F40" s="788" t="e">
        <f ca="1">INDIRECT("'数据-取费表'!Am"&amp;$G$1)</f>
        <v>#N/A</v>
      </c>
      <c r="G40" s="824"/>
      <c r="H40" s="830"/>
      <c r="I40" s="1032"/>
      <c r="J40" s="848"/>
      <c r="K40" s="922"/>
      <c r="L40" s="830"/>
      <c r="M40" s="830"/>
    </row>
    <row r="41" spans="1:13" ht="18" customHeight="1">
      <c r="A41" s="790">
        <v>4</v>
      </c>
      <c r="B41" s="791" t="s">
        <v>1806</v>
      </c>
      <c r="C41" s="1005"/>
      <c r="D41" s="1006"/>
      <c r="E41" s="1006"/>
      <c r="F41" s="1007"/>
      <c r="G41" s="824"/>
      <c r="H41" s="824"/>
      <c r="I41" s="824"/>
      <c r="J41" s="824"/>
      <c r="K41" s="922"/>
      <c r="L41" s="824"/>
      <c r="M41" s="824"/>
    </row>
    <row r="42" spans="1:13" ht="18" customHeight="1">
      <c r="A42" s="999" t="s">
        <v>746</v>
      </c>
      <c r="B42" s="909" t="s">
        <v>1807</v>
      </c>
      <c r="C42" s="1008" t="e">
        <f ca="1">C7-C32</f>
        <v>#N/A</v>
      </c>
      <c r="D42" s="796" t="s">
        <v>1808</v>
      </c>
      <c r="E42" s="976"/>
      <c r="F42" s="977"/>
      <c r="G42" s="824"/>
      <c r="H42" s="824"/>
      <c r="I42" s="824"/>
      <c r="J42" s="824"/>
      <c r="K42" s="922"/>
      <c r="L42" s="824"/>
      <c r="M42" s="824"/>
    </row>
    <row r="43" spans="1:13" ht="18" customHeight="1">
      <c r="A43" s="999" t="s">
        <v>1758</v>
      </c>
      <c r="B43" s="909" t="s">
        <v>1809</v>
      </c>
      <c r="C43" s="910" t="e">
        <f ca="1">ROUND(C15*F43,0)</f>
        <v>#N/A</v>
      </c>
      <c r="D43" s="1009" t="s">
        <v>1810</v>
      </c>
      <c r="E43" s="1009" t="s">
        <v>1811</v>
      </c>
      <c r="F43" s="1010" t="e">
        <f ca="1">INDIRECT("'数据-取费表'!j"&amp;$G$1)</f>
        <v>#N/A</v>
      </c>
      <c r="G43" s="824"/>
      <c r="H43" s="824"/>
      <c r="I43" s="824"/>
      <c r="J43" s="824"/>
      <c r="K43" s="922"/>
      <c r="L43" s="824"/>
      <c r="M43" s="824"/>
    </row>
    <row r="44" spans="1:13" ht="18" customHeight="1">
      <c r="A44" s="999" t="s">
        <v>1764</v>
      </c>
      <c r="B44" s="909" t="s">
        <v>1812</v>
      </c>
      <c r="C44" s="1011" t="e">
        <f ca="1">C42-C43</f>
        <v>#N/A</v>
      </c>
      <c r="D44" s="1012" t="s">
        <v>1813</v>
      </c>
      <c r="E44" s="1013"/>
      <c r="F44" s="1014"/>
      <c r="G44" s="824"/>
      <c r="H44" s="824"/>
      <c r="I44" s="824"/>
      <c r="J44" s="824"/>
      <c r="K44" s="922"/>
      <c r="L44" s="824"/>
      <c r="M44" s="824"/>
    </row>
    <row r="45" spans="1:13" ht="18" customHeight="1">
      <c r="A45" s="999" t="s">
        <v>1768</v>
      </c>
      <c r="B45" s="1009" t="s">
        <v>1814</v>
      </c>
      <c r="C45" s="1015" t="e">
        <f ca="1">ROUND(-PV(F45,F46,C44,0),0)</f>
        <v>#N/A</v>
      </c>
      <c r="D45" s="1016" t="s">
        <v>1815</v>
      </c>
      <c r="E45" s="800" t="s">
        <v>1816</v>
      </c>
      <c r="F45" s="1017" t="e">
        <f ca="1">INDIRECT("'数据-取费表'!h"&amp;$G$1)</f>
        <v>#N/A</v>
      </c>
      <c r="G45" s="824"/>
      <c r="H45" s="824"/>
      <c r="I45" s="824"/>
      <c r="J45" s="824"/>
      <c r="K45" s="922"/>
      <c r="L45" s="824"/>
      <c r="M45" s="824"/>
    </row>
    <row r="46" spans="1:13" ht="18" customHeight="1">
      <c r="A46" s="1018"/>
      <c r="B46" s="1019"/>
      <c r="C46" s="1020"/>
      <c r="D46" s="1021"/>
      <c r="E46" s="853" t="s">
        <v>1793</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tabSelected="1" workbookViewId="0">
      <selection activeCell="C28" sqref="C28:C36"/>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796</v>
      </c>
      <c r="B1" s="1649"/>
      <c r="C1" s="1650"/>
      <c r="D1" s="1650"/>
      <c r="E1" s="1650"/>
      <c r="F1" s="1650"/>
      <c r="G1" s="1650"/>
      <c r="H1" s="1650"/>
      <c r="I1" s="1650"/>
      <c r="J1" s="1650"/>
      <c r="K1" s="1650"/>
    </row>
    <row r="2" spans="1:31" s="85" customFormat="1" ht="18" customHeight="1">
      <c r="A2" s="1752" t="s">
        <v>797</v>
      </c>
      <c r="B2" s="1753">
        <f>C37</f>
        <v>22616</v>
      </c>
      <c r="C2" s="1650"/>
      <c r="D2" s="1650"/>
      <c r="E2" s="1650"/>
      <c r="F2" s="1650"/>
      <c r="G2" s="1650"/>
      <c r="H2" s="1650"/>
      <c r="I2" s="1650"/>
      <c r="J2" s="1650"/>
      <c r="K2" s="1650"/>
    </row>
    <row r="3" spans="1:31" s="85" customFormat="1" ht="18" customHeight="1">
      <c r="A3" s="1754" t="s">
        <v>798</v>
      </c>
      <c r="B3" s="1755">
        <f>ROUND(B2*10000/'数据-汇总表'!E3,0)</f>
        <v>6180</v>
      </c>
      <c r="C3" s="1650"/>
      <c r="D3" s="1650"/>
      <c r="E3" s="1650"/>
      <c r="F3" s="1650"/>
      <c r="G3" s="1650"/>
      <c r="H3" s="1650"/>
      <c r="I3" s="1650"/>
      <c r="J3" s="1650"/>
      <c r="K3" s="1650"/>
    </row>
    <row r="4" spans="1:31" s="85" customFormat="1" ht="18" customHeight="1">
      <c r="A4" s="652" t="s">
        <v>799</v>
      </c>
      <c r="B4" s="653">
        <f>ROUND(B2*10000/'数据-汇总表'!D3,0)</f>
        <v>13217</v>
      </c>
      <c r="C4" s="390"/>
      <c r="D4" s="1756"/>
      <c r="E4" s="1756"/>
      <c r="F4" s="1756"/>
      <c r="G4" s="1756"/>
      <c r="H4" s="1756"/>
      <c r="I4" s="1756"/>
      <c r="J4" s="1756"/>
      <c r="K4" s="1756"/>
    </row>
    <row r="5" spans="1:31" s="85" customFormat="1" ht="18" customHeight="1">
      <c r="A5" s="654"/>
      <c r="B5" s="655">
        <f>ROUND(B2/('数据-汇总表'!D3/666.67),0)</f>
        <v>881</v>
      </c>
      <c r="C5" s="656" t="s">
        <v>800</v>
      </c>
      <c r="D5" s="1756"/>
      <c r="E5" s="1756"/>
      <c r="F5" s="1756"/>
      <c r="G5" s="1756"/>
      <c r="H5" s="1756"/>
      <c r="I5" s="1756"/>
      <c r="J5" s="1756"/>
      <c r="K5" s="1756"/>
    </row>
    <row r="6" spans="1:31" s="1637" customFormat="1" ht="16.5" customHeight="1">
      <c r="A6" s="2891" t="s">
        <v>801</v>
      </c>
      <c r="B6" s="2892"/>
      <c r="C6" s="2893">
        <f>SUM(C10:K10)</f>
        <v>58770</v>
      </c>
      <c r="D6" s="2892"/>
      <c r="E6" s="2892"/>
      <c r="F6" s="2892"/>
      <c r="G6" s="2892"/>
      <c r="H6" s="2892"/>
      <c r="I6" s="2892"/>
      <c r="J6" s="2892"/>
      <c r="K6" s="2894"/>
    </row>
    <row r="7" spans="1:31" s="1638" customFormat="1" ht="15">
      <c r="A7" s="2895" t="s">
        <v>802</v>
      </c>
      <c r="B7" s="2896" t="s">
        <v>803</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7" t="s">
        <v>746</v>
      </c>
      <c r="B8" s="2898" t="s">
        <v>804</v>
      </c>
      <c r="C8" s="2899">
        <f>'不动产比较法-住宅'!C48</f>
        <v>27238</v>
      </c>
      <c r="D8" s="2899"/>
      <c r="E8" s="2899"/>
      <c r="F8" s="2899"/>
      <c r="G8" s="2899"/>
      <c r="H8" s="2899"/>
      <c r="I8" s="2899"/>
      <c r="J8" s="2899"/>
      <c r="K8" s="2900"/>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7" t="s">
        <v>748</v>
      </c>
      <c r="B9" s="2898" t="s">
        <v>372</v>
      </c>
      <c r="C9" s="2901">
        <f>SUMIF('数据-汇总表'!$C19:$C33,'剩余法-待开发'!C7,'数据-汇总表'!$E19:$E33)</f>
        <v>21576.35</v>
      </c>
      <c r="D9" s="2901">
        <f>SUMIF('数据-汇总表'!$C19:$C33,'剩余法-待开发'!D7,'数据-汇总表'!$E19:$E33)</f>
        <v>0</v>
      </c>
      <c r="E9" s="2901">
        <f>SUMIF('数据-汇总表'!$C19:$C33,'剩余法-待开发'!E7,'数据-汇总表'!$E19:$E33)</f>
        <v>0</v>
      </c>
      <c r="F9" s="2901">
        <f>SUMIF('数据-汇总表'!$C19:$C33,'剩余法-待开发'!F7,'数据-汇总表'!$E19:$E33)</f>
        <v>0</v>
      </c>
      <c r="G9" s="2901">
        <f>SUMIF('数据-汇总表'!$C19:$C33,'剩余法-待开发'!G7,'数据-汇总表'!$E19:$E33)</f>
        <v>0</v>
      </c>
      <c r="H9" s="2901">
        <f>SUMIF('数据-汇总表'!$C19:$C33,'剩余法-待开发'!H7,'数据-汇总表'!$E19:$E33)</f>
        <v>0</v>
      </c>
      <c r="I9" s="2901">
        <f>SUMIF('数据-汇总表'!$C19:$C33,'剩余法-待开发'!I7,'数据-汇总表'!$E19:$E33)</f>
        <v>0</v>
      </c>
      <c r="J9" s="2901">
        <f>SUMIF('数据-汇总表'!$C19:$C33,'剩余法-待开发'!J7,'数据-汇总表'!$E19:$E33)</f>
        <v>0</v>
      </c>
      <c r="K9" s="2902">
        <f>SUMIF('数据-汇总表'!$C19:$C33,'剩余法-待开发'!K7,'数据-汇总表'!$E19:$E33)</f>
        <v>0</v>
      </c>
      <c r="L9" s="2890"/>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3" t="s">
        <v>805</v>
      </c>
      <c r="B10" s="2904" t="s">
        <v>806</v>
      </c>
      <c r="C10" s="2905">
        <f>'不动产比较法-住宅'!B2</f>
        <v>58770</v>
      </c>
      <c r="D10" s="2905"/>
      <c r="E10" s="2905"/>
      <c r="F10" s="2906"/>
      <c r="G10" s="2906"/>
      <c r="H10" s="2906"/>
      <c r="I10" s="2906"/>
      <c r="J10" s="2906"/>
      <c r="K10" s="2907"/>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8" t="s">
        <v>807</v>
      </c>
      <c r="B11" s="2892"/>
      <c r="C11" s="2892"/>
      <c r="D11" s="2892"/>
      <c r="E11" s="2892"/>
      <c r="F11" s="2892"/>
      <c r="G11" s="2892"/>
      <c r="H11" s="2892"/>
      <c r="I11" s="2892"/>
      <c r="J11" s="2892"/>
      <c r="K11" s="2894"/>
    </row>
    <row r="12" spans="1:31" s="855" customFormat="1" ht="13.5" customHeight="1">
      <c r="A12" s="2909" t="s">
        <v>802</v>
      </c>
      <c r="B12" s="2910" t="s">
        <v>803</v>
      </c>
      <c r="C12" s="2911" t="s">
        <v>808</v>
      </c>
      <c r="D12" s="2912" t="s">
        <v>809</v>
      </c>
      <c r="E12" s="2912" t="s">
        <v>810</v>
      </c>
      <c r="F12" s="2912" t="s">
        <v>811</v>
      </c>
      <c r="G12" s="2910"/>
      <c r="H12" s="2913"/>
      <c r="I12" s="2913"/>
      <c r="J12" s="2913"/>
      <c r="K12" s="2914"/>
    </row>
    <row r="13" spans="1:31" s="1640" customFormat="1" ht="13.5" customHeight="1">
      <c r="A13" s="2915" t="s">
        <v>760</v>
      </c>
      <c r="B13" s="2916" t="s">
        <v>812</v>
      </c>
      <c r="C13" s="2917">
        <f>'数据-取费表'!M16-SUMIF('数据-取费表'!C:C,"公共配套",'数据-取费表'!M:M)</f>
        <v>12614</v>
      </c>
      <c r="D13" s="2918"/>
      <c r="E13" s="806"/>
      <c r="F13" s="2919"/>
      <c r="G13" s="2910"/>
      <c r="H13" s="2913"/>
      <c r="I13" s="2913"/>
      <c r="J13" s="2913"/>
      <c r="K13" s="2914"/>
    </row>
    <row r="14" spans="1:31" s="1640" customFormat="1" ht="13.5" customHeight="1">
      <c r="A14" s="2915" t="s">
        <v>813</v>
      </c>
      <c r="B14" s="2916" t="s">
        <v>814</v>
      </c>
      <c r="C14" s="55">
        <f>ROUND(C13*F14,0)</f>
        <v>378</v>
      </c>
      <c r="D14" s="2918"/>
      <c r="E14" s="806"/>
      <c r="F14" s="2920">
        <f>'数据-取费表'!B33</f>
        <v>0.03</v>
      </c>
      <c r="G14" s="2910" t="s">
        <v>815</v>
      </c>
      <c r="H14" s="2913"/>
      <c r="I14" s="2913"/>
      <c r="J14" s="2913"/>
      <c r="K14" s="2914"/>
    </row>
    <row r="15" spans="1:31" s="1640" customFormat="1" ht="13.5" customHeight="1">
      <c r="A15" s="2915" t="s">
        <v>816</v>
      </c>
      <c r="B15" s="2916" t="s">
        <v>817</v>
      </c>
      <c r="C15" s="55">
        <f>ROUND(IF(SUMIF('数据-取费表'!C:C,"住宅",'数据-取费表'!M:M)=0,0,IF(F15=0,SUMIF('数据-取费表'!C:C,"公共配套",'数据-取费表'!M:M),SUMIF('数据-取费表'!C:C,"住宅",'数据-取费表'!M:M)*F15)),0)</f>
        <v>453</v>
      </c>
      <c r="D15" s="2918"/>
      <c r="E15" s="806"/>
      <c r="F15" s="2920">
        <f>'数据-取费表'!B34</f>
        <v>0.05</v>
      </c>
      <c r="G15" s="2910" t="s">
        <v>818</v>
      </c>
      <c r="H15" s="2913"/>
      <c r="I15" s="2913"/>
      <c r="J15" s="2913"/>
      <c r="K15" s="2914"/>
    </row>
    <row r="16" spans="1:31" s="1641" customFormat="1" ht="13.5" customHeight="1">
      <c r="A16" s="2915" t="s">
        <v>819</v>
      </c>
      <c r="B16" s="2916" t="s">
        <v>820</v>
      </c>
      <c r="C16" s="55">
        <f t="shared" ref="C16:C22" si="0">ROUND(D16*E16/10000,0)</f>
        <v>732</v>
      </c>
      <c r="D16" s="2918">
        <f>'数据-汇总表'!E3</f>
        <v>36595.409999999996</v>
      </c>
      <c r="E16" s="55">
        <f>'数据-取费表'!B35</f>
        <v>200</v>
      </c>
      <c r="F16" s="2920"/>
      <c r="G16" s="2910"/>
      <c r="H16" s="2913"/>
      <c r="I16" s="2913"/>
      <c r="J16" s="2913"/>
      <c r="K16" s="2914"/>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5" t="s">
        <v>821</v>
      </c>
      <c r="B17" s="2916" t="s">
        <v>822</v>
      </c>
      <c r="C17" s="2921">
        <f>ROUND(C13*F17,0)</f>
        <v>189</v>
      </c>
      <c r="D17" s="2922"/>
      <c r="E17" s="2921"/>
      <c r="F17" s="2923">
        <f>'数据-取费表'!B36</f>
        <v>1.4999999999999999E-2</v>
      </c>
      <c r="G17" s="2898" t="s">
        <v>823</v>
      </c>
      <c r="H17" s="2924"/>
      <c r="I17" s="2924"/>
      <c r="J17" s="2924"/>
      <c r="K17" s="2925"/>
    </row>
    <row r="18" spans="1:14" s="1640" customFormat="1" ht="13.5" customHeight="1">
      <c r="A18" s="2926" t="s">
        <v>824</v>
      </c>
      <c r="B18" s="2927" t="s">
        <v>825</v>
      </c>
      <c r="C18" s="2928">
        <f>SUM(C13:C17)</f>
        <v>14366</v>
      </c>
      <c r="D18" s="2929"/>
      <c r="E18" s="2930"/>
      <c r="F18" s="2930"/>
      <c r="G18" s="2931" t="s">
        <v>826</v>
      </c>
      <c r="H18" s="2932"/>
      <c r="I18" s="2932"/>
      <c r="J18" s="2932"/>
      <c r="K18" s="2933"/>
    </row>
    <row r="19" spans="1:14" s="1640" customFormat="1" ht="13.5" customHeight="1">
      <c r="A19" s="2926" t="s">
        <v>827</v>
      </c>
      <c r="B19" s="2927" t="s">
        <v>828</v>
      </c>
      <c r="C19" s="2934">
        <f t="shared" si="0"/>
        <v>0</v>
      </c>
      <c r="D19" s="2935">
        <f>'数据-汇总表'!E3</f>
        <v>36595.409999999996</v>
      </c>
      <c r="E19" s="2934">
        <f>'数据-取费表'!B32</f>
        <v>0</v>
      </c>
      <c r="F19" s="2930"/>
      <c r="G19" s="2910" t="s">
        <v>829</v>
      </c>
      <c r="H19" s="2913"/>
      <c r="I19" s="2932"/>
      <c r="J19" s="2932"/>
      <c r="K19" s="2933"/>
    </row>
    <row r="20" spans="1:14" s="1640" customFormat="1" ht="13.5" customHeight="1">
      <c r="A20" s="2926" t="s">
        <v>830</v>
      </c>
      <c r="B20" s="2927" t="s">
        <v>831</v>
      </c>
      <c r="C20" s="2934">
        <f>C21+C22-'数据-取费表'!B29</f>
        <v>1464</v>
      </c>
      <c r="D20" s="2935"/>
      <c r="E20" s="2934"/>
      <c r="F20" s="2936"/>
      <c r="G20" s="2910" t="s">
        <v>832</v>
      </c>
      <c r="H20" s="2913"/>
      <c r="I20" s="2932"/>
      <c r="J20" s="2932"/>
      <c r="K20" s="2933"/>
    </row>
    <row r="21" spans="1:14" s="1640" customFormat="1" ht="13.5" customHeight="1">
      <c r="A21" s="2915" t="s">
        <v>760</v>
      </c>
      <c r="B21" s="2916" t="s">
        <v>833</v>
      </c>
      <c r="C21" s="55">
        <f t="shared" si="0"/>
        <v>863</v>
      </c>
      <c r="D21" s="2918">
        <f>'数据-汇总表'!E5</f>
        <v>21576.35</v>
      </c>
      <c r="E21" s="55">
        <f>'数据-取费表'!B27</f>
        <v>400</v>
      </c>
      <c r="F21" s="2920"/>
      <c r="G21" s="2937"/>
      <c r="H21" s="2938"/>
      <c r="I21" s="2938"/>
      <c r="J21" s="2938"/>
      <c r="K21" s="2939"/>
    </row>
    <row r="22" spans="1:14" s="1640" customFormat="1" ht="13.5" customHeight="1">
      <c r="A22" s="2915" t="s">
        <v>765</v>
      </c>
      <c r="B22" s="2916" t="s">
        <v>834</v>
      </c>
      <c r="C22" s="55">
        <f t="shared" si="0"/>
        <v>601</v>
      </c>
      <c r="D22" s="2918">
        <f>'数据-汇总表'!E6</f>
        <v>15019.059999999998</v>
      </c>
      <c r="E22" s="55">
        <f>'数据-取费表'!B28</f>
        <v>400</v>
      </c>
      <c r="F22" s="2920"/>
      <c r="G22" s="2937"/>
      <c r="H22" s="2938"/>
      <c r="I22" s="2938"/>
      <c r="J22" s="2938"/>
      <c r="K22" s="2939"/>
    </row>
    <row r="23" spans="1:14" s="1640" customFormat="1" ht="13.5" customHeight="1">
      <c r="A23" s="2926" t="s">
        <v>835</v>
      </c>
      <c r="B23" s="2927" t="s">
        <v>836</v>
      </c>
      <c r="C23" s="2928">
        <f>ROUND((C18+C19+C20)*F23,0)</f>
        <v>237</v>
      </c>
      <c r="D23" s="2930"/>
      <c r="E23" s="2930"/>
      <c r="F23" s="2940">
        <f>'数据-取费表'!B37</f>
        <v>1.4999999999999999E-2</v>
      </c>
      <c r="G23" s="2910" t="s">
        <v>837</v>
      </c>
      <c r="H23" s="2913"/>
      <c r="I23" s="2913"/>
      <c r="J23" s="2913"/>
      <c r="K23" s="2914"/>
      <c r="L23" s="1745"/>
      <c r="M23" s="1745"/>
      <c r="N23" s="1745"/>
    </row>
    <row r="24" spans="1:14" s="1642" customFormat="1" ht="13.5" customHeight="1">
      <c r="A24" s="2926" t="s">
        <v>838</v>
      </c>
      <c r="B24" s="2927" t="s">
        <v>839</v>
      </c>
      <c r="C24" s="2941">
        <f>F24</f>
        <v>3.0499999999999999E-2</v>
      </c>
      <c r="D24" s="2942" t="s">
        <v>840</v>
      </c>
      <c r="E24" s="2943"/>
      <c r="F24" s="2940">
        <f>'数据-取费表'!B48+'数据-取费表'!B49</f>
        <v>3.0499999999999999E-2</v>
      </c>
      <c r="G24" s="2944" t="s">
        <v>841</v>
      </c>
      <c r="H24" s="2913"/>
      <c r="I24" s="2913"/>
      <c r="J24" s="2913"/>
      <c r="K24" s="2914"/>
    </row>
    <row r="25" spans="1:14" s="1745" customFormat="1" ht="13.5" customHeight="1">
      <c r="A25" s="2926" t="s">
        <v>842</v>
      </c>
      <c r="B25" s="2929" t="s">
        <v>843</v>
      </c>
      <c r="C25" s="2945">
        <f>C27</f>
        <v>763</v>
      </c>
      <c r="D25" s="2941">
        <f>C26</f>
        <v>0.10009999999999999</v>
      </c>
      <c r="E25" s="2943" t="s">
        <v>844</v>
      </c>
      <c r="F25" s="2946">
        <f>'数据-取费表'!B40</f>
        <v>4.7500000000000001E-2</v>
      </c>
      <c r="G25" s="2947" t="str">
        <f>IF('数据-取费表'!B22&lt;=1,"单利计息。","复利计息。")&amp;"后续开发成本、管理费用及销售费用产生的利息。"</f>
        <v>复利计息。后续开发成本、管理费用及销售费用产生的利息。</v>
      </c>
      <c r="H25" s="2932"/>
      <c r="I25" s="2932"/>
      <c r="J25" s="2932"/>
      <c r="K25" s="2933"/>
    </row>
    <row r="26" spans="1:14" s="1644" customFormat="1" ht="13.5" customHeight="1">
      <c r="A26" s="2897" t="s">
        <v>760</v>
      </c>
      <c r="B26" s="2948" t="s">
        <v>845</v>
      </c>
      <c r="C26" s="2949">
        <f>ROUND(IF('数据-取费表'!B22&lt;=1,(1+C24/(1+'数据-取费表'!B42))*F25*'数据-取费表'!B24,(1+C24/(1+'数据-取费表'!B42))*(POWER((1+F25),'数据-取费表'!B24)-1)),4)</f>
        <v>0.10009999999999999</v>
      </c>
      <c r="D26" s="2950"/>
      <c r="E26" s="2951"/>
      <c r="F26" s="2952"/>
      <c r="G26" s="2947" t="str">
        <f>IF('数据-取费表'!B22&lt;=1,"（1+取得税费率/(1+5%)）×年利率×建设期","（1+取得税费率）/(1+5%)×((1+年利率)^建设期-1)")</f>
        <v>（1+取得税费率）/(1+5%)×((1+年利率)^建设期-1)</v>
      </c>
      <c r="H26" s="2924"/>
      <c r="I26" s="2924"/>
      <c r="J26" s="2924"/>
      <c r="K26" s="2925"/>
    </row>
    <row r="27" spans="1:14" s="1644" customFormat="1" ht="13.5" customHeight="1">
      <c r="A27" s="2897" t="s">
        <v>765</v>
      </c>
      <c r="B27" s="2948" t="s">
        <v>846</v>
      </c>
      <c r="C27" s="2953">
        <f>ROUND(IF('数据-取费表'!B22&lt;=1,(C18+C19+C20+C23)*F25*'数据-取费表'!B24/2,(C18+C19+C20+C23)*(POWER((1+F25),'数据-取费表'!B24/2)-1)),0)</f>
        <v>763</v>
      </c>
      <c r="D27" s="2950"/>
      <c r="E27" s="2951"/>
      <c r="F27" s="2952"/>
      <c r="G27" s="2947" t="str">
        <f>IF('数据-取费表'!B22&lt;=1,"（1）-（4）项×年利率×建设期÷2","（1）-（4）项×((1+年利率)^(建设期÷2)-1)")</f>
        <v>（1）-（4）项×((1+年利率)^(建设期÷2)-1)</v>
      </c>
      <c r="H27" s="2924"/>
      <c r="I27" s="2924"/>
      <c r="J27" s="2924"/>
      <c r="K27" s="2925"/>
    </row>
    <row r="28" spans="1:14" s="1644" customFormat="1" ht="13.5" customHeight="1">
      <c r="A28" s="2926" t="s">
        <v>847</v>
      </c>
      <c r="B28" s="2927" t="s">
        <v>848</v>
      </c>
      <c r="C28" s="2928">
        <f>C29+C30</f>
        <v>4603</v>
      </c>
      <c r="D28" s="2930"/>
      <c r="E28" s="2930"/>
      <c r="F28" s="2940">
        <f>F29+F30</f>
        <v>8.1000000000000003E-2</v>
      </c>
      <c r="G28" s="2910" t="s">
        <v>849</v>
      </c>
      <c r="H28" s="2913"/>
      <c r="I28" s="2913"/>
      <c r="J28" s="2913"/>
      <c r="K28" s="2914"/>
    </row>
    <row r="29" spans="1:14" s="1644" customFormat="1" ht="13.5" customHeight="1">
      <c r="A29" s="2915" t="s">
        <v>760</v>
      </c>
      <c r="B29" s="2916" t="s">
        <v>724</v>
      </c>
      <c r="C29" s="2954">
        <f>ROUND(C6*F29/(1+'数据-取费表'!B42),0)</f>
        <v>3134</v>
      </c>
      <c r="D29" s="2955"/>
      <c r="E29" s="2955"/>
      <c r="F29" s="2923">
        <f>'数据-取费表'!B42+'数据-取费表'!B43</f>
        <v>5.6000000000000001E-2</v>
      </c>
      <c r="G29" s="2956" t="s">
        <v>850</v>
      </c>
      <c r="H29" s="2924"/>
      <c r="I29" s="2924"/>
      <c r="J29" s="2924"/>
      <c r="K29" s="2925"/>
    </row>
    <row r="30" spans="1:14" s="1644" customFormat="1" ht="13.5" customHeight="1">
      <c r="A30" s="2915" t="s">
        <v>765</v>
      </c>
      <c r="B30" s="2916" t="s">
        <v>851</v>
      </c>
      <c r="C30" s="2954">
        <f>ROUND(C6*F30,0)</f>
        <v>1469</v>
      </c>
      <c r="D30" s="2957"/>
      <c r="E30" s="2951"/>
      <c r="F30" s="2958">
        <f>'数据-取费表'!B38</f>
        <v>2.5000000000000001E-2</v>
      </c>
      <c r="G30" s="2956" t="s">
        <v>852</v>
      </c>
      <c r="H30" s="2924"/>
      <c r="I30" s="2924"/>
      <c r="J30" s="2924"/>
      <c r="K30" s="2925"/>
    </row>
    <row r="31" spans="1:14" s="1643" customFormat="1" ht="13.5" customHeight="1">
      <c r="A31" s="2959" t="s">
        <v>853</v>
      </c>
      <c r="B31" s="2960" t="s">
        <v>854</v>
      </c>
      <c r="C31" s="2945">
        <f>C32</f>
        <v>21433</v>
      </c>
      <c r="D31" s="2961">
        <f>C33</f>
        <v>0.12909999999999999</v>
      </c>
      <c r="E31" s="2943" t="s">
        <v>844</v>
      </c>
      <c r="F31" s="2946"/>
      <c r="G31" s="2910" t="s">
        <v>855</v>
      </c>
      <c r="H31" s="2913"/>
      <c r="I31" s="2913"/>
      <c r="J31" s="2913"/>
      <c r="K31" s="2914"/>
    </row>
    <row r="32" spans="1:14" s="1644" customFormat="1" ht="13.5" customHeight="1">
      <c r="A32" s="2897" t="s">
        <v>760</v>
      </c>
      <c r="B32" s="2948"/>
      <c r="C32" s="2954">
        <f>C18+C19+C20+C23+C25+C28</f>
        <v>21433</v>
      </c>
      <c r="D32" s="2950"/>
      <c r="E32" s="2951"/>
      <c r="F32" s="2952"/>
      <c r="G32" s="2898"/>
      <c r="H32" s="2924"/>
      <c r="I32" s="2924"/>
      <c r="J32" s="2924"/>
      <c r="K32" s="2925"/>
    </row>
    <row r="33" spans="1:11" s="1644" customFormat="1" ht="13.5" customHeight="1">
      <c r="A33" s="2897" t="s">
        <v>765</v>
      </c>
      <c r="B33" s="2948"/>
      <c r="C33" s="55">
        <f>ROUND(C24/(1+'数据-取费表'!B42)+D25,4)</f>
        <v>0.12909999999999999</v>
      </c>
      <c r="D33" s="2950"/>
      <c r="E33" s="2951"/>
      <c r="F33" s="2952"/>
      <c r="G33" s="2898"/>
      <c r="H33" s="2924"/>
      <c r="I33" s="2924"/>
      <c r="J33" s="2924"/>
      <c r="K33" s="2925"/>
    </row>
    <row r="34" spans="1:11" s="1749" customFormat="1" ht="13.5" customHeight="1">
      <c r="A34" s="1758" t="s">
        <v>856</v>
      </c>
      <c r="B34" s="1704" t="s">
        <v>857</v>
      </c>
      <c r="C34" s="1705">
        <f>C36</f>
        <v>4820</v>
      </c>
      <c r="D34" s="2941">
        <f>C35</f>
        <v>0.30869999999999997</v>
      </c>
      <c r="E34" s="2943" t="s">
        <v>844</v>
      </c>
      <c r="F34" s="1707">
        <f>'数据-取费表'!Q16</f>
        <v>0.3</v>
      </c>
      <c r="G34" s="2931" t="s">
        <v>858</v>
      </c>
      <c r="H34" s="2932"/>
      <c r="I34" s="2932"/>
      <c r="J34" s="2932"/>
      <c r="K34" s="2933"/>
    </row>
    <row r="35" spans="1:11" s="1750" customFormat="1" ht="13.5" customHeight="1">
      <c r="A35" s="1759" t="s">
        <v>760</v>
      </c>
      <c r="B35" s="2962" t="s">
        <v>859</v>
      </c>
      <c r="C35" s="2950">
        <f>ROUND((1+C24/(1+'数据-取费表'!B42))*F34,4)</f>
        <v>0.30869999999999997</v>
      </c>
      <c r="D35" s="2950"/>
      <c r="E35" s="2951"/>
      <c r="F35" s="1708"/>
      <c r="G35" s="2898" t="s">
        <v>860</v>
      </c>
      <c r="H35" s="2924"/>
      <c r="I35" s="2924"/>
      <c r="J35" s="2924"/>
      <c r="K35" s="2925"/>
    </row>
    <row r="36" spans="1:11" s="1750" customFormat="1" ht="13.5" customHeight="1">
      <c r="A36" s="1760" t="s">
        <v>765</v>
      </c>
      <c r="B36" s="2963" t="s">
        <v>861</v>
      </c>
      <c r="C36" s="1761">
        <f>ROUND((C18+C19+C20+C23)*F34,0)</f>
        <v>4820</v>
      </c>
      <c r="D36" s="2964"/>
      <c r="E36" s="2965"/>
      <c r="F36" s="1762"/>
      <c r="G36" s="2904" t="s">
        <v>862</v>
      </c>
      <c r="H36" s="2966"/>
      <c r="I36" s="2966"/>
      <c r="J36" s="2966"/>
      <c r="K36" s="2967"/>
    </row>
    <row r="37" spans="1:11" s="855" customFormat="1" ht="13.5" customHeight="1">
      <c r="A37" s="2968" t="s">
        <v>863</v>
      </c>
      <c r="B37" s="2969"/>
      <c r="C37" s="2970">
        <f>ROUND((C6-C31-C34)/(1+D31+D34),0)</f>
        <v>22616</v>
      </c>
      <c r="D37" s="2969"/>
      <c r="E37" s="2969"/>
      <c r="F37" s="2969"/>
      <c r="G37" s="2971" t="s">
        <v>864</v>
      </c>
      <c r="H37" s="2969"/>
      <c r="I37" s="2969"/>
      <c r="J37" s="2969"/>
      <c r="K37" s="2972"/>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zoomScale="85" zoomScaleNormal="85" workbookViewId="0">
      <selection activeCell="A4" sqref="A4:J48"/>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2013</v>
      </c>
      <c r="B1" s="546" t="s">
        <v>2014</v>
      </c>
      <c r="C1" s="547" t="s">
        <v>2015</v>
      </c>
      <c r="D1" s="548" t="s">
        <v>292</v>
      </c>
      <c r="E1" s="549"/>
      <c r="F1" s="135" t="s">
        <v>2016</v>
      </c>
      <c r="G1" s="136" t="s">
        <v>2017</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797</v>
      </c>
      <c r="B2" s="550">
        <f>ROUND(B3*D3/10000,0)</f>
        <v>58770</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thickBot="1">
      <c r="A3" s="142" t="s">
        <v>1818</v>
      </c>
      <c r="B3" s="145">
        <f>C49</f>
        <v>27238</v>
      </c>
      <c r="C3" s="144" t="s">
        <v>2018</v>
      </c>
      <c r="D3" s="145">
        <f>SUMIF('数据-汇总表'!$C19:$C33,D1,'数据-汇总表'!$E19:$E33)</f>
        <v>21576.35</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895</v>
      </c>
      <c r="B4" s="147"/>
      <c r="C4" s="3206" t="s">
        <v>896</v>
      </c>
      <c r="D4" s="3207"/>
      <c r="E4" s="3250" t="s">
        <v>897</v>
      </c>
      <c r="F4" s="3251"/>
      <c r="G4" s="3206" t="s">
        <v>898</v>
      </c>
      <c r="H4" s="3207"/>
      <c r="I4" s="3206" t="s">
        <v>899</v>
      </c>
      <c r="J4" s="3207"/>
      <c r="K4" s="568" t="s">
        <v>900</v>
      </c>
      <c r="L4" s="303"/>
      <c r="M4" s="304"/>
      <c r="N4" s="304"/>
      <c r="O4" s="304"/>
      <c r="P4" s="3235" t="s">
        <v>901</v>
      </c>
      <c r="Q4" s="3236"/>
      <c r="R4" s="3241" t="s">
        <v>897</v>
      </c>
      <c r="S4" s="3242"/>
      <c r="T4" s="3241" t="s">
        <v>898</v>
      </c>
      <c r="U4" s="3242"/>
      <c r="V4" s="3227" t="s">
        <v>899</v>
      </c>
      <c r="W4" s="3227"/>
      <c r="X4" s="371"/>
      <c r="Y4" s="3241" t="s">
        <v>901</v>
      </c>
      <c r="Z4" s="3242"/>
      <c r="AA4" s="3228" t="s">
        <v>897</v>
      </c>
      <c r="AB4" s="3228" t="s">
        <v>898</v>
      </c>
      <c r="AC4" s="3228" t="s">
        <v>899</v>
      </c>
    </row>
    <row r="5" spans="1:29" ht="15">
      <c r="A5" s="148"/>
      <c r="B5" s="149"/>
      <c r="C5" s="3210" t="s">
        <v>2019</v>
      </c>
      <c r="D5" s="3209"/>
      <c r="E5" s="3285" t="s">
        <v>2323</v>
      </c>
      <c r="F5" s="3253"/>
      <c r="G5" s="3210" t="s">
        <v>2327</v>
      </c>
      <c r="H5" s="3209"/>
      <c r="I5" s="3210" t="s">
        <v>2331</v>
      </c>
      <c r="J5" s="3209"/>
      <c r="K5" s="569"/>
      <c r="L5" s="303"/>
      <c r="M5" s="304"/>
      <c r="N5" s="304"/>
      <c r="O5" s="304"/>
      <c r="P5" s="3237"/>
      <c r="Q5" s="3238"/>
      <c r="R5" s="3243"/>
      <c r="S5" s="3244"/>
      <c r="T5" s="3243"/>
      <c r="U5" s="3244"/>
      <c r="V5" s="3227"/>
      <c r="W5" s="3227"/>
      <c r="X5" s="371"/>
      <c r="Y5" s="3243"/>
      <c r="Z5" s="3244"/>
      <c r="AA5" s="3229"/>
      <c r="AB5" s="3229"/>
      <c r="AC5" s="3229"/>
    </row>
    <row r="6" spans="1:29" ht="26.25" customHeight="1" thickBot="1">
      <c r="A6" s="150"/>
      <c r="B6" s="151"/>
      <c r="C6" s="3213"/>
      <c r="D6" s="3214"/>
      <c r="E6" s="3286" t="s">
        <v>2324</v>
      </c>
      <c r="F6" s="3256"/>
      <c r="G6" s="3213" t="s">
        <v>2328</v>
      </c>
      <c r="H6" s="3214"/>
      <c r="I6" s="3213" t="s">
        <v>2332</v>
      </c>
      <c r="J6" s="3214"/>
      <c r="K6" s="569" t="s">
        <v>907</v>
      </c>
      <c r="L6" s="303"/>
      <c r="M6" s="304"/>
      <c r="N6" s="304"/>
      <c r="O6" s="304"/>
      <c r="P6" s="3239"/>
      <c r="Q6" s="3240"/>
      <c r="R6" s="3243"/>
      <c r="S6" s="3244"/>
      <c r="T6" s="3245"/>
      <c r="U6" s="3246"/>
      <c r="V6" s="3227"/>
      <c r="W6" s="3227"/>
      <c r="X6" s="371"/>
      <c r="Y6" s="3245"/>
      <c r="Z6" s="3246"/>
      <c r="AA6" s="3230"/>
      <c r="AB6" s="3230"/>
      <c r="AC6" s="3230"/>
    </row>
    <row r="7" spans="1:29" s="122" customFormat="1" ht="15.75" thickBot="1">
      <c r="A7" s="152" t="s">
        <v>908</v>
      </c>
      <c r="B7" s="153"/>
      <c r="C7" s="154">
        <f>'数据-取费表'!B2</f>
        <v>43041</v>
      </c>
      <c r="D7" s="155">
        <v>100</v>
      </c>
      <c r="E7" s="156">
        <f>C7</f>
        <v>43041</v>
      </c>
      <c r="F7" s="157">
        <f>SUMIF(58:58,YEAR(E7)&amp;"-"&amp;MONTH(E7),59:59)</f>
        <v>100</v>
      </c>
      <c r="G7" s="158">
        <f>C7</f>
        <v>43041</v>
      </c>
      <c r="H7" s="155">
        <f>SUMIF(58:58,YEAR(G7)&amp;"-"&amp;MONTH(G7),59:59)</f>
        <v>100</v>
      </c>
      <c r="I7" s="158">
        <f>C7</f>
        <v>43041</v>
      </c>
      <c r="J7" s="155">
        <f>SUMIF(58:58,YEAR(I7)&amp;"-"&amp;MONTH(I7),59:59)</f>
        <v>100</v>
      </c>
      <c r="K7" s="570"/>
      <c r="L7" s="306"/>
      <c r="M7" s="307"/>
      <c r="N7" s="307"/>
      <c r="O7" s="307"/>
      <c r="P7" s="3248" t="s">
        <v>909</v>
      </c>
      <c r="Q7" s="3257"/>
      <c r="R7" s="372" t="s">
        <v>910</v>
      </c>
      <c r="S7" s="373">
        <f t="shared" ref="S7:S15" si="0">F7</f>
        <v>100</v>
      </c>
      <c r="T7" s="372" t="s">
        <v>910</v>
      </c>
      <c r="U7" s="373">
        <f t="shared" ref="U7:U15" si="1">H7</f>
        <v>100</v>
      </c>
      <c r="V7" s="372" t="s">
        <v>910</v>
      </c>
      <c r="W7" s="373">
        <f t="shared" ref="W7:W15" si="2">J7</f>
        <v>100</v>
      </c>
      <c r="X7" s="374"/>
      <c r="Y7" s="3248" t="s">
        <v>909</v>
      </c>
      <c r="Z7" s="3249"/>
      <c r="AA7" s="391">
        <f>D7/F7</f>
        <v>1</v>
      </c>
      <c r="AB7" s="391">
        <f>D7/H7</f>
        <v>1</v>
      </c>
      <c r="AC7" s="391">
        <f>D7/J7</f>
        <v>1</v>
      </c>
    </row>
    <row r="8" spans="1:29" s="122" customFormat="1" ht="15.75" thickBot="1">
      <c r="A8" s="152" t="s">
        <v>911</v>
      </c>
      <c r="B8" s="153"/>
      <c r="C8" s="159" t="s">
        <v>912</v>
      </c>
      <c r="D8" s="155">
        <v>100</v>
      </c>
      <c r="E8" s="552" t="s">
        <v>912</v>
      </c>
      <c r="F8" s="157">
        <f>SUMIF(61:61,E8,62:62)-SUMIF(61:61,C8,62:62)+100</f>
        <v>100</v>
      </c>
      <c r="G8" s="159" t="s">
        <v>912</v>
      </c>
      <c r="H8" s="155">
        <f>SUMIF(61:61,G8,62:62)-SUMIF(61:61,C8,62:62)+100</f>
        <v>100</v>
      </c>
      <c r="I8" s="552" t="s">
        <v>912</v>
      </c>
      <c r="J8" s="155">
        <f>SUMIF(61:61,I8,62:62)-SUMIF(61:61,C8,62:62)+100</f>
        <v>100</v>
      </c>
      <c r="K8" s="570"/>
      <c r="L8" s="306"/>
      <c r="M8" s="307"/>
      <c r="N8" s="307"/>
      <c r="O8" s="307"/>
      <c r="P8" s="3248" t="s">
        <v>913</v>
      </c>
      <c r="Q8" s="3249"/>
      <c r="R8" s="372" t="s">
        <v>910</v>
      </c>
      <c r="S8" s="373">
        <f t="shared" si="0"/>
        <v>100</v>
      </c>
      <c r="T8" s="372" t="s">
        <v>910</v>
      </c>
      <c r="U8" s="373">
        <f t="shared" si="1"/>
        <v>100</v>
      </c>
      <c r="V8" s="372" t="s">
        <v>910</v>
      </c>
      <c r="W8" s="373">
        <f t="shared" si="2"/>
        <v>100</v>
      </c>
      <c r="X8" s="374"/>
      <c r="Y8" s="3248" t="s">
        <v>913</v>
      </c>
      <c r="Z8" s="3249"/>
      <c r="AA8" s="391">
        <f t="shared" ref="AA8:AA46" si="3">D8/F8</f>
        <v>1</v>
      </c>
      <c r="AB8" s="391">
        <f t="shared" ref="AB8:AB46" si="4">D8/H8</f>
        <v>1</v>
      </c>
      <c r="AC8" s="391">
        <f t="shared" ref="AC8:AC46" si="5">D8/J8</f>
        <v>1</v>
      </c>
    </row>
    <row r="9" spans="1:29" s="122" customFormat="1">
      <c r="A9" s="160" t="s">
        <v>914</v>
      </c>
      <c r="B9" s="161" t="s">
        <v>915</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18" t="s">
        <v>916</v>
      </c>
      <c r="Q9" s="375" t="str">
        <f t="shared" ref="Q9:Q15" si="6">B9</f>
        <v>用途</v>
      </c>
      <c r="R9" s="372" t="s">
        <v>910</v>
      </c>
      <c r="S9" s="373">
        <f t="shared" si="0"/>
        <v>100</v>
      </c>
      <c r="T9" s="372" t="s">
        <v>910</v>
      </c>
      <c r="U9" s="373">
        <f t="shared" si="1"/>
        <v>100</v>
      </c>
      <c r="V9" s="372" t="s">
        <v>910</v>
      </c>
      <c r="W9" s="373">
        <f t="shared" si="2"/>
        <v>100</v>
      </c>
      <c r="X9" s="374"/>
      <c r="Y9" s="3201" t="s">
        <v>917</v>
      </c>
      <c r="Z9" s="392" t="str">
        <f t="shared" ref="Z9:Z15" si="7">Q9</f>
        <v>用途</v>
      </c>
      <c r="AA9" s="391">
        <f t="shared" si="3"/>
        <v>1</v>
      </c>
      <c r="AB9" s="391">
        <f t="shared" si="4"/>
        <v>1</v>
      </c>
      <c r="AC9" s="391">
        <f t="shared" si="5"/>
        <v>1</v>
      </c>
    </row>
    <row r="10" spans="1:29" s="123" customFormat="1" ht="27">
      <c r="A10" s="165"/>
      <c r="B10" s="166" t="s">
        <v>918</v>
      </c>
      <c r="C10" s="167" t="s">
        <v>2315</v>
      </c>
      <c r="D10" s="168">
        <v>100</v>
      </c>
      <c r="E10" s="169" t="s">
        <v>2316</v>
      </c>
      <c r="F10" s="480">
        <f>SUMIF(65:65,E10,66:66)-SUMIF(65:65,C10,66:66)+100</f>
        <v>101</v>
      </c>
      <c r="G10" s="167" t="s">
        <v>2316</v>
      </c>
      <c r="H10" s="168">
        <f>SUMIF(65:65,G10,66:66)-SUMIF(65:65,C10,66:66)+100</f>
        <v>101</v>
      </c>
      <c r="I10" s="167" t="s">
        <v>2316</v>
      </c>
      <c r="J10" s="168">
        <f>SUMIF(65:65,I10,66:66)-SUMIF(65:65,C10,66:66)+100</f>
        <v>101</v>
      </c>
      <c r="K10" s="571">
        <v>1</v>
      </c>
      <c r="L10" s="311"/>
      <c r="M10" s="312"/>
      <c r="N10" s="312"/>
      <c r="O10" s="313"/>
      <c r="P10" s="3218"/>
      <c r="Q10" s="375" t="str">
        <f t="shared" si="6"/>
        <v>土地使用年限（年）</v>
      </c>
      <c r="R10" s="372" t="s">
        <v>910</v>
      </c>
      <c r="S10" s="373">
        <f t="shared" si="0"/>
        <v>101</v>
      </c>
      <c r="T10" s="372" t="s">
        <v>910</v>
      </c>
      <c r="U10" s="373">
        <f t="shared" si="1"/>
        <v>101</v>
      </c>
      <c r="V10" s="372" t="s">
        <v>910</v>
      </c>
      <c r="W10" s="373">
        <f t="shared" si="2"/>
        <v>101</v>
      </c>
      <c r="X10" s="374"/>
      <c r="Y10" s="3201"/>
      <c r="Z10" s="392" t="str">
        <f t="shared" si="7"/>
        <v>土地使用年限（年）</v>
      </c>
      <c r="AA10" s="391">
        <f t="shared" si="3"/>
        <v>0.99009900990099009</v>
      </c>
      <c r="AB10" s="391">
        <f t="shared" si="4"/>
        <v>0.99009900990099009</v>
      </c>
      <c r="AC10" s="391">
        <f t="shared" si="5"/>
        <v>0.99009900990099009</v>
      </c>
    </row>
    <row r="11" spans="1:29" ht="15.75" thickBot="1">
      <c r="A11" s="170"/>
      <c r="B11" s="166" t="s">
        <v>919</v>
      </c>
      <c r="C11" s="468">
        <f>'数据-汇总表'!I6</f>
        <v>1.27</v>
      </c>
      <c r="D11" s="168">
        <v>100</v>
      </c>
      <c r="E11" s="469">
        <v>1.2</v>
      </c>
      <c r="F11" s="480">
        <f>LOOKUP(E11,68:68,69:69)-LOOKUP(C11,68:68,69:69)+100</f>
        <v>100</v>
      </c>
      <c r="G11" s="468">
        <v>2.2000000000000002</v>
      </c>
      <c r="H11" s="168">
        <f>LOOKUP(G11,68:68,69:69)-LOOKUP(C11,68:68,69:69)+100</f>
        <v>99</v>
      </c>
      <c r="I11" s="468">
        <v>1.7</v>
      </c>
      <c r="J11" s="168">
        <f>LOOKUP(I11,68:68,69:69)-LOOKUP(C11,68:68,69:69)+100</f>
        <v>100</v>
      </c>
      <c r="K11" s="571">
        <v>1</v>
      </c>
      <c r="L11" s="315"/>
      <c r="M11" s="304"/>
      <c r="N11" s="304"/>
      <c r="O11" s="316"/>
      <c r="P11" s="3218"/>
      <c r="Q11" s="375" t="str">
        <f t="shared" si="6"/>
        <v>容积率</v>
      </c>
      <c r="R11" s="372" t="s">
        <v>910</v>
      </c>
      <c r="S11" s="373">
        <f t="shared" si="0"/>
        <v>100</v>
      </c>
      <c r="T11" s="372" t="s">
        <v>910</v>
      </c>
      <c r="U11" s="373">
        <f t="shared" si="1"/>
        <v>99</v>
      </c>
      <c r="V11" s="372" t="s">
        <v>910</v>
      </c>
      <c r="W11" s="373">
        <f t="shared" si="2"/>
        <v>100</v>
      </c>
      <c r="X11" s="374"/>
      <c r="Y11" s="3201"/>
      <c r="Z11" s="392" t="str">
        <f t="shared" si="7"/>
        <v>容积率</v>
      </c>
      <c r="AA11" s="391">
        <f t="shared" si="3"/>
        <v>1</v>
      </c>
      <c r="AB11" s="391">
        <f t="shared" si="4"/>
        <v>1.0101010101010102</v>
      </c>
      <c r="AC11" s="391">
        <f t="shared" si="5"/>
        <v>1</v>
      </c>
    </row>
    <row r="12" spans="1:29" s="122" customFormat="1" ht="15.75" hidden="1" thickBot="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18"/>
      <c r="Q12" s="375">
        <f t="shared" si="6"/>
        <v>111</v>
      </c>
      <c r="R12" s="372" t="s">
        <v>910</v>
      </c>
      <c r="S12" s="373">
        <f t="shared" si="0"/>
        <v>100</v>
      </c>
      <c r="T12" s="372" t="s">
        <v>910</v>
      </c>
      <c r="U12" s="373">
        <f t="shared" si="1"/>
        <v>100</v>
      </c>
      <c r="V12" s="372" t="s">
        <v>910</v>
      </c>
      <c r="W12" s="373">
        <f t="shared" si="2"/>
        <v>100</v>
      </c>
      <c r="X12" s="374"/>
      <c r="Y12" s="3201"/>
      <c r="Z12" s="392">
        <f t="shared" si="7"/>
        <v>111</v>
      </c>
      <c r="AA12" s="391">
        <f t="shared" si="3"/>
        <v>1</v>
      </c>
      <c r="AB12" s="391">
        <f t="shared" si="4"/>
        <v>1</v>
      </c>
      <c r="AC12" s="391">
        <f t="shared" si="5"/>
        <v>1</v>
      </c>
    </row>
    <row r="13" spans="1:29" ht="15.75" hidden="1" thickBot="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18"/>
      <c r="Q13" s="375">
        <f t="shared" si="6"/>
        <v>111</v>
      </c>
      <c r="R13" s="372" t="s">
        <v>910</v>
      </c>
      <c r="S13" s="373">
        <f t="shared" si="0"/>
        <v>100</v>
      </c>
      <c r="T13" s="372" t="s">
        <v>910</v>
      </c>
      <c r="U13" s="373">
        <f t="shared" si="1"/>
        <v>100</v>
      </c>
      <c r="V13" s="372" t="s">
        <v>910</v>
      </c>
      <c r="W13" s="373">
        <f t="shared" si="2"/>
        <v>100</v>
      </c>
      <c r="X13" s="374"/>
      <c r="Y13" s="3201"/>
      <c r="Z13" s="392">
        <f t="shared" si="7"/>
        <v>111</v>
      </c>
      <c r="AA13" s="391">
        <f t="shared" si="3"/>
        <v>1</v>
      </c>
      <c r="AB13" s="391">
        <f t="shared" si="4"/>
        <v>1</v>
      </c>
      <c r="AC13" s="391">
        <f t="shared" si="5"/>
        <v>1</v>
      </c>
    </row>
    <row r="14" spans="1:29" ht="15.75" hidden="1" thickBot="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18"/>
      <c r="Q14" s="375">
        <f t="shared" si="6"/>
        <v>111</v>
      </c>
      <c r="R14" s="372" t="s">
        <v>910</v>
      </c>
      <c r="S14" s="373">
        <f t="shared" si="0"/>
        <v>100</v>
      </c>
      <c r="T14" s="372" t="s">
        <v>910</v>
      </c>
      <c r="U14" s="373">
        <f t="shared" si="1"/>
        <v>100</v>
      </c>
      <c r="V14" s="372" t="s">
        <v>910</v>
      </c>
      <c r="W14" s="373">
        <f t="shared" si="2"/>
        <v>100</v>
      </c>
      <c r="X14" s="374"/>
      <c r="Y14" s="3201"/>
      <c r="Z14" s="392">
        <f t="shared" si="7"/>
        <v>111</v>
      </c>
      <c r="AA14" s="391">
        <f t="shared" si="3"/>
        <v>1</v>
      </c>
      <c r="AB14" s="391">
        <f t="shared" si="4"/>
        <v>1</v>
      </c>
      <c r="AC14" s="391">
        <f t="shared" si="5"/>
        <v>1</v>
      </c>
    </row>
    <row r="15" spans="1:29" ht="78.75" customHeight="1">
      <c r="A15" s="178" t="s">
        <v>922</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v>2</v>
      </c>
      <c r="L15" s="317"/>
      <c r="M15" s="304"/>
      <c r="N15" s="304"/>
      <c r="O15" s="316"/>
      <c r="P15" s="3219" t="s">
        <v>923</v>
      </c>
      <c r="Q15" s="309" t="str">
        <f t="shared" si="6"/>
        <v>居住社区成熟度</v>
      </c>
      <c r="R15" s="376" t="s">
        <v>910</v>
      </c>
      <c r="S15" s="377">
        <f t="shared" si="0"/>
        <v>100</v>
      </c>
      <c r="T15" s="376" t="s">
        <v>910</v>
      </c>
      <c r="U15" s="377">
        <f t="shared" si="1"/>
        <v>100</v>
      </c>
      <c r="V15" s="376" t="s">
        <v>910</v>
      </c>
      <c r="W15" s="377">
        <f t="shared" si="2"/>
        <v>100</v>
      </c>
      <c r="X15" s="371"/>
      <c r="Y15" s="3219" t="s">
        <v>923</v>
      </c>
      <c r="Z15" s="370" t="str">
        <f t="shared" si="7"/>
        <v>居住社区成熟度</v>
      </c>
      <c r="AA15" s="382">
        <f t="shared" si="3"/>
        <v>1</v>
      </c>
      <c r="AB15" s="382">
        <f t="shared" si="4"/>
        <v>1</v>
      </c>
      <c r="AC15" s="382">
        <f t="shared" si="5"/>
        <v>1</v>
      </c>
    </row>
    <row r="16" spans="1:29" ht="15">
      <c r="A16" s="170"/>
      <c r="B16" s="185"/>
      <c r="C16" s="186" t="str">
        <f>'比较法-住宅、综合'!C18</f>
        <v>较好</v>
      </c>
      <c r="D16" s="187"/>
      <c r="E16" s="474" t="s">
        <v>1016</v>
      </c>
      <c r="F16" s="188"/>
      <c r="G16" s="475" t="s">
        <v>924</v>
      </c>
      <c r="H16" s="189"/>
      <c r="I16" s="474" t="s">
        <v>924</v>
      </c>
      <c r="J16" s="187"/>
      <c r="K16" s="574"/>
      <c r="L16" s="317"/>
      <c r="M16" s="304"/>
      <c r="N16" s="304"/>
      <c r="O16" s="316"/>
      <c r="P16" s="3220"/>
      <c r="Q16" s="309"/>
      <c r="R16" s="376"/>
      <c r="S16" s="377"/>
      <c r="T16" s="376"/>
      <c r="U16" s="377"/>
      <c r="V16" s="376"/>
      <c r="W16" s="377"/>
      <c r="X16" s="371"/>
      <c r="Y16" s="3220"/>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20"/>
      <c r="Q17" s="309" t="str">
        <f>B17</f>
        <v>交通便捷度</v>
      </c>
      <c r="R17" s="376" t="s">
        <v>910</v>
      </c>
      <c r="S17" s="377">
        <f>F17</f>
        <v>100</v>
      </c>
      <c r="T17" s="376" t="s">
        <v>910</v>
      </c>
      <c r="U17" s="377">
        <f>H17</f>
        <v>100</v>
      </c>
      <c r="V17" s="376" t="s">
        <v>910</v>
      </c>
      <c r="W17" s="377">
        <f>J17</f>
        <v>100</v>
      </c>
      <c r="X17" s="371"/>
      <c r="Y17" s="3220"/>
      <c r="Z17" s="370" t="str">
        <f>Q17</f>
        <v>交通便捷度</v>
      </c>
      <c r="AA17" s="382">
        <f t="shared" si="3"/>
        <v>1</v>
      </c>
      <c r="AB17" s="382">
        <f t="shared" si="4"/>
        <v>1</v>
      </c>
      <c r="AC17" s="382">
        <f t="shared" si="5"/>
        <v>1</v>
      </c>
    </row>
    <row r="18" spans="1:29" s="2839" customFormat="1" ht="15">
      <c r="A18" s="2823"/>
      <c r="B18" s="2865"/>
      <c r="C18" s="2866" t="str">
        <f>'比较法-住宅、综合'!C24</f>
        <v>较好</v>
      </c>
      <c r="D18" s="2867"/>
      <c r="E18" s="2868" t="s">
        <v>924</v>
      </c>
      <c r="F18" s="2869"/>
      <c r="G18" s="2870" t="s">
        <v>924</v>
      </c>
      <c r="H18" s="2862"/>
      <c r="I18" s="2868" t="s">
        <v>924</v>
      </c>
      <c r="J18" s="2862"/>
      <c r="K18" s="2871"/>
      <c r="L18" s="2830"/>
      <c r="M18" s="2872"/>
      <c r="N18" s="2872"/>
      <c r="O18" s="2832"/>
      <c r="P18" s="3220"/>
      <c r="Q18" s="2833"/>
      <c r="R18" s="2834"/>
      <c r="S18" s="2835"/>
      <c r="T18" s="2834"/>
      <c r="U18" s="2835"/>
      <c r="V18" s="2834"/>
      <c r="W18" s="2835"/>
      <c r="X18" s="2836"/>
      <c r="Y18" s="3220"/>
      <c r="Z18" s="2837"/>
      <c r="AA18" s="2838">
        <v>1</v>
      </c>
      <c r="AB18" s="2838">
        <v>1</v>
      </c>
      <c r="AC18" s="2838">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v>2</v>
      </c>
      <c r="L19" s="317"/>
      <c r="M19" s="304"/>
      <c r="N19" s="304"/>
      <c r="O19" s="316"/>
      <c r="P19" s="3220"/>
      <c r="Q19" s="309" t="str">
        <f>B19</f>
        <v>公共配套设施</v>
      </c>
      <c r="R19" s="376" t="s">
        <v>910</v>
      </c>
      <c r="S19" s="377">
        <f>F19</f>
        <v>100</v>
      </c>
      <c r="T19" s="376" t="s">
        <v>910</v>
      </c>
      <c r="U19" s="377">
        <f>H19</f>
        <v>100</v>
      </c>
      <c r="V19" s="376" t="s">
        <v>910</v>
      </c>
      <c r="W19" s="377">
        <f>J19</f>
        <v>100</v>
      </c>
      <c r="X19" s="371"/>
      <c r="Y19" s="3220"/>
      <c r="Z19" s="370" t="str">
        <f>Q19</f>
        <v>公共配套设施</v>
      </c>
      <c r="AA19" s="382">
        <f t="shared" si="3"/>
        <v>1</v>
      </c>
      <c r="AB19" s="382">
        <f t="shared" si="4"/>
        <v>1</v>
      </c>
      <c r="AC19" s="382">
        <f t="shared" si="5"/>
        <v>1</v>
      </c>
    </row>
    <row r="20" spans="1:29" ht="15">
      <c r="A20" s="170"/>
      <c r="B20" s="204"/>
      <c r="C20" s="186" t="str">
        <f>'比较法-住宅、综合'!C30</f>
        <v>较好</v>
      </c>
      <c r="D20" s="187"/>
      <c r="E20" s="474" t="s">
        <v>924</v>
      </c>
      <c r="F20" s="188"/>
      <c r="G20" s="475" t="s">
        <v>924</v>
      </c>
      <c r="H20" s="187"/>
      <c r="I20" s="2863" t="s">
        <v>924</v>
      </c>
      <c r="J20" s="187"/>
      <c r="K20" s="574"/>
      <c r="L20" s="317"/>
      <c r="M20" s="304"/>
      <c r="N20" s="304"/>
      <c r="O20" s="316"/>
      <c r="P20" s="3220"/>
      <c r="Q20" s="309"/>
      <c r="R20" s="376"/>
      <c r="S20" s="377"/>
      <c r="T20" s="376"/>
      <c r="U20" s="377"/>
      <c r="V20" s="376"/>
      <c r="W20" s="377"/>
      <c r="X20" s="371"/>
      <c r="Y20" s="3220"/>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20"/>
      <c r="Q21" s="309" t="str">
        <f>B21</f>
        <v>基础设施水平</v>
      </c>
      <c r="R21" s="376" t="s">
        <v>910</v>
      </c>
      <c r="S21" s="377">
        <f>F21</f>
        <v>100</v>
      </c>
      <c r="T21" s="376" t="s">
        <v>910</v>
      </c>
      <c r="U21" s="377">
        <f>H21</f>
        <v>100</v>
      </c>
      <c r="V21" s="376" t="s">
        <v>910</v>
      </c>
      <c r="W21" s="377">
        <f>J21</f>
        <v>100</v>
      </c>
      <c r="X21" s="371"/>
      <c r="Y21" s="3220"/>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20"/>
      <c r="Q22" s="309"/>
      <c r="R22" s="376"/>
      <c r="S22" s="377"/>
      <c r="T22" s="376"/>
      <c r="U22" s="377"/>
      <c r="V22" s="376"/>
      <c r="W22" s="377"/>
      <c r="X22" s="371"/>
      <c r="Y22" s="3220"/>
      <c r="Z22" s="370"/>
      <c r="AA22" s="382">
        <v>1</v>
      </c>
      <c r="AB22" s="382">
        <v>1</v>
      </c>
      <c r="AC22" s="382">
        <v>1</v>
      </c>
    </row>
    <row r="23" spans="1:29" ht="150.75" customHeight="1">
      <c r="A23" s="170"/>
      <c r="B23" s="203" t="s">
        <v>2020</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2</v>
      </c>
      <c r="L23" s="317"/>
      <c r="M23" s="304"/>
      <c r="N23" s="304"/>
      <c r="O23" s="316"/>
      <c r="P23" s="3220"/>
      <c r="Q23" s="309" t="str">
        <f>B23</f>
        <v>自然及人文环境</v>
      </c>
      <c r="R23" s="376" t="s">
        <v>910</v>
      </c>
      <c r="S23" s="377">
        <f>F23</f>
        <v>100</v>
      </c>
      <c r="T23" s="376" t="s">
        <v>910</v>
      </c>
      <c r="U23" s="377">
        <f>H23</f>
        <v>100</v>
      </c>
      <c r="V23" s="376" t="s">
        <v>910</v>
      </c>
      <c r="W23" s="377">
        <f>J23</f>
        <v>100</v>
      </c>
      <c r="X23" s="371"/>
      <c r="Y23" s="3220"/>
      <c r="Z23" s="370" t="str">
        <f>Q23</f>
        <v>自然及人文环境</v>
      </c>
      <c r="AA23" s="382">
        <f t="shared" si="3"/>
        <v>1</v>
      </c>
      <c r="AB23" s="382">
        <f t="shared" si="4"/>
        <v>1</v>
      </c>
      <c r="AC23" s="382">
        <f t="shared" si="5"/>
        <v>1</v>
      </c>
    </row>
    <row r="24" spans="1:29" ht="15">
      <c r="A24" s="170"/>
      <c r="B24" s="204"/>
      <c r="C24" s="186" t="str">
        <f>'比较法-住宅、综合'!C28</f>
        <v>较好</v>
      </c>
      <c r="D24" s="187"/>
      <c r="E24" s="474" t="s">
        <v>1016</v>
      </c>
      <c r="F24" s="188"/>
      <c r="G24" s="475" t="s">
        <v>924</v>
      </c>
      <c r="H24" s="187"/>
      <c r="I24" s="474" t="s">
        <v>924</v>
      </c>
      <c r="J24" s="187"/>
      <c r="K24" s="574"/>
      <c r="L24" s="317"/>
      <c r="M24" s="304"/>
      <c r="N24" s="304"/>
      <c r="O24" s="316"/>
      <c r="P24" s="3220"/>
      <c r="Q24" s="309"/>
      <c r="R24" s="376"/>
      <c r="S24" s="377"/>
      <c r="T24" s="376"/>
      <c r="U24" s="377"/>
      <c r="V24" s="376"/>
      <c r="W24" s="377"/>
      <c r="X24" s="371"/>
      <c r="Y24" s="3220"/>
      <c r="Z24" s="370"/>
      <c r="AA24" s="382">
        <v>1</v>
      </c>
      <c r="AB24" s="382">
        <v>1</v>
      </c>
      <c r="AC24" s="382">
        <v>1</v>
      </c>
    </row>
    <row r="25" spans="1:29" ht="15" hidden="1">
      <c r="A25" s="170"/>
      <c r="B25" s="481" t="s">
        <v>2021</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20"/>
      <c r="Q25" s="309" t="str">
        <f t="shared" ref="Q25:Q46" si="8">B25</f>
        <v>楼层-1</v>
      </c>
      <c r="R25" s="376" t="s">
        <v>910</v>
      </c>
      <c r="S25" s="377">
        <f>F25</f>
        <v>100</v>
      </c>
      <c r="T25" s="376" t="s">
        <v>910</v>
      </c>
      <c r="U25" s="377">
        <f>H25</f>
        <v>100</v>
      </c>
      <c r="V25" s="376" t="s">
        <v>910</v>
      </c>
      <c r="W25" s="377">
        <f>J25</f>
        <v>100</v>
      </c>
      <c r="X25" s="371"/>
      <c r="Y25" s="3220"/>
      <c r="Z25" s="370" t="str">
        <f>Q25</f>
        <v>楼层-1</v>
      </c>
      <c r="AA25" s="382">
        <f t="shared" si="3"/>
        <v>1</v>
      </c>
      <c r="AB25" s="382">
        <f t="shared" si="4"/>
        <v>1</v>
      </c>
      <c r="AC25" s="382">
        <f t="shared" si="5"/>
        <v>1</v>
      </c>
    </row>
    <row r="26" spans="1:29" ht="15" hidden="1">
      <c r="A26" s="170"/>
      <c r="B26" s="166" t="s">
        <v>2022</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20"/>
      <c r="Q26" s="309" t="str">
        <f t="shared" si="8"/>
        <v>朝向</v>
      </c>
      <c r="R26" s="376" t="s">
        <v>910</v>
      </c>
      <c r="S26" s="377">
        <f>F26</f>
        <v>100</v>
      </c>
      <c r="T26" s="376" t="s">
        <v>910</v>
      </c>
      <c r="U26" s="377">
        <f>H26</f>
        <v>100</v>
      </c>
      <c r="V26" s="376" t="s">
        <v>910</v>
      </c>
      <c r="W26" s="377">
        <f>J26</f>
        <v>100</v>
      </c>
      <c r="X26" s="371"/>
      <c r="Y26" s="3220"/>
      <c r="Z26" s="370" t="str">
        <f>Q26</f>
        <v>朝向</v>
      </c>
      <c r="AA26" s="382">
        <f t="shared" si="3"/>
        <v>1</v>
      </c>
      <c r="AB26" s="382">
        <f t="shared" si="4"/>
        <v>1</v>
      </c>
      <c r="AC26" s="382">
        <f t="shared" si="5"/>
        <v>1</v>
      </c>
    </row>
    <row r="27" spans="1:29" s="2855" customFormat="1" ht="15.75" thickBot="1">
      <c r="A27" s="2873"/>
      <c r="B27" s="2874" t="s">
        <v>2023</v>
      </c>
      <c r="C27" s="2875" t="s">
        <v>2275</v>
      </c>
      <c r="D27" s="2876">
        <v>100</v>
      </c>
      <c r="E27" s="2875" t="s">
        <v>2275</v>
      </c>
      <c r="F27" s="2877">
        <f>SUMIF(90:90,E27,91:91)-SUMIF(90:90,C27,91:91)+100</f>
        <v>100</v>
      </c>
      <c r="G27" s="2878" t="s">
        <v>2319</v>
      </c>
      <c r="H27" s="2876">
        <f>SUMIF(90:90,G27,91:91)-SUMIF(90:90,C27,91:91)+100</f>
        <v>100</v>
      </c>
      <c r="I27" s="2875" t="s">
        <v>2275</v>
      </c>
      <c r="J27" s="2876">
        <f>SUMIF(90:90,I27,91:91)-SUMIF(90:90,C27,91:91)+100</f>
        <v>100</v>
      </c>
      <c r="K27" s="2879"/>
      <c r="L27" s="2849"/>
      <c r="M27" s="2850"/>
      <c r="N27" s="2850"/>
      <c r="O27" s="2880"/>
      <c r="P27" s="3220"/>
      <c r="Q27" s="2881" t="str">
        <f t="shared" si="8"/>
        <v>道路级别</v>
      </c>
      <c r="R27" s="2851" t="s">
        <v>910</v>
      </c>
      <c r="S27" s="2852">
        <f>F27</f>
        <v>100</v>
      </c>
      <c r="T27" s="2851" t="s">
        <v>910</v>
      </c>
      <c r="U27" s="2852">
        <f>H27</f>
        <v>100</v>
      </c>
      <c r="V27" s="2851" t="s">
        <v>910</v>
      </c>
      <c r="W27" s="2852">
        <f>J27</f>
        <v>100</v>
      </c>
      <c r="X27" s="2853"/>
      <c r="Y27" s="3220"/>
      <c r="Z27" s="2882" t="str">
        <f>Q27</f>
        <v>道路级别</v>
      </c>
      <c r="AA27" s="2838">
        <f t="shared" si="3"/>
        <v>1</v>
      </c>
      <c r="AB27" s="2838">
        <f t="shared" si="4"/>
        <v>1</v>
      </c>
      <c r="AC27" s="2838">
        <f t="shared" si="5"/>
        <v>1</v>
      </c>
    </row>
    <row r="28" spans="1:29" ht="15.75" hidden="1" thickBot="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20"/>
      <c r="Q28" s="309">
        <f t="shared" si="8"/>
        <v>0</v>
      </c>
      <c r="R28" s="376" t="s">
        <v>910</v>
      </c>
      <c r="S28" s="377">
        <f t="shared" ref="S28:S46" si="9">F28</f>
        <v>100</v>
      </c>
      <c r="T28" s="376" t="s">
        <v>910</v>
      </c>
      <c r="U28" s="377">
        <f t="shared" ref="U28:U46" si="10">H28</f>
        <v>100</v>
      </c>
      <c r="V28" s="376" t="s">
        <v>910</v>
      </c>
      <c r="W28" s="377">
        <f t="shared" ref="W28:W46" si="11">J28</f>
        <v>100</v>
      </c>
      <c r="X28" s="371"/>
      <c r="Y28" s="3220"/>
      <c r="Z28" s="370">
        <f t="shared" ref="Z28:Z46" si="12">Q28</f>
        <v>0</v>
      </c>
      <c r="AA28" s="382">
        <f t="shared" si="3"/>
        <v>1</v>
      </c>
      <c r="AB28" s="382">
        <f t="shared" si="4"/>
        <v>1</v>
      </c>
      <c r="AC28" s="382">
        <f t="shared" si="5"/>
        <v>1</v>
      </c>
    </row>
    <row r="29" spans="1:29" ht="15.75" hidden="1" thickBot="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20"/>
      <c r="Q29" s="309">
        <f t="shared" si="8"/>
        <v>0</v>
      </c>
      <c r="R29" s="376" t="s">
        <v>910</v>
      </c>
      <c r="S29" s="377">
        <f t="shared" si="9"/>
        <v>100</v>
      </c>
      <c r="T29" s="376" t="s">
        <v>910</v>
      </c>
      <c r="U29" s="377">
        <f t="shared" si="10"/>
        <v>100</v>
      </c>
      <c r="V29" s="376" t="s">
        <v>910</v>
      </c>
      <c r="W29" s="377">
        <f t="shared" si="11"/>
        <v>100</v>
      </c>
      <c r="X29" s="371"/>
      <c r="Y29" s="3220"/>
      <c r="Z29" s="370">
        <f t="shared" si="12"/>
        <v>0</v>
      </c>
      <c r="AA29" s="382">
        <f t="shared" si="3"/>
        <v>1</v>
      </c>
      <c r="AB29" s="382">
        <f t="shared" si="4"/>
        <v>1</v>
      </c>
      <c r="AC29" s="382">
        <f t="shared" si="5"/>
        <v>1</v>
      </c>
    </row>
    <row r="30" spans="1:29" ht="15.75" hidden="1" thickBot="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20"/>
      <c r="Q30" s="309">
        <f t="shared" si="8"/>
        <v>0</v>
      </c>
      <c r="R30" s="376" t="s">
        <v>910</v>
      </c>
      <c r="S30" s="377">
        <f t="shared" si="9"/>
        <v>100</v>
      </c>
      <c r="T30" s="376" t="s">
        <v>910</v>
      </c>
      <c r="U30" s="377">
        <f t="shared" si="10"/>
        <v>100</v>
      </c>
      <c r="V30" s="376" t="s">
        <v>910</v>
      </c>
      <c r="W30" s="377">
        <f t="shared" si="11"/>
        <v>100</v>
      </c>
      <c r="X30" s="371"/>
      <c r="Y30" s="3220"/>
      <c r="Z30" s="370">
        <f t="shared" si="12"/>
        <v>0</v>
      </c>
      <c r="AA30" s="382">
        <f t="shared" si="3"/>
        <v>1</v>
      </c>
      <c r="AB30" s="382">
        <f t="shared" si="4"/>
        <v>1</v>
      </c>
      <c r="AC30" s="382">
        <f t="shared" si="5"/>
        <v>1</v>
      </c>
    </row>
    <row r="31" spans="1:29" ht="15.75" hidden="1" thickBot="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20"/>
      <c r="Q31" s="309">
        <f t="shared" si="8"/>
        <v>0</v>
      </c>
      <c r="R31" s="376" t="s">
        <v>910</v>
      </c>
      <c r="S31" s="377">
        <f t="shared" si="9"/>
        <v>100</v>
      </c>
      <c r="T31" s="376" t="s">
        <v>910</v>
      </c>
      <c r="U31" s="377">
        <f t="shared" si="10"/>
        <v>100</v>
      </c>
      <c r="V31" s="376" t="s">
        <v>910</v>
      </c>
      <c r="W31" s="377">
        <f t="shared" si="11"/>
        <v>100</v>
      </c>
      <c r="X31" s="371"/>
      <c r="Y31" s="3220"/>
      <c r="Z31" s="370">
        <f t="shared" si="12"/>
        <v>0</v>
      </c>
      <c r="AA31" s="382">
        <f t="shared" si="3"/>
        <v>1</v>
      </c>
      <c r="AB31" s="382">
        <f t="shared" si="4"/>
        <v>1</v>
      </c>
      <c r="AC31" s="382">
        <f t="shared" si="5"/>
        <v>1</v>
      </c>
    </row>
    <row r="32" spans="1:29" ht="15">
      <c r="A32" s="178" t="s">
        <v>933</v>
      </c>
      <c r="B32" s="161" t="s">
        <v>2025</v>
      </c>
      <c r="C32" s="538" t="s">
        <v>2068</v>
      </c>
      <c r="D32" s="212">
        <v>100</v>
      </c>
      <c r="E32" s="561" t="s">
        <v>2326</v>
      </c>
      <c r="F32" s="206">
        <f>SUMIF(100:100,E32,101:101)-SUMIF(100:100,C32,101:101)+100</f>
        <v>110</v>
      </c>
      <c r="G32" s="538" t="s">
        <v>2068</v>
      </c>
      <c r="H32" s="212">
        <f>SUMIF(100:100,G32,101:101)-SUMIF(100:100,C32,101:101)+100</f>
        <v>100</v>
      </c>
      <c r="I32" s="561" t="s">
        <v>2326</v>
      </c>
      <c r="J32" s="177">
        <f>SUMIF(100:100,I32,101:101)-SUMIF(100:100,C32,101:101)+100</f>
        <v>110</v>
      </c>
      <c r="K32" s="571">
        <v>10</v>
      </c>
      <c r="L32" s="317"/>
      <c r="M32" s="304"/>
      <c r="N32" s="304"/>
      <c r="O32" s="316"/>
      <c r="P32" s="3221" t="s">
        <v>932</v>
      </c>
      <c r="Q32" s="309" t="str">
        <f t="shared" si="8"/>
        <v>建筑类型</v>
      </c>
      <c r="R32" s="376" t="s">
        <v>910</v>
      </c>
      <c r="S32" s="377">
        <f t="shared" si="9"/>
        <v>110</v>
      </c>
      <c r="T32" s="376" t="s">
        <v>910</v>
      </c>
      <c r="U32" s="377">
        <f t="shared" si="10"/>
        <v>100</v>
      </c>
      <c r="V32" s="376" t="s">
        <v>910</v>
      </c>
      <c r="W32" s="377">
        <f t="shared" si="11"/>
        <v>110</v>
      </c>
      <c r="X32" s="371"/>
      <c r="Y32" s="3222" t="s">
        <v>932</v>
      </c>
      <c r="Z32" s="370" t="str">
        <f t="shared" si="12"/>
        <v>建筑类型</v>
      </c>
      <c r="AA32" s="382">
        <f t="shared" si="3"/>
        <v>0.90909090909090906</v>
      </c>
      <c r="AB32" s="382">
        <f t="shared" si="4"/>
        <v>1</v>
      </c>
      <c r="AC32" s="382">
        <f t="shared" si="5"/>
        <v>0.90909090909090906</v>
      </c>
    </row>
    <row r="33" spans="1:29" s="124" customFormat="1" ht="15">
      <c r="A33" s="214"/>
      <c r="B33" s="166" t="s">
        <v>2027</v>
      </c>
      <c r="C33" s="2883">
        <f>'数据-基础表'!B3</f>
        <v>36595.409999999996</v>
      </c>
      <c r="D33" s="168">
        <v>100</v>
      </c>
      <c r="E33" s="469">
        <v>680000</v>
      </c>
      <c r="F33" s="480">
        <f>LOOKUP(E33,103:103,104:104)-LOOKUP(C33,103:103,104:104)+100</f>
        <v>104</v>
      </c>
      <c r="G33" s="468">
        <v>810000</v>
      </c>
      <c r="H33" s="168">
        <f>LOOKUP(G33,103:103,104:104)-LOOKUP(C33,103:103,104:104)+100</f>
        <v>104</v>
      </c>
      <c r="I33" s="469">
        <v>160000</v>
      </c>
      <c r="J33" s="168">
        <f>LOOKUP(I33,103:103,104:104)-LOOKUP(C33,103:103,104:104)+100</f>
        <v>102</v>
      </c>
      <c r="K33" s="572"/>
      <c r="L33" s="315"/>
      <c r="M33" s="321"/>
      <c r="N33" s="321"/>
      <c r="O33" s="322"/>
      <c r="P33" s="3222"/>
      <c r="Q33" s="378" t="str">
        <f t="shared" si="8"/>
        <v>项目建筑规模</v>
      </c>
      <c r="R33" s="379" t="s">
        <v>910</v>
      </c>
      <c r="S33" s="380">
        <f t="shared" si="9"/>
        <v>104</v>
      </c>
      <c r="T33" s="379" t="s">
        <v>910</v>
      </c>
      <c r="U33" s="380">
        <f t="shared" si="10"/>
        <v>104</v>
      </c>
      <c r="V33" s="379" t="s">
        <v>910</v>
      </c>
      <c r="W33" s="380">
        <f t="shared" si="11"/>
        <v>102</v>
      </c>
      <c r="X33" s="381"/>
      <c r="Y33" s="3222"/>
      <c r="Z33" s="393" t="str">
        <f t="shared" si="12"/>
        <v>项目建筑规模</v>
      </c>
      <c r="AA33" s="382">
        <f t="shared" si="3"/>
        <v>0.96153846153846156</v>
      </c>
      <c r="AB33" s="382">
        <f t="shared" si="4"/>
        <v>0.96153846153846156</v>
      </c>
      <c r="AC33" s="382">
        <f t="shared" si="5"/>
        <v>0.98039215686274506</v>
      </c>
    </row>
    <row r="34" spans="1:29" ht="15">
      <c r="A34" s="218"/>
      <c r="B34" s="166" t="s">
        <v>2028</v>
      </c>
      <c r="C34" s="539" t="s">
        <v>2029</v>
      </c>
      <c r="D34" s="177">
        <v>100</v>
      </c>
      <c r="E34" s="540" t="s">
        <v>2029</v>
      </c>
      <c r="F34" s="206">
        <f>SUMIF(105:105,E34,106:106)-SUMIF(105:105,C34,106:106)+100</f>
        <v>100</v>
      </c>
      <c r="G34" s="539" t="s">
        <v>2029</v>
      </c>
      <c r="H34" s="177">
        <f>SUMIF(105:105,G34,106:106)-SUMIF(105:105,C34,106:106)+100</f>
        <v>100</v>
      </c>
      <c r="I34" s="540" t="s">
        <v>2029</v>
      </c>
      <c r="J34" s="177">
        <f>SUMIF(105:105,I34,106:106)-SUMIF(105:105,C34,106:106)+100</f>
        <v>100</v>
      </c>
      <c r="K34" s="571">
        <v>2</v>
      </c>
      <c r="L34" s="317"/>
      <c r="M34" s="304"/>
      <c r="N34" s="304"/>
      <c r="O34" s="316"/>
      <c r="P34" s="3222"/>
      <c r="Q34" s="309" t="str">
        <f t="shared" si="8"/>
        <v>建筑结构</v>
      </c>
      <c r="R34" s="376" t="s">
        <v>910</v>
      </c>
      <c r="S34" s="377">
        <f t="shared" si="9"/>
        <v>100</v>
      </c>
      <c r="T34" s="376" t="s">
        <v>910</v>
      </c>
      <c r="U34" s="377">
        <f t="shared" si="10"/>
        <v>100</v>
      </c>
      <c r="V34" s="376" t="s">
        <v>910</v>
      </c>
      <c r="W34" s="377">
        <f t="shared" si="11"/>
        <v>100</v>
      </c>
      <c r="X34" s="371"/>
      <c r="Y34" s="3222"/>
      <c r="Z34" s="370" t="str">
        <f t="shared" si="12"/>
        <v>建筑结构</v>
      </c>
      <c r="AA34" s="382">
        <f t="shared" si="3"/>
        <v>1</v>
      </c>
      <c r="AB34" s="382">
        <f t="shared" si="4"/>
        <v>1</v>
      </c>
      <c r="AC34" s="382">
        <f t="shared" si="5"/>
        <v>1</v>
      </c>
    </row>
    <row r="35" spans="1:29" ht="15">
      <c r="A35" s="218"/>
      <c r="B35" s="166" t="s">
        <v>2030</v>
      </c>
      <c r="C35" s="515" t="s">
        <v>2031</v>
      </c>
      <c r="D35" s="177">
        <v>100</v>
      </c>
      <c r="E35" s="560" t="s">
        <v>2031</v>
      </c>
      <c r="F35" s="206">
        <f>SUMIF(107:107,E35,108:108)-SUMIF(107:107,C35,108:108)+100</f>
        <v>100</v>
      </c>
      <c r="G35" s="515" t="s">
        <v>2333</v>
      </c>
      <c r="H35" s="177">
        <f>SUMIF(107:107,G35,108:108)-SUMIF(107:107,C35,108:108)+100</f>
        <v>103</v>
      </c>
      <c r="I35" s="560" t="s">
        <v>2031</v>
      </c>
      <c r="J35" s="177">
        <f>SUMIF(107:107,I35,108:108)-SUMIF(107:107,C35,108:108)+100</f>
        <v>100</v>
      </c>
      <c r="K35" s="571">
        <v>3</v>
      </c>
      <c r="L35" s="317"/>
      <c r="M35" s="304"/>
      <c r="N35" s="304"/>
      <c r="O35" s="316"/>
      <c r="P35" s="3222"/>
      <c r="Q35" s="309" t="str">
        <f t="shared" si="8"/>
        <v>建筑品质</v>
      </c>
      <c r="R35" s="376" t="s">
        <v>910</v>
      </c>
      <c r="S35" s="377">
        <f t="shared" si="9"/>
        <v>100</v>
      </c>
      <c r="T35" s="376" t="s">
        <v>910</v>
      </c>
      <c r="U35" s="377">
        <f t="shared" si="10"/>
        <v>103</v>
      </c>
      <c r="V35" s="376" t="s">
        <v>910</v>
      </c>
      <c r="W35" s="377">
        <f t="shared" si="11"/>
        <v>100</v>
      </c>
      <c r="X35" s="371"/>
      <c r="Y35" s="3222"/>
      <c r="Z35" s="370" t="str">
        <f t="shared" si="12"/>
        <v>建筑品质</v>
      </c>
      <c r="AA35" s="382">
        <f t="shared" si="3"/>
        <v>1</v>
      </c>
      <c r="AB35" s="382">
        <f t="shared" si="4"/>
        <v>0.970873786407767</v>
      </c>
      <c r="AC35" s="382">
        <f t="shared" si="5"/>
        <v>1</v>
      </c>
    </row>
    <row r="36" spans="1:29" ht="15">
      <c r="A36" s="218"/>
      <c r="B36" s="166" t="s">
        <v>2032</v>
      </c>
      <c r="C36" s="515" t="s">
        <v>2033</v>
      </c>
      <c r="D36" s="177">
        <v>100</v>
      </c>
      <c r="E36" s="560" t="s">
        <v>2033</v>
      </c>
      <c r="F36" s="206">
        <f>SUMIF(109:109,E36,110:110)-SUMIF(109:109,C36,110:110)+100</f>
        <v>100</v>
      </c>
      <c r="G36" s="515" t="s">
        <v>2033</v>
      </c>
      <c r="H36" s="177">
        <f>SUMIF(109:109,G36,110:110)-SUMIF(109:109,C36,110:110)+100</f>
        <v>100</v>
      </c>
      <c r="I36" s="560" t="s">
        <v>2033</v>
      </c>
      <c r="J36" s="177">
        <f>SUMIF(109:109,I36,110:110)-SUMIF(109:109,C36,110:110)+100</f>
        <v>100</v>
      </c>
      <c r="K36" s="571">
        <v>2</v>
      </c>
      <c r="L36" s="317"/>
      <c r="M36" s="304"/>
      <c r="N36" s="304"/>
      <c r="O36" s="316"/>
      <c r="P36" s="3222"/>
      <c r="Q36" s="309" t="str">
        <f t="shared" si="8"/>
        <v>公共部分装修</v>
      </c>
      <c r="R36" s="376" t="s">
        <v>910</v>
      </c>
      <c r="S36" s="377">
        <f t="shared" si="9"/>
        <v>100</v>
      </c>
      <c r="T36" s="376" t="s">
        <v>910</v>
      </c>
      <c r="U36" s="377">
        <f t="shared" si="10"/>
        <v>100</v>
      </c>
      <c r="V36" s="376" t="s">
        <v>910</v>
      </c>
      <c r="W36" s="377">
        <f t="shared" si="11"/>
        <v>100</v>
      </c>
      <c r="X36" s="371"/>
      <c r="Y36" s="3222"/>
      <c r="Z36" s="370" t="str">
        <f t="shared" si="12"/>
        <v>公共部分装修</v>
      </c>
      <c r="AA36" s="382">
        <f t="shared" si="3"/>
        <v>1</v>
      </c>
      <c r="AB36" s="382">
        <f t="shared" si="4"/>
        <v>1</v>
      </c>
      <c r="AC36" s="382">
        <f t="shared" si="5"/>
        <v>1</v>
      </c>
    </row>
    <row r="37" spans="1:29" s="122" customFormat="1" ht="15">
      <c r="A37" s="221"/>
      <c r="B37" s="166" t="s">
        <v>2034</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22"/>
      <c r="Q37" s="375" t="str">
        <f t="shared" si="8"/>
        <v>成新度</v>
      </c>
      <c r="R37" s="372" t="s">
        <v>910</v>
      </c>
      <c r="S37" s="373">
        <f t="shared" si="9"/>
        <v>100</v>
      </c>
      <c r="T37" s="372" t="s">
        <v>910</v>
      </c>
      <c r="U37" s="373">
        <f t="shared" si="10"/>
        <v>100</v>
      </c>
      <c r="V37" s="372" t="s">
        <v>910</v>
      </c>
      <c r="W37" s="373">
        <f t="shared" si="11"/>
        <v>100</v>
      </c>
      <c r="X37" s="374"/>
      <c r="Y37" s="3222"/>
      <c r="Z37" s="392" t="str">
        <f t="shared" si="12"/>
        <v>成新度</v>
      </c>
      <c r="AA37" s="391">
        <f t="shared" si="3"/>
        <v>1</v>
      </c>
      <c r="AB37" s="391">
        <f t="shared" si="4"/>
        <v>1</v>
      </c>
      <c r="AC37" s="391">
        <f t="shared" si="5"/>
        <v>1</v>
      </c>
    </row>
    <row r="38" spans="1:29" ht="15">
      <c r="A38" s="218"/>
      <c r="B38" s="166" t="s">
        <v>2035</v>
      </c>
      <c r="C38" s="515" t="s">
        <v>2036</v>
      </c>
      <c r="D38" s="177">
        <v>100</v>
      </c>
      <c r="E38" s="560" t="s">
        <v>2036</v>
      </c>
      <c r="F38" s="206">
        <f>SUMIF(114:114,E38,115:115)-SUMIF(114:114,C38,115:115)+100</f>
        <v>100</v>
      </c>
      <c r="G38" s="515" t="s">
        <v>2036</v>
      </c>
      <c r="H38" s="177">
        <f>SUMIF(114:114,G38,115:115)-SUMIF(114:114,C38,115:115)+100</f>
        <v>100</v>
      </c>
      <c r="I38" s="560" t="s">
        <v>2036</v>
      </c>
      <c r="J38" s="177">
        <f>SUMIF(114:114,I38,115:115)-SUMIF(114:114,C38,115:115)+100</f>
        <v>100</v>
      </c>
      <c r="K38" s="571">
        <v>3</v>
      </c>
      <c r="L38" s="317"/>
      <c r="M38" s="304"/>
      <c r="N38" s="304"/>
      <c r="O38" s="316"/>
      <c r="P38" s="3222" t="s">
        <v>932</v>
      </c>
      <c r="Q38" s="309" t="str">
        <f t="shared" si="8"/>
        <v>物业管理</v>
      </c>
      <c r="R38" s="376" t="s">
        <v>910</v>
      </c>
      <c r="S38" s="377">
        <f t="shared" si="9"/>
        <v>100</v>
      </c>
      <c r="T38" s="376" t="s">
        <v>910</v>
      </c>
      <c r="U38" s="377">
        <f t="shared" si="10"/>
        <v>100</v>
      </c>
      <c r="V38" s="376" t="s">
        <v>910</v>
      </c>
      <c r="W38" s="377">
        <f t="shared" si="11"/>
        <v>100</v>
      </c>
      <c r="X38" s="371"/>
      <c r="Y38" s="3222" t="s">
        <v>932</v>
      </c>
      <c r="Z38" s="370" t="str">
        <f t="shared" si="12"/>
        <v>物业管理</v>
      </c>
      <c r="AA38" s="382">
        <f t="shared" si="3"/>
        <v>1</v>
      </c>
      <c r="AB38" s="382">
        <f t="shared" si="4"/>
        <v>1</v>
      </c>
      <c r="AC38" s="382">
        <f t="shared" si="5"/>
        <v>1</v>
      </c>
    </row>
    <row r="39" spans="1:29" ht="15">
      <c r="A39" s="218"/>
      <c r="B39" s="481" t="s">
        <v>2037</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22"/>
      <c r="Q39" s="309" t="str">
        <f t="shared" si="8"/>
        <v>市政基础设施</v>
      </c>
      <c r="R39" s="376" t="s">
        <v>910</v>
      </c>
      <c r="S39" s="377">
        <f t="shared" si="9"/>
        <v>100</v>
      </c>
      <c r="T39" s="376" t="s">
        <v>910</v>
      </c>
      <c r="U39" s="377">
        <f t="shared" si="10"/>
        <v>100</v>
      </c>
      <c r="V39" s="376" t="s">
        <v>910</v>
      </c>
      <c r="W39" s="377">
        <f t="shared" si="11"/>
        <v>100</v>
      </c>
      <c r="X39" s="371"/>
      <c r="Y39" s="3222"/>
      <c r="Z39" s="370" t="str">
        <f t="shared" si="12"/>
        <v>市政基础设施</v>
      </c>
      <c r="AA39" s="382">
        <f t="shared" si="3"/>
        <v>1</v>
      </c>
      <c r="AB39" s="382">
        <f t="shared" si="4"/>
        <v>1</v>
      </c>
      <c r="AC39" s="382">
        <f t="shared" si="5"/>
        <v>1</v>
      </c>
    </row>
    <row r="40" spans="1:29" ht="15" hidden="1">
      <c r="A40" s="218"/>
      <c r="B40" s="166" t="s">
        <v>2038</v>
      </c>
      <c r="C40" s="515" t="s">
        <v>2039</v>
      </c>
      <c r="D40" s="177">
        <v>100</v>
      </c>
      <c r="E40" s="560" t="s">
        <v>2039</v>
      </c>
      <c r="F40" s="206">
        <f>SUMIF(118:118,E40,119:119)-SUMIF(118:118,C40,119:119)+100</f>
        <v>100</v>
      </c>
      <c r="G40" s="515" t="s">
        <v>2039</v>
      </c>
      <c r="H40" s="177">
        <f>SUMIF(118:118,G40,119:119)-SUMIF(118:118,C40,119:119)+100</f>
        <v>100</v>
      </c>
      <c r="I40" s="560" t="s">
        <v>2039</v>
      </c>
      <c r="J40" s="177">
        <f>SUMIF(118:118,I40,119:119)-SUMIF(118:118,C40,119:119)+100</f>
        <v>100</v>
      </c>
      <c r="K40" s="571">
        <v>5</v>
      </c>
      <c r="L40" s="317"/>
      <c r="M40" s="304"/>
      <c r="N40" s="304"/>
      <c r="O40" s="316"/>
      <c r="P40" s="3222"/>
      <c r="Q40" s="309" t="str">
        <f t="shared" si="8"/>
        <v>房型</v>
      </c>
      <c r="R40" s="376" t="s">
        <v>910</v>
      </c>
      <c r="S40" s="377">
        <f t="shared" si="9"/>
        <v>100</v>
      </c>
      <c r="T40" s="376" t="s">
        <v>910</v>
      </c>
      <c r="U40" s="377">
        <f t="shared" si="10"/>
        <v>100</v>
      </c>
      <c r="V40" s="376" t="s">
        <v>910</v>
      </c>
      <c r="W40" s="377">
        <f t="shared" si="11"/>
        <v>100</v>
      </c>
      <c r="X40" s="371"/>
      <c r="Y40" s="3222"/>
      <c r="Z40" s="370" t="str">
        <f t="shared" si="12"/>
        <v>房型</v>
      </c>
      <c r="AA40" s="382">
        <f t="shared" si="3"/>
        <v>1</v>
      </c>
      <c r="AB40" s="382">
        <f t="shared" si="4"/>
        <v>1</v>
      </c>
      <c r="AC40" s="382">
        <f t="shared" si="5"/>
        <v>1</v>
      </c>
    </row>
    <row r="41" spans="1:29" s="124" customFormat="1" ht="28.5">
      <c r="A41" s="214"/>
      <c r="B41" s="166" t="s">
        <v>2040</v>
      </c>
      <c r="C41" s="173" t="s">
        <v>2329</v>
      </c>
      <c r="D41" s="168">
        <v>100</v>
      </c>
      <c r="E41" s="469" t="s">
        <v>2330</v>
      </c>
      <c r="F41" s="480">
        <f>SUMIF(120:120,E41,121:121)-SUMIF(120:120,C41,121:121)+100</f>
        <v>100</v>
      </c>
      <c r="G41" s="468" t="s">
        <v>2330</v>
      </c>
      <c r="H41" s="168">
        <f>SUMIF(120:120,G41,121:121)-SUMIF(120:120,C41,121:121)+100</f>
        <v>100</v>
      </c>
      <c r="I41" s="577" t="s">
        <v>2330</v>
      </c>
      <c r="J41" s="177">
        <f>SUMIF(120:120,I41,121:121)-SUMIF(120:120,C41,121:121)+100</f>
        <v>100</v>
      </c>
      <c r="K41" s="572"/>
      <c r="L41" s="315"/>
      <c r="M41" s="321"/>
      <c r="N41" s="321"/>
      <c r="O41" s="322"/>
      <c r="P41" s="3222"/>
      <c r="Q41" s="378" t="str">
        <f t="shared" si="8"/>
        <v>单套/主力户型建筑面积</v>
      </c>
      <c r="R41" s="379" t="s">
        <v>910</v>
      </c>
      <c r="S41" s="380">
        <f t="shared" si="9"/>
        <v>100</v>
      </c>
      <c r="T41" s="379" t="s">
        <v>910</v>
      </c>
      <c r="U41" s="380">
        <f t="shared" si="10"/>
        <v>100</v>
      </c>
      <c r="V41" s="379" t="s">
        <v>910</v>
      </c>
      <c r="W41" s="380">
        <f t="shared" si="11"/>
        <v>100</v>
      </c>
      <c r="X41" s="381"/>
      <c r="Y41" s="3222"/>
      <c r="Z41" s="393" t="str">
        <f t="shared" si="12"/>
        <v>单套/主力户型建筑面积</v>
      </c>
      <c r="AA41" s="382">
        <f t="shared" si="3"/>
        <v>1</v>
      </c>
      <c r="AB41" s="382">
        <f t="shared" si="4"/>
        <v>1</v>
      </c>
      <c r="AC41" s="382">
        <f t="shared" si="5"/>
        <v>1</v>
      </c>
    </row>
    <row r="42" spans="1:29" ht="15">
      <c r="A42" s="218"/>
      <c r="B42" s="166" t="s">
        <v>2041</v>
      </c>
      <c r="C42" s="515" t="s">
        <v>2318</v>
      </c>
      <c r="D42" s="177">
        <v>100</v>
      </c>
      <c r="E42" s="560" t="s">
        <v>2325</v>
      </c>
      <c r="F42" s="206">
        <f>SUMIF(122:122,E42,123:123)-SUMIF(122:122,C42,123:123)+100</f>
        <v>94</v>
      </c>
      <c r="G42" s="515" t="s">
        <v>2325</v>
      </c>
      <c r="H42" s="177">
        <f>SUMIF(122:122,G42,123:123)-SUMIF(122:122,C42,123:123)+100</f>
        <v>94</v>
      </c>
      <c r="I42" s="560" t="s">
        <v>2325</v>
      </c>
      <c r="J42" s="177">
        <f>SUMIF(122:122,I42,123:123)-SUMIF(122:122,C42,123:123)+100</f>
        <v>94</v>
      </c>
      <c r="K42" s="571">
        <v>2</v>
      </c>
      <c r="L42" s="317"/>
      <c r="M42" s="304"/>
      <c r="N42" s="304"/>
      <c r="O42" s="316"/>
      <c r="P42" s="3222"/>
      <c r="Q42" s="309" t="str">
        <f t="shared" si="8"/>
        <v>内部装修</v>
      </c>
      <c r="R42" s="376" t="s">
        <v>910</v>
      </c>
      <c r="S42" s="377">
        <f t="shared" si="9"/>
        <v>94</v>
      </c>
      <c r="T42" s="376" t="s">
        <v>910</v>
      </c>
      <c r="U42" s="377">
        <f t="shared" si="10"/>
        <v>94</v>
      </c>
      <c r="V42" s="376" t="s">
        <v>910</v>
      </c>
      <c r="W42" s="377">
        <f t="shared" si="11"/>
        <v>94</v>
      </c>
      <c r="X42" s="371"/>
      <c r="Y42" s="3222"/>
      <c r="Z42" s="370" t="str">
        <f t="shared" si="12"/>
        <v>内部装修</v>
      </c>
      <c r="AA42" s="382">
        <f t="shared" si="3"/>
        <v>1.0638297872340425</v>
      </c>
      <c r="AB42" s="382">
        <f t="shared" si="4"/>
        <v>1.0638297872340425</v>
      </c>
      <c r="AC42" s="382">
        <f t="shared" si="5"/>
        <v>1.0638297872340425</v>
      </c>
    </row>
    <row r="43" spans="1:29" ht="27.75" thickBot="1">
      <c r="A43" s="218"/>
      <c r="B43" s="166" t="s">
        <v>155</v>
      </c>
      <c r="C43" s="515" t="s">
        <v>925</v>
      </c>
      <c r="D43" s="177">
        <v>100</v>
      </c>
      <c r="E43" s="560" t="s">
        <v>925</v>
      </c>
      <c r="F43" s="206">
        <f>SUMIF(124:124,E43,125:125)-SUMIF(124:124,C43,125:125)+100</f>
        <v>100</v>
      </c>
      <c r="G43" s="515" t="s">
        <v>925</v>
      </c>
      <c r="H43" s="177">
        <f>SUMIF(124:124,G43,125:125)-SUMIF(124:124,C43,125:125)+100</f>
        <v>100</v>
      </c>
      <c r="I43" s="560" t="s">
        <v>925</v>
      </c>
      <c r="J43" s="177">
        <f>SUMIF(124:124,I43,125:125)-SUMIF(124:124,C43,125:125)+100</f>
        <v>100</v>
      </c>
      <c r="K43" s="571">
        <v>0</v>
      </c>
      <c r="L43" s="317"/>
      <c r="M43" s="304"/>
      <c r="N43" s="304"/>
      <c r="O43" s="316"/>
      <c r="P43" s="3222"/>
      <c r="Q43" s="309" t="str">
        <f t="shared" si="8"/>
        <v>内部装修维护情况</v>
      </c>
      <c r="R43" s="376" t="s">
        <v>910</v>
      </c>
      <c r="S43" s="377">
        <f t="shared" si="9"/>
        <v>100</v>
      </c>
      <c r="T43" s="376" t="s">
        <v>910</v>
      </c>
      <c r="U43" s="377">
        <f t="shared" si="10"/>
        <v>100</v>
      </c>
      <c r="V43" s="376" t="s">
        <v>910</v>
      </c>
      <c r="W43" s="377">
        <f t="shared" si="11"/>
        <v>100</v>
      </c>
      <c r="X43" s="371"/>
      <c r="Y43" s="3222"/>
      <c r="Z43" s="370" t="str">
        <f t="shared" si="12"/>
        <v>内部装修维护情况</v>
      </c>
      <c r="AA43" s="382">
        <f t="shared" si="3"/>
        <v>1</v>
      </c>
      <c r="AB43" s="382">
        <f t="shared" si="4"/>
        <v>1</v>
      </c>
      <c r="AC43" s="382">
        <f t="shared" si="5"/>
        <v>1</v>
      </c>
    </row>
    <row r="44" spans="1:29" s="122" customFormat="1" ht="15.75" hidden="1" thickBot="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22"/>
      <c r="Q44" s="375">
        <f t="shared" si="8"/>
        <v>0</v>
      </c>
      <c r="R44" s="372" t="s">
        <v>910</v>
      </c>
      <c r="S44" s="373">
        <f t="shared" si="9"/>
        <v>100</v>
      </c>
      <c r="T44" s="372" t="s">
        <v>910</v>
      </c>
      <c r="U44" s="373">
        <f t="shared" si="10"/>
        <v>100</v>
      </c>
      <c r="V44" s="372" t="s">
        <v>910</v>
      </c>
      <c r="W44" s="373">
        <f t="shared" si="11"/>
        <v>100</v>
      </c>
      <c r="X44" s="374"/>
      <c r="Y44" s="3222"/>
      <c r="Z44" s="392">
        <f t="shared" si="12"/>
        <v>0</v>
      </c>
      <c r="AA44" s="391">
        <f t="shared" si="3"/>
        <v>1</v>
      </c>
      <c r="AB44" s="391">
        <f t="shared" si="4"/>
        <v>1</v>
      </c>
      <c r="AC44" s="391">
        <f t="shared" si="5"/>
        <v>1</v>
      </c>
    </row>
    <row r="45" spans="1:29" ht="15.75" hidden="1" thickBot="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22"/>
      <c r="Q45" s="309">
        <f t="shared" si="8"/>
        <v>0</v>
      </c>
      <c r="R45" s="376" t="s">
        <v>910</v>
      </c>
      <c r="S45" s="377">
        <f t="shared" si="9"/>
        <v>100</v>
      </c>
      <c r="T45" s="376" t="s">
        <v>910</v>
      </c>
      <c r="U45" s="377">
        <f t="shared" si="10"/>
        <v>100</v>
      </c>
      <c r="V45" s="376" t="s">
        <v>910</v>
      </c>
      <c r="W45" s="377">
        <f t="shared" si="11"/>
        <v>100</v>
      </c>
      <c r="X45" s="371"/>
      <c r="Y45" s="3222"/>
      <c r="Z45" s="370">
        <f t="shared" si="12"/>
        <v>0</v>
      </c>
      <c r="AA45" s="382">
        <f t="shared" si="3"/>
        <v>1</v>
      </c>
      <c r="AB45" s="382">
        <f t="shared" si="4"/>
        <v>1</v>
      </c>
      <c r="AC45" s="382">
        <f t="shared" si="5"/>
        <v>1</v>
      </c>
    </row>
    <row r="46" spans="1:29" ht="15.75" hidden="1" thickBot="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288"/>
      <c r="Q46" s="309">
        <f t="shared" si="8"/>
        <v>0</v>
      </c>
      <c r="R46" s="376" t="s">
        <v>910</v>
      </c>
      <c r="S46" s="377">
        <f t="shared" si="9"/>
        <v>100</v>
      </c>
      <c r="T46" s="376" t="s">
        <v>910</v>
      </c>
      <c r="U46" s="377">
        <f t="shared" si="10"/>
        <v>100</v>
      </c>
      <c r="V46" s="376" t="s">
        <v>910</v>
      </c>
      <c r="W46" s="377">
        <f t="shared" si="11"/>
        <v>100</v>
      </c>
      <c r="X46" s="371"/>
      <c r="Y46" s="3288"/>
      <c r="Z46" s="370">
        <f t="shared" si="12"/>
        <v>0</v>
      </c>
      <c r="AA46" s="382">
        <f t="shared" si="3"/>
        <v>1</v>
      </c>
      <c r="AB46" s="382">
        <f t="shared" si="4"/>
        <v>1</v>
      </c>
      <c r="AC46" s="382">
        <f t="shared" si="5"/>
        <v>1</v>
      </c>
    </row>
    <row r="47" spans="1:29" ht="15">
      <c r="A47" s="228" t="s">
        <v>2043</v>
      </c>
      <c r="B47" s="229"/>
      <c r="C47" s="230" t="s">
        <v>67</v>
      </c>
      <c r="D47" s="231"/>
      <c r="E47" s="232">
        <f>ROUND(30885*0.95,0)</f>
        <v>29341</v>
      </c>
      <c r="F47" s="233"/>
      <c r="G47" s="234">
        <f>ROUND(30000*0.98,0)</f>
        <v>29400</v>
      </c>
      <c r="H47" s="235"/>
      <c r="I47" s="232">
        <f>ROUND(28000*0.97,0)</f>
        <v>27160</v>
      </c>
      <c r="J47" s="235"/>
      <c r="K47" s="578"/>
      <c r="L47" s="324"/>
      <c r="M47" s="244"/>
      <c r="N47" s="304"/>
      <c r="O47" s="244"/>
      <c r="P47" s="3218" t="str">
        <f>A47</f>
        <v>成交单价（元/平方米）</v>
      </c>
      <c r="Q47" s="3218"/>
      <c r="R47" s="3287">
        <f>E47</f>
        <v>29341</v>
      </c>
      <c r="S47" s="3287"/>
      <c r="T47" s="3287">
        <f>G47</f>
        <v>29400</v>
      </c>
      <c r="U47" s="3287"/>
      <c r="V47" s="3287">
        <f>I47</f>
        <v>27160</v>
      </c>
      <c r="W47" s="3287"/>
      <c r="X47" s="255"/>
      <c r="Y47" s="394"/>
      <c r="Z47" s="255"/>
      <c r="AA47" s="255"/>
      <c r="AB47" s="255"/>
      <c r="AC47" s="255"/>
    </row>
    <row r="48" spans="1:29" ht="15.75" thickBot="1">
      <c r="A48" s="236" t="s">
        <v>943</v>
      </c>
      <c r="B48" s="237"/>
      <c r="C48" s="238">
        <f>R49</f>
        <v>27238</v>
      </c>
      <c r="D48" s="239"/>
      <c r="E48" s="240">
        <f>R48</f>
        <v>27015</v>
      </c>
      <c r="F48" s="240"/>
      <c r="G48" s="238">
        <f>T48</f>
        <v>29201</v>
      </c>
      <c r="H48" s="239"/>
      <c r="I48" s="240">
        <f>V48</f>
        <v>25497</v>
      </c>
      <c r="J48" s="239"/>
      <c r="K48" s="579"/>
      <c r="L48" s="324"/>
      <c r="M48" s="244"/>
      <c r="N48" s="244"/>
      <c r="O48" s="244"/>
      <c r="P48" s="3218" t="str">
        <f>A48</f>
        <v>比较价值（元/平方米）</v>
      </c>
      <c r="Q48" s="3218"/>
      <c r="R48" s="3287">
        <f>IF(F1="售价",ROUND(PRODUCT(R47,AA7:AA46),0),ROUND(PRODUCT(R47,AA7:AA46),1))</f>
        <v>27015</v>
      </c>
      <c r="S48" s="3287"/>
      <c r="T48" s="3287">
        <f>IF(F1="售价",ROUND(PRODUCT(T47,AB7:AB46),0),ROUND(PRODUCT(T47,AB7:AB46),1))</f>
        <v>29201</v>
      </c>
      <c r="U48" s="3287"/>
      <c r="V48" s="3287">
        <f>IF(F1="售价",ROUND(PRODUCT(V47,AC7:AC46),0),ROUND(PRODUCT(V47,AC7:AC46),1))</f>
        <v>25497</v>
      </c>
      <c r="W48" s="3287"/>
      <c r="X48" s="255"/>
      <c r="Y48" s="255"/>
      <c r="Z48" s="255"/>
      <c r="AA48" s="255"/>
      <c r="AB48" s="255"/>
      <c r="AC48" s="255"/>
    </row>
    <row r="49" spans="1:29" ht="15.75" thickBot="1">
      <c r="A49" s="241" t="s">
        <v>944</v>
      </c>
      <c r="B49" s="242"/>
      <c r="C49" s="243">
        <f>R49</f>
        <v>27238</v>
      </c>
      <c r="D49" s="243"/>
      <c r="E49" s="243"/>
      <c r="F49" s="243"/>
      <c r="G49" s="243"/>
      <c r="H49" s="243"/>
      <c r="I49" s="243"/>
      <c r="J49" s="243"/>
      <c r="K49" s="580"/>
      <c r="L49" s="324"/>
      <c r="M49" s="244"/>
      <c r="N49" s="244"/>
      <c r="O49" s="244"/>
      <c r="P49" s="3224" t="str">
        <f>A49</f>
        <v>估价对象XX用房的比较价值（楼面单价，元/平方米）</v>
      </c>
      <c r="Q49" s="3225"/>
      <c r="R49" s="3289">
        <f>IF(F1="售价",ROUND(AVERAGE(R48:V48),0),ROUND(AVERAGE(R48:V48),1))</f>
        <v>27238</v>
      </c>
      <c r="S49" s="3289"/>
      <c r="T49" s="3289"/>
      <c r="U49" s="3289"/>
      <c r="V49" s="3289"/>
      <c r="W49" s="3289"/>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945</v>
      </c>
      <c r="D52" s="247"/>
      <c r="E52" s="248">
        <f>IF(E47&lt;E48,E48/E47-1,E47/E48-1)</f>
        <v>8.6100314640014775E-2</v>
      </c>
      <c r="F52" s="249" t="str">
        <f>IF(OR(E52&gt;=0.3,E52&lt;=-0.3),"超过30%","")</f>
        <v/>
      </c>
      <c r="G52" s="248">
        <f>IF(G47&lt;G48,G48/G47-1,G47/G48-1)</f>
        <v>6.8148351083867631E-3</v>
      </c>
      <c r="H52" s="249" t="str">
        <f>IF(OR(G52&gt;=0.3,G52&lt;=-0.3),"超过30%","")</f>
        <v/>
      </c>
      <c r="I52" s="248">
        <f>IF(I47&lt;I48,I48/I47-1,I47/I48-1)</f>
        <v>6.5223359610934617E-2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946</v>
      </c>
      <c r="D53" s="250"/>
      <c r="E53" s="248">
        <f>IF(E48&lt;G48,G48/E48-1,E48/G48-1)</f>
        <v>8.0918008513788608E-2</v>
      </c>
      <c r="F53" s="249" t="str">
        <f>IF(OR(E53&gt;=0.2,E53&lt;=-0.2),"超过20%","")</f>
        <v/>
      </c>
      <c r="G53" s="248">
        <f>IF(G48&lt;I48,I48/G48-1,G48/I48-1)</f>
        <v>0.1452719927834647</v>
      </c>
      <c r="H53" s="249" t="str">
        <f>IF(OR(G53&gt;=0.2,G53&lt;=-0.2),"超过20%","")</f>
        <v/>
      </c>
      <c r="I53" s="248">
        <f>IF(I48&lt;E48,E48/I48-1,I48/E48-1)</f>
        <v>5.9536416048946883E-2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947</v>
      </c>
      <c r="D54" s="250"/>
      <c r="E54" s="248">
        <f>IF(E47&lt;G47,G47/E47-1,E47/G47-1)</f>
        <v>2.0108380764118916E-3</v>
      </c>
      <c r="F54" s="249" t="str">
        <f>IF(OR(E54&gt;=0.3,E54&lt;=-0.3),"超过30%","")</f>
        <v/>
      </c>
      <c r="G54" s="248">
        <f>IF(G47&lt;I47,I47/G47-1,G47/I47-1)</f>
        <v>8.247422680412364E-2</v>
      </c>
      <c r="H54" s="249" t="str">
        <f>IF(OR(G54&gt;=0.3,G54&lt;=-0.3),"超过30%","")</f>
        <v/>
      </c>
      <c r="I54" s="248">
        <f>IF(I47&lt;E47,E47/I47-1,I47/E47-1)</f>
        <v>8.0301914580265032E-2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969</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43040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982</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983</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984</v>
      </c>
      <c r="B63" s="275" t="s">
        <v>915</v>
      </c>
      <c r="C63" s="276" t="str">
        <f>C9</f>
        <v>住宅</v>
      </c>
      <c r="D63" s="277" t="s">
        <v>2044</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918</v>
      </c>
      <c r="C65" s="282" t="s">
        <v>2045</v>
      </c>
      <c r="D65" s="282" t="s">
        <v>2046</v>
      </c>
      <c r="E65" s="282" t="s">
        <v>2047</v>
      </c>
      <c r="F65" s="282" t="s">
        <v>2048</v>
      </c>
      <c r="G65" s="282" t="s">
        <v>2049</v>
      </c>
      <c r="H65" s="282" t="s">
        <v>2050</v>
      </c>
      <c r="I65" s="282" t="s">
        <v>2051</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922</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2020</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2021</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2022</v>
      </c>
      <c r="C88" s="289" t="s">
        <v>2052</v>
      </c>
      <c r="D88" s="289" t="s">
        <v>2053</v>
      </c>
      <c r="E88" s="289" t="s">
        <v>2054</v>
      </c>
      <c r="F88" s="524" t="s">
        <v>2055</v>
      </c>
      <c r="G88" s="289" t="s">
        <v>2056</v>
      </c>
      <c r="H88" s="289" t="s">
        <v>2057</v>
      </c>
      <c r="I88" s="289" t="s">
        <v>2058</v>
      </c>
      <c r="J88" s="289" t="s">
        <v>2059</v>
      </c>
      <c r="K88" s="289" t="s">
        <v>2060</v>
      </c>
      <c r="L88" s="289" t="s">
        <v>2061</v>
      </c>
      <c r="M88" s="412" t="s">
        <v>2062</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2063</v>
      </c>
      <c r="D90" s="289" t="s">
        <v>2064</v>
      </c>
      <c r="E90" s="289" t="s">
        <v>2065</v>
      </c>
      <c r="F90" s="289" t="s">
        <v>2024</v>
      </c>
      <c r="G90" s="289" t="s">
        <v>994</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933</v>
      </c>
      <c r="B100" s="275" t="s">
        <v>2025</v>
      </c>
      <c r="C100" s="584" t="s">
        <v>2066</v>
      </c>
      <c r="D100" s="277" t="s">
        <v>2067</v>
      </c>
      <c r="E100" s="584" t="s">
        <v>2068</v>
      </c>
      <c r="F100" s="584" t="s">
        <v>2069</v>
      </c>
      <c r="G100" s="584" t="s">
        <v>2070</v>
      </c>
      <c r="H100" s="584" t="s">
        <v>2026</v>
      </c>
      <c r="I100" s="584" t="s">
        <v>2071</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90</v>
      </c>
      <c r="E101" s="284">
        <f t="shared" si="18"/>
        <v>80</v>
      </c>
      <c r="F101" s="284">
        <f t="shared" si="18"/>
        <v>70</v>
      </c>
      <c r="G101" s="284">
        <f t="shared" si="18"/>
        <v>60</v>
      </c>
      <c r="H101" s="284">
        <f t="shared" si="18"/>
        <v>50</v>
      </c>
      <c r="I101" s="284">
        <f t="shared" si="18"/>
        <v>40</v>
      </c>
      <c r="J101" s="284">
        <f t="shared" si="18"/>
        <v>30</v>
      </c>
      <c r="K101" s="284">
        <f t="shared" si="18"/>
        <v>20</v>
      </c>
      <c r="L101" s="284">
        <f t="shared" si="18"/>
        <v>10</v>
      </c>
      <c r="M101" s="284">
        <f t="shared" si="18"/>
        <v>0</v>
      </c>
      <c r="N101" s="353"/>
      <c r="O101" s="353"/>
      <c r="P101" s="351"/>
      <c r="Q101" s="340"/>
      <c r="R101" s="244"/>
      <c r="S101" s="244"/>
      <c r="T101" s="244"/>
      <c r="U101" s="244"/>
      <c r="V101" s="244"/>
      <c r="W101" s="244"/>
      <c r="X101" s="244"/>
      <c r="Y101" s="244"/>
      <c r="Z101" s="244"/>
      <c r="AA101" s="244"/>
      <c r="AB101" s="244"/>
      <c r="AC101" s="244"/>
    </row>
    <row r="102" spans="1:29" ht="28.5">
      <c r="A102" s="278"/>
      <c r="B102" s="281" t="s">
        <v>2027</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2028</v>
      </c>
      <c r="C105" s="289" t="s">
        <v>2072</v>
      </c>
      <c r="D105" s="289" t="s">
        <v>2073</v>
      </c>
      <c r="E105" s="398" t="s">
        <v>2074</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2030</v>
      </c>
      <c r="C107" s="398" t="s">
        <v>2075</v>
      </c>
      <c r="D107" s="398" t="s">
        <v>2076</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97</v>
      </c>
      <c r="E108" s="284">
        <f t="shared" si="21"/>
        <v>94</v>
      </c>
      <c r="F108" s="284">
        <f t="shared" si="21"/>
        <v>91</v>
      </c>
      <c r="G108" s="284">
        <f t="shared" si="21"/>
        <v>88</v>
      </c>
      <c r="H108" s="284">
        <f t="shared" si="21"/>
        <v>85</v>
      </c>
      <c r="I108" s="284">
        <f t="shared" si="21"/>
        <v>82</v>
      </c>
      <c r="J108" s="284">
        <f t="shared" si="21"/>
        <v>79</v>
      </c>
      <c r="K108" s="284">
        <f t="shared" si="21"/>
        <v>76</v>
      </c>
      <c r="L108" s="284">
        <f t="shared" si="21"/>
        <v>73</v>
      </c>
      <c r="M108" s="284">
        <f t="shared" si="21"/>
        <v>70</v>
      </c>
      <c r="N108" s="353"/>
      <c r="O108" s="353"/>
      <c r="P108" s="351"/>
      <c r="Q108" s="340"/>
      <c r="R108" s="244"/>
      <c r="S108" s="244"/>
      <c r="T108" s="244"/>
      <c r="U108" s="244"/>
      <c r="V108" s="244"/>
      <c r="W108" s="244"/>
      <c r="X108" s="244"/>
      <c r="Y108" s="244"/>
      <c r="Z108" s="244"/>
      <c r="AA108" s="244"/>
      <c r="AB108" s="244"/>
      <c r="AC108" s="244"/>
    </row>
    <row r="109" spans="1:29">
      <c r="A109" s="402"/>
      <c r="B109" s="281" t="s">
        <v>2032</v>
      </c>
      <c r="C109" s="289" t="s">
        <v>2077</v>
      </c>
      <c r="D109" s="289" t="s">
        <v>2078</v>
      </c>
      <c r="E109" s="289" t="s">
        <v>2079</v>
      </c>
      <c r="F109" s="398" t="s">
        <v>2042</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2034</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2035</v>
      </c>
      <c r="C114" s="289" t="s">
        <v>2080</v>
      </c>
      <c r="D114" s="289" t="s">
        <v>2081</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2037</v>
      </c>
      <c r="C116" s="289" t="s">
        <v>1029</v>
      </c>
      <c r="D116" s="289" t="s">
        <v>1026</v>
      </c>
      <c r="E116" s="289" t="s">
        <v>2082</v>
      </c>
      <c r="F116" s="289" t="s">
        <v>1028</v>
      </c>
      <c r="G116" s="289" t="s">
        <v>1027</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2038</v>
      </c>
      <c r="C118" s="398" t="s">
        <v>2083</v>
      </c>
      <c r="D118" s="398" t="s">
        <v>2039</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2040</v>
      </c>
      <c r="C120" s="289" t="s">
        <v>2320</v>
      </c>
      <c r="D120" s="289" t="s">
        <v>2317</v>
      </c>
      <c r="E120" s="289"/>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99</v>
      </c>
      <c r="E121" s="280"/>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2041</v>
      </c>
      <c r="C122" s="289" t="s">
        <v>2077</v>
      </c>
      <c r="D122" s="289" t="s">
        <v>2078</v>
      </c>
      <c r="E122" s="289" t="s">
        <v>2079</v>
      </c>
      <c r="F122" s="398" t="s">
        <v>2042</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2084</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2085</v>
      </c>
      <c r="C137" s="596"/>
      <c r="D137" s="596"/>
      <c r="E137" s="596"/>
      <c r="F137" s="596"/>
      <c r="G137" s="597"/>
      <c r="H137" s="598"/>
      <c r="I137" s="626" t="s">
        <v>2086</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2087</v>
      </c>
      <c r="D138" s="600" t="s">
        <v>2088</v>
      </c>
      <c r="E138" s="601" t="s">
        <v>2089</v>
      </c>
      <c r="F138" s="602" t="s">
        <v>2090</v>
      </c>
      <c r="G138" s="600" t="s">
        <v>2088</v>
      </c>
      <c r="H138" s="603" t="s">
        <v>2089</v>
      </c>
      <c r="I138" s="628"/>
      <c r="J138" s="600" t="s">
        <v>2091</v>
      </c>
      <c r="K138" s="603" t="s">
        <v>2092</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2093</v>
      </c>
      <c r="E139" s="607">
        <v>100</v>
      </c>
      <c r="F139" s="608">
        <v>102.5</v>
      </c>
      <c r="G139" s="606" t="s">
        <v>2093</v>
      </c>
      <c r="H139" s="609">
        <v>105</v>
      </c>
      <c r="I139" s="629" t="s">
        <v>2094</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2095</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2096</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2097</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1169</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2098</v>
      </c>
      <c r="E144" s="613">
        <v>102</v>
      </c>
      <c r="F144" s="617">
        <v>100</v>
      </c>
      <c r="G144" s="616" t="s">
        <v>2098</v>
      </c>
      <c r="H144" s="615">
        <v>105</v>
      </c>
      <c r="I144" s="631" t="s">
        <v>1169</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2099</v>
      </c>
      <c r="C145" s="619">
        <f>ROUND(MAX(C139:C144)/MIN(C139:C144)-1,3)</f>
        <v>7.2999999999999995E-2</v>
      </c>
      <c r="D145" s="620"/>
      <c r="E145" s="620"/>
      <c r="F145" s="621" t="s">
        <v>2100</v>
      </c>
      <c r="G145" s="622"/>
      <c r="H145" s="623"/>
      <c r="I145" s="636" t="s">
        <v>1169</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2101</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2102</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1817</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797</v>
      </c>
      <c r="B2" s="50" t="e">
        <f ca="1">C40+J29+L46</f>
        <v>#DIV/0!</v>
      </c>
      <c r="C2" s="742"/>
      <c r="D2" s="743"/>
      <c r="E2" s="744"/>
      <c r="F2" s="744"/>
      <c r="G2" s="745"/>
      <c r="H2" s="742"/>
      <c r="I2" s="742"/>
      <c r="J2" s="742"/>
      <c r="K2" s="879"/>
      <c r="L2" s="742"/>
      <c r="M2" s="742"/>
    </row>
    <row r="3" spans="1:33" ht="18" customHeight="1">
      <c r="A3" s="746" t="s">
        <v>1818</v>
      </c>
      <c r="B3" s="747">
        <f ca="1">IF(ISERROR(B2*10000/F43),0,ROUND(B2*10000/F43,0))</f>
        <v>0</v>
      </c>
      <c r="C3" s="742"/>
      <c r="D3" s="743"/>
      <c r="E3" s="744"/>
      <c r="F3" s="744"/>
      <c r="G3" s="745"/>
      <c r="H3" s="748" t="s">
        <v>1715</v>
      </c>
      <c r="I3" s="880"/>
      <c r="J3" s="880"/>
      <c r="K3" s="881"/>
      <c r="L3" s="880"/>
      <c r="M3" s="880"/>
    </row>
    <row r="4" spans="1:33" ht="18" customHeight="1">
      <c r="A4" s="2973" t="s">
        <v>1716</v>
      </c>
      <c r="B4" s="2974" t="s">
        <v>1717</v>
      </c>
      <c r="C4" s="2974" t="s">
        <v>1718</v>
      </c>
      <c r="D4" s="2974" t="s">
        <v>1719</v>
      </c>
      <c r="E4" s="2975" t="s">
        <v>1720</v>
      </c>
      <c r="F4" s="2976"/>
      <c r="G4" s="753"/>
      <c r="H4" s="749" t="s">
        <v>1716</v>
      </c>
      <c r="I4" s="750" t="s">
        <v>1717</v>
      </c>
      <c r="J4" s="750" t="s">
        <v>1718</v>
      </c>
      <c r="K4" s="750" t="s">
        <v>1719</v>
      </c>
      <c r="L4" s="751" t="s">
        <v>1720</v>
      </c>
      <c r="M4" s="752"/>
    </row>
    <row r="5" spans="1:33" ht="18" customHeight="1">
      <c r="A5" s="2977">
        <v>1</v>
      </c>
      <c r="B5" s="755" t="s">
        <v>1721</v>
      </c>
      <c r="C5" s="1956">
        <f ca="1">C6+C10+C12</f>
        <v>0</v>
      </c>
      <c r="D5" s="2978" t="s">
        <v>1722</v>
      </c>
      <c r="E5" s="2979"/>
      <c r="F5" s="843"/>
      <c r="G5" s="753"/>
      <c r="H5" s="754">
        <v>1</v>
      </c>
      <c r="I5" s="755" t="s">
        <v>1721</v>
      </c>
      <c r="J5" s="756">
        <f ca="1">J6+J10+J12</f>
        <v>0</v>
      </c>
      <c r="K5" s="757" t="s">
        <v>1722</v>
      </c>
      <c r="L5" s="758"/>
      <c r="M5" s="759"/>
    </row>
    <row r="6" spans="1:33" ht="18" customHeight="1">
      <c r="A6" s="2980" t="s">
        <v>746</v>
      </c>
      <c r="B6" s="3280" t="s">
        <v>1723</v>
      </c>
      <c r="C6" s="2981">
        <f ca="1">ROUND(F6*F8*F7*(1-F9)/10000,0)</f>
        <v>0</v>
      </c>
      <c r="D6" s="882" t="s">
        <v>1819</v>
      </c>
      <c r="E6" s="2889" t="s">
        <v>1725</v>
      </c>
      <c r="F6" s="2982">
        <f ca="1">INDIRECT("'数据-取费表'!u"&amp;$G$1)</f>
        <v>0</v>
      </c>
      <c r="G6" s="753"/>
      <c r="H6" s="764" t="s">
        <v>746</v>
      </c>
      <c r="I6" s="3280" t="s">
        <v>1723</v>
      </c>
      <c r="J6" s="761">
        <f ca="1">ROUND(M6*M8*M7*(1-M9)/10000,0)</f>
        <v>0</v>
      </c>
      <c r="K6" s="831" t="s">
        <v>1820</v>
      </c>
      <c r="L6" s="762" t="s">
        <v>1725</v>
      </c>
      <c r="M6" s="763">
        <f ca="1">INDIRECT("'数据-取费表'!z"&amp;$G$1)</f>
        <v>0</v>
      </c>
    </row>
    <row r="7" spans="1:33" ht="18" customHeight="1">
      <c r="A7" s="2983"/>
      <c r="B7" s="3281"/>
      <c r="C7" s="2984"/>
      <c r="D7" s="2985"/>
      <c r="E7" s="2889" t="s">
        <v>1726</v>
      </c>
      <c r="F7" s="2982">
        <f ca="1">IF(INDIRECT("'数据-取费表'!ah"&amp;$G$1)="",INDIRECT("'数据-取费表'!k"&amp;$G$1),INDIRECT("'数据-取费表'!ah"&amp;$G$1))</f>
        <v>0</v>
      </c>
      <c r="G7" s="753"/>
      <c r="H7" s="768"/>
      <c r="I7" s="3281"/>
      <c r="J7" s="766"/>
      <c r="K7" s="767"/>
      <c r="L7" s="762" t="s">
        <v>1726</v>
      </c>
      <c r="M7" s="763">
        <f ca="1">F7</f>
        <v>0</v>
      </c>
    </row>
    <row r="8" spans="1:33" ht="18" customHeight="1">
      <c r="A8" s="2986"/>
      <c r="B8" s="3282"/>
      <c r="C8" s="2984"/>
      <c r="D8" s="2985"/>
      <c r="E8" s="2889" t="s">
        <v>1727</v>
      </c>
      <c r="F8" s="2982">
        <f ca="1">INDIRECT("'数据-取费表'!ai"&amp;$G$1)</f>
        <v>365</v>
      </c>
      <c r="G8" s="753"/>
      <c r="H8" s="768"/>
      <c r="I8" s="3282"/>
      <c r="J8" s="766"/>
      <c r="K8" s="767"/>
      <c r="L8" s="762" t="s">
        <v>1727</v>
      </c>
      <c r="M8" s="763">
        <f ca="1">INDIRECT("'数据-取费表'!ai"&amp;$G$1)</f>
        <v>365</v>
      </c>
    </row>
    <row r="9" spans="1:33" ht="18" customHeight="1">
      <c r="A9" s="2987"/>
      <c r="B9" s="3283"/>
      <c r="C9" s="2984"/>
      <c r="D9" s="2985"/>
      <c r="E9" s="2889" t="s">
        <v>1728</v>
      </c>
      <c r="F9" s="2988">
        <f ca="1">INDIRECT("'数据-取费表'!w"&amp;$G$1)</f>
        <v>0</v>
      </c>
      <c r="G9" s="753"/>
      <c r="H9" s="772"/>
      <c r="I9" s="3282"/>
      <c r="J9" s="766"/>
      <c r="K9" s="767"/>
      <c r="L9" s="814" t="s">
        <v>1728</v>
      </c>
      <c r="M9" s="781">
        <f ca="1">INDIRECT("'数据-取费表'!ab"&amp;$G$1)</f>
        <v>0</v>
      </c>
    </row>
    <row r="10" spans="1:33" ht="18" customHeight="1">
      <c r="A10" s="2980" t="s">
        <v>748</v>
      </c>
      <c r="B10" s="773" t="s">
        <v>1729</v>
      </c>
      <c r="C10" s="2989">
        <f ca="1">ROUND(IF(F10="押一",F6*F8*F7/12*F11,IF(F10="押二",F6*F8*F7/12*2*F11,IF(F10="押三",F6*F8*F7/12*3*F11,C11*F11)))/10000,0)</f>
        <v>0</v>
      </c>
      <c r="D10" s="773" t="s">
        <v>1730</v>
      </c>
      <c r="E10" s="2990" t="s">
        <v>1731</v>
      </c>
      <c r="F10" s="2991" t="s">
        <v>1733</v>
      </c>
      <c r="G10" s="753"/>
      <c r="H10" s="777" t="s">
        <v>748</v>
      </c>
      <c r="I10" s="882" t="s">
        <v>1729</v>
      </c>
      <c r="J10" s="761">
        <f>ROUND(IF(M10="押一",M6*M8*M7/12*M11,IF(M10="押二",M6*M8*M7/12*2*M11,IF(M10="押三",M6*M8*M7/12*3*M11,J11*M11)))/10000,0)</f>
        <v>0</v>
      </c>
      <c r="K10" s="774" t="s">
        <v>1730</v>
      </c>
      <c r="L10" s="775" t="s">
        <v>1731</v>
      </c>
      <c r="M10" s="776" t="s">
        <v>1732</v>
      </c>
    </row>
    <row r="11" spans="1:33" ht="18" customHeight="1">
      <c r="A11" s="2992"/>
      <c r="B11" s="779" t="s">
        <v>1734</v>
      </c>
      <c r="C11" s="2993"/>
      <c r="D11" s="2985"/>
      <c r="E11" s="2990" t="s">
        <v>553</v>
      </c>
      <c r="F11" s="2994">
        <f>'数据-取费表'!B39</f>
        <v>1.4999999999999999E-2</v>
      </c>
      <c r="G11" s="753"/>
      <c r="H11" s="782"/>
      <c r="I11" s="779" t="s">
        <v>1734</v>
      </c>
      <c r="J11" s="780"/>
      <c r="K11" s="883"/>
      <c r="L11" s="775" t="s">
        <v>553</v>
      </c>
      <c r="M11" s="884">
        <f>'数据-取费表'!B39</f>
        <v>1.4999999999999999E-2</v>
      </c>
    </row>
    <row r="12" spans="1:33" ht="18" customHeight="1">
      <c r="A12" s="2995" t="s">
        <v>805</v>
      </c>
      <c r="B12" s="784" t="s">
        <v>1735</v>
      </c>
      <c r="C12" s="2996"/>
      <c r="D12" s="2997"/>
      <c r="E12" s="2998"/>
      <c r="F12" s="2999"/>
      <c r="G12" s="753"/>
      <c r="H12" s="789" t="s">
        <v>805</v>
      </c>
      <c r="I12" s="885" t="s">
        <v>1735</v>
      </c>
      <c r="J12" s="886"/>
      <c r="K12" s="786"/>
      <c r="L12" s="787"/>
      <c r="M12" s="887"/>
    </row>
    <row r="13" spans="1:33" ht="18" customHeight="1">
      <c r="A13" s="3000">
        <v>2</v>
      </c>
      <c r="B13" s="840" t="s">
        <v>1739</v>
      </c>
      <c r="C13" s="3001">
        <f ca="1">ROUND(C29*F13,0)</f>
        <v>0</v>
      </c>
      <c r="D13" s="846" t="s">
        <v>1821</v>
      </c>
      <c r="E13" s="846" t="s">
        <v>1738</v>
      </c>
      <c r="F13" s="3002">
        <f ca="1">INDIRECT("'数据-取费表'!y"&amp;$G$1)</f>
        <v>0</v>
      </c>
      <c r="G13" s="753"/>
      <c r="H13" s="790">
        <v>2</v>
      </c>
      <c r="I13" s="791" t="s">
        <v>1739</v>
      </c>
      <c r="J13" s="888">
        <f ca="1">ROUND(J14*J15,0)</f>
        <v>0</v>
      </c>
      <c r="K13" s="822" t="s">
        <v>1737</v>
      </c>
      <c r="L13" s="889"/>
      <c r="M13" s="890"/>
    </row>
    <row r="14" spans="1:33" ht="18" customHeight="1">
      <c r="A14" s="3003" t="s">
        <v>760</v>
      </c>
      <c r="B14" s="2889" t="s">
        <v>812</v>
      </c>
      <c r="C14" s="2065">
        <f ca="1">INDIRECT("'数据-取费表'!m"&amp;$G$1)+INDIRECT("'数据-取费表'!t"&amp;$G$1)</f>
        <v>0</v>
      </c>
      <c r="D14" s="2885" t="s">
        <v>1740</v>
      </c>
      <c r="E14" s="2886"/>
      <c r="F14" s="3004"/>
      <c r="G14" s="753"/>
      <c r="H14" s="799" t="s">
        <v>746</v>
      </c>
      <c r="I14" s="762" t="s">
        <v>1741</v>
      </c>
      <c r="J14" s="52">
        <f ca="1">C29</f>
        <v>0</v>
      </c>
      <c r="K14" s="875"/>
      <c r="L14" s="891"/>
      <c r="M14" s="892"/>
    </row>
    <row r="15" spans="1:33" s="730" customFormat="1" ht="18" customHeight="1">
      <c r="A15" s="3003" t="s">
        <v>765</v>
      </c>
      <c r="B15" s="2889" t="s">
        <v>814</v>
      </c>
      <c r="C15" s="55">
        <f ca="1">ROUND(C14*F15,0)</f>
        <v>0</v>
      </c>
      <c r="D15" s="837" t="s">
        <v>1742</v>
      </c>
      <c r="E15" s="837" t="s">
        <v>1743</v>
      </c>
      <c r="F15" s="3005">
        <f>'数据-取费表'!B33</f>
        <v>0.03</v>
      </c>
      <c r="G15" s="802"/>
      <c r="H15" s="789" t="s">
        <v>748</v>
      </c>
      <c r="I15" s="819" t="s">
        <v>1738</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3" t="s">
        <v>768</v>
      </c>
      <c r="B16" s="2889" t="s">
        <v>817</v>
      </c>
      <c r="C16" s="55">
        <f ca="1">ROUND(INDIRECT("'数据-取费表'!m"&amp;$G$1)*F16,0)</f>
        <v>0</v>
      </c>
      <c r="D16" s="2889" t="s">
        <v>1742</v>
      </c>
      <c r="E16" s="2889" t="s">
        <v>1743</v>
      </c>
      <c r="F16" s="3006">
        <f ca="1">IF(INDIRECT("'数据-取费表'!c"&amp;$G$1)="住宅",'数据-取费表'!B34,0)</f>
        <v>0</v>
      </c>
      <c r="G16" s="753"/>
      <c r="H16" s="790" t="s">
        <v>1802</v>
      </c>
      <c r="I16" s="791" t="s">
        <v>1744</v>
      </c>
      <c r="J16" s="792">
        <f ca="1">ROUND(J17+J22+J23+J24,0)</f>
        <v>0</v>
      </c>
      <c r="K16" s="822" t="s">
        <v>1745</v>
      </c>
      <c r="L16" s="823"/>
      <c r="M16" s="759"/>
    </row>
    <row r="17" spans="1:33" s="730" customFormat="1" ht="18" customHeight="1">
      <c r="A17" s="3003" t="s">
        <v>1822</v>
      </c>
      <c r="B17" s="2889" t="s">
        <v>1746</v>
      </c>
      <c r="C17" s="55">
        <f ca="1">ROUND(F17*(F43+INDIRECT("'数据-取费表'!S"&amp;$G$1))/10000,0)</f>
        <v>0</v>
      </c>
      <c r="D17" s="2889" t="s">
        <v>1747</v>
      </c>
      <c r="E17" s="2889" t="s">
        <v>1748</v>
      </c>
      <c r="F17" s="977">
        <f>'数据-取费表'!B35</f>
        <v>200</v>
      </c>
      <c r="G17" s="802"/>
      <c r="H17" s="799" t="s">
        <v>746</v>
      </c>
      <c r="I17" s="762" t="s">
        <v>1749</v>
      </c>
      <c r="J17" s="52">
        <f ca="1">ROUND(IF(项目基本情况!B10="自然人",J6*M17,J18+J19+J20),0)</f>
        <v>0</v>
      </c>
      <c r="K17" s="796" t="s">
        <v>1750</v>
      </c>
      <c r="L17" s="826" t="s">
        <v>1751</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3" t="s">
        <v>1823</v>
      </c>
      <c r="B18" s="2889" t="s">
        <v>822</v>
      </c>
      <c r="C18" s="55">
        <f ca="1">ROUND(C14*F18,0)</f>
        <v>0</v>
      </c>
      <c r="D18" s="2889" t="s">
        <v>1742</v>
      </c>
      <c r="E18" s="2889" t="s">
        <v>1743</v>
      </c>
      <c r="F18" s="3006">
        <f>'数据-取费表'!B36</f>
        <v>1.4999999999999999E-2</v>
      </c>
      <c r="G18" s="802"/>
      <c r="H18" s="794" t="s">
        <v>760</v>
      </c>
      <c r="I18" s="762" t="s">
        <v>1752</v>
      </c>
      <c r="J18" s="52">
        <f ca="1">ROUND(J6*M18/1.05,1)</f>
        <v>0</v>
      </c>
      <c r="K18" s="826" t="s">
        <v>1753</v>
      </c>
      <c r="L18" s="762" t="s">
        <v>1743</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7" t="s">
        <v>746</v>
      </c>
      <c r="B19" s="2889" t="s">
        <v>1754</v>
      </c>
      <c r="C19" s="55">
        <f ca="1">SUM(C14:C18)</f>
        <v>0</v>
      </c>
      <c r="D19" s="3008" t="s">
        <v>1755</v>
      </c>
      <c r="E19" s="2887"/>
      <c r="F19" s="977"/>
      <c r="G19" s="753"/>
      <c r="H19" s="794" t="s">
        <v>765</v>
      </c>
      <c r="I19" s="762" t="s">
        <v>1756</v>
      </c>
      <c r="J19" s="52">
        <f ca="1">IF(K19="按租金收入计税",ROUND(J6*M19,1),ROUND(C29*F33*0.7,1))</f>
        <v>0</v>
      </c>
      <c r="K19" s="829" t="s">
        <v>1757</v>
      </c>
      <c r="L19" s="762" t="s">
        <v>1743</v>
      </c>
      <c r="M19" s="803">
        <f>IF(K19="按租金收入计税",'数据-取费表'!B51,'数据-取费表'!B50)</f>
        <v>1.2E-2</v>
      </c>
    </row>
    <row r="20" spans="1:33" s="730" customFormat="1" ht="18" customHeight="1">
      <c r="A20" s="3007" t="s">
        <v>748</v>
      </c>
      <c r="B20" s="2889" t="s">
        <v>1759</v>
      </c>
      <c r="C20" s="55">
        <f ca="1">ROUND(C19*F20,0)</f>
        <v>0</v>
      </c>
      <c r="D20" s="806" t="s">
        <v>1760</v>
      </c>
      <c r="E20" s="2889" t="s">
        <v>1743</v>
      </c>
      <c r="F20" s="3006">
        <f>'数据-取费表'!B37</f>
        <v>1.4999999999999999E-2</v>
      </c>
      <c r="G20" s="802"/>
      <c r="H20" s="807" t="s">
        <v>768</v>
      </c>
      <c r="I20" s="831" t="s">
        <v>1761</v>
      </c>
      <c r="J20" s="832">
        <f ca="1">ROUND(M20*M21/10000,0)</f>
        <v>0</v>
      </c>
      <c r="K20" s="833" t="s">
        <v>1762</v>
      </c>
      <c r="L20" s="762" t="s">
        <v>1763</v>
      </c>
      <c r="M20" s="811">
        <f>'数据-取费表'!B52</f>
        <v>10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7" t="s">
        <v>805</v>
      </c>
      <c r="B21" s="2889" t="s">
        <v>851</v>
      </c>
      <c r="C21" s="55" t="s">
        <v>67</v>
      </c>
      <c r="D21" s="806" t="s">
        <v>1824</v>
      </c>
      <c r="E21" s="2889" t="s">
        <v>1766</v>
      </c>
      <c r="F21" s="3006">
        <f>'数据-取费表'!B38</f>
        <v>2.5000000000000001E-2</v>
      </c>
      <c r="G21" s="802"/>
      <c r="H21" s="808"/>
      <c r="I21" s="835"/>
      <c r="J21" s="836"/>
      <c r="K21" s="837"/>
      <c r="L21" s="762" t="s">
        <v>1767</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7" t="s">
        <v>1825</v>
      </c>
      <c r="B22" s="2889" t="s">
        <v>1769</v>
      </c>
      <c r="C22" s="55"/>
      <c r="D22" s="3009" t="str">
        <f>IF(F23&lt;=1,"单利计息。","复利计息。")&amp;"建造成本、管理费用、销售费用产生的利息。"</f>
        <v>复利计息。建造成本、管理费用、销售费用产生的利息。</v>
      </c>
      <c r="E22" s="2887"/>
      <c r="F22" s="977"/>
      <c r="G22" s="753"/>
      <c r="H22" s="799" t="s">
        <v>748</v>
      </c>
      <c r="I22" s="762" t="s">
        <v>1770</v>
      </c>
      <c r="J22" s="52">
        <f ca="1">ROUND(J14*M22,0)</f>
        <v>0</v>
      </c>
      <c r="K22" s="826" t="s">
        <v>1771</v>
      </c>
      <c r="L22" s="762" t="s">
        <v>1743</v>
      </c>
      <c r="M22" s="838">
        <f ca="1">INDIRECT("'数据-取费表'!Ak"&amp;$G$1)</f>
        <v>0</v>
      </c>
    </row>
    <row r="23" spans="1:33" s="730" customFormat="1" ht="18" customHeight="1">
      <c r="A23" s="3003" t="s">
        <v>760</v>
      </c>
      <c r="B23" s="2889" t="s">
        <v>1772</v>
      </c>
      <c r="C23" s="55">
        <f ca="1">ROUND(IF('数据-取费表'!B22&lt;=1,(C19+C20)*F24*F23/2,(C19+C20)*(POWER((1+F24),F23/2)-1)),0)</f>
        <v>0</v>
      </c>
      <c r="D23" s="3010" t="str">
        <f>IF(F23&lt;=1,"(建造成本+管理费用)×利率×(建设周期÷2)","(建造成本+管理费用)×((1+利率)^(建设周期÷2)-1)")</f>
        <v>(建造成本+管理费用)×((1+利率)^(建设周期÷2)-1)</v>
      </c>
      <c r="E23" s="2889" t="s">
        <v>1773</v>
      </c>
      <c r="F23" s="3011">
        <f>'数据-取费表'!B20</f>
        <v>2</v>
      </c>
      <c r="G23" s="802"/>
      <c r="H23" s="799" t="s">
        <v>805</v>
      </c>
      <c r="I23" s="762" t="s">
        <v>1774</v>
      </c>
      <c r="J23" s="52">
        <f ca="1">ROUND(J13*M23,0)</f>
        <v>0</v>
      </c>
      <c r="K23" s="826" t="s">
        <v>1775</v>
      </c>
      <c r="L23" s="762" t="s">
        <v>1743</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3" t="s">
        <v>765</v>
      </c>
      <c r="B24" s="2889" t="s">
        <v>1776</v>
      </c>
      <c r="C24" s="55">
        <f>ROUND(IF('数据-取费表'!B22&lt;=1,F21*F24*F23/2,F21*(POWER((1+F24),F23/2)-1)),4)</f>
        <v>1.1999999999999999E-3</v>
      </c>
      <c r="D24" s="3010" t="str">
        <f>IF(F23&lt;=1,"销售费用×利率×(建设周期÷2)","销售费用×((1+利率)^(建设周期÷2)-1)")</f>
        <v>销售费用×((1+利率)^(建设周期÷2)-1)</v>
      </c>
      <c r="E24" s="2889" t="s">
        <v>1777</v>
      </c>
      <c r="F24" s="3012">
        <f>'数据-取费表'!B40</f>
        <v>4.7500000000000001E-2</v>
      </c>
      <c r="G24" s="802"/>
      <c r="H24" s="789" t="s">
        <v>1825</v>
      </c>
      <c r="I24" s="819" t="s">
        <v>1759</v>
      </c>
      <c r="J24" s="817">
        <f ca="1">ROUND(J6*M24,0)</f>
        <v>0</v>
      </c>
      <c r="K24" s="818" t="s">
        <v>1778</v>
      </c>
      <c r="L24" s="819" t="s">
        <v>1743</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3" t="s">
        <v>792</v>
      </c>
      <c r="B25" s="2889" t="s">
        <v>1780</v>
      </c>
      <c r="C25" s="55"/>
      <c r="D25" s="3008" t="s">
        <v>1781</v>
      </c>
      <c r="E25" s="2887"/>
      <c r="F25" s="977"/>
      <c r="G25" s="753"/>
      <c r="H25" s="790" t="s">
        <v>1826</v>
      </c>
      <c r="I25" s="840" t="s">
        <v>1782</v>
      </c>
      <c r="J25" s="792">
        <f ca="1">J5-J16</f>
        <v>0</v>
      </c>
      <c r="K25" s="841" t="s">
        <v>1783</v>
      </c>
      <c r="L25" s="842"/>
      <c r="M25" s="843"/>
    </row>
    <row r="26" spans="1:33" ht="18" customHeight="1">
      <c r="A26" s="3003" t="s">
        <v>760</v>
      </c>
      <c r="B26" s="2889" t="s">
        <v>1784</v>
      </c>
      <c r="C26" s="55">
        <f ca="1">ROUND((C19+C20)*F26,0)</f>
        <v>0</v>
      </c>
      <c r="D26" s="806" t="s">
        <v>1785</v>
      </c>
      <c r="E26" s="833" t="s">
        <v>1786</v>
      </c>
      <c r="F26" s="2988">
        <f ca="1">INDIRECT("'数据-取费表'!q"&amp;$G$1)</f>
        <v>0</v>
      </c>
      <c r="G26" s="753"/>
      <c r="H26" s="815" t="s">
        <v>1827</v>
      </c>
      <c r="I26" s="755" t="s">
        <v>1787</v>
      </c>
      <c r="J26" s="761">
        <f ca="1">IF(J6&lt;&gt;0,ROUND(J25*(1-((1+M28)/(1+M26))^M27)/(M26-M28),0),0)</f>
        <v>0</v>
      </c>
      <c r="K26" s="833" t="s">
        <v>1788</v>
      </c>
      <c r="L26" s="762" t="s">
        <v>1828</v>
      </c>
      <c r="M26" s="771">
        <f ca="1">INDIRECT("'数据-取费表'!I"&amp;$G$1)</f>
        <v>0</v>
      </c>
    </row>
    <row r="27" spans="1:33" ht="18" customHeight="1">
      <c r="A27" s="3003" t="s">
        <v>765</v>
      </c>
      <c r="B27" s="2889" t="s">
        <v>1790</v>
      </c>
      <c r="C27" s="55">
        <f ca="1">ROUND(F21*F26,4)</f>
        <v>0</v>
      </c>
      <c r="D27" s="806" t="s">
        <v>1791</v>
      </c>
      <c r="E27" s="837"/>
      <c r="F27" s="3005"/>
      <c r="G27" s="753"/>
      <c r="H27" s="816"/>
      <c r="I27" s="845"/>
      <c r="J27" s="766"/>
      <c r="K27" s="846" t="s">
        <v>1792</v>
      </c>
      <c r="L27" s="762" t="s">
        <v>1793</v>
      </c>
      <c r="M27" s="847">
        <f ca="1">INDIRECT("'数据-取费表'!ag"&amp;$G$1)</f>
        <v>0</v>
      </c>
    </row>
    <row r="28" spans="1:33" s="730" customFormat="1" ht="18" customHeight="1">
      <c r="A28" s="3013" t="s">
        <v>793</v>
      </c>
      <c r="B28" s="2889" t="s">
        <v>1795</v>
      </c>
      <c r="C28" s="55" t="s">
        <v>67</v>
      </c>
      <c r="D28" s="806" t="s">
        <v>1829</v>
      </c>
      <c r="E28" s="2889" t="s">
        <v>1743</v>
      </c>
      <c r="F28" s="3006">
        <f>'数据-取费表'!B41</f>
        <v>5.6000000000000001E-2</v>
      </c>
      <c r="G28" s="802"/>
      <c r="H28" s="790"/>
      <c r="I28" s="849"/>
      <c r="J28" s="792"/>
      <c r="K28" s="837"/>
      <c r="L28" s="762" t="s">
        <v>1797</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4" t="s">
        <v>881</v>
      </c>
      <c r="B29" s="2998" t="s">
        <v>1830</v>
      </c>
      <c r="C29" s="3015">
        <f ca="1">ROUND((C19+C20+C23+C26)/(1-F21-C24-C27-F28/1.05),0)</f>
        <v>0</v>
      </c>
      <c r="D29" s="818"/>
      <c r="E29" s="818"/>
      <c r="F29" s="3016"/>
      <c r="G29" s="802"/>
      <c r="H29" s="821" t="s">
        <v>1831</v>
      </c>
      <c r="I29" s="850" t="s">
        <v>1800</v>
      </c>
      <c r="J29" s="851">
        <f ca="1">ROUND(J26/(1+F40)^F41,0)</f>
        <v>0</v>
      </c>
      <c r="K29" s="852" t="s">
        <v>1801</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0" t="s">
        <v>1802</v>
      </c>
      <c r="B30" s="840" t="s">
        <v>1744</v>
      </c>
      <c r="C30" s="3001">
        <f ca="1">ROUND(C31+C36+C37+C38,0)</f>
        <v>0</v>
      </c>
      <c r="D30" s="841" t="s">
        <v>1745</v>
      </c>
      <c r="E30" s="842"/>
      <c r="F30" s="843"/>
      <c r="G30" s="824"/>
      <c r="H30" s="825"/>
      <c r="I30" s="898"/>
      <c r="J30" s="899"/>
      <c r="K30" s="900"/>
      <c r="L30" s="901"/>
      <c r="M30" s="902"/>
    </row>
    <row r="31" spans="1:33" ht="18" customHeight="1">
      <c r="A31" s="3007" t="s">
        <v>746</v>
      </c>
      <c r="B31" s="2889" t="s">
        <v>1749</v>
      </c>
      <c r="C31" s="55">
        <f ca="1">ROUND(IF(项目基本情况!B10="自然人",C6*F31,C32+C33+C34),1)</f>
        <v>0</v>
      </c>
      <c r="D31" s="2885" t="s">
        <v>1750</v>
      </c>
      <c r="E31" s="2889" t="s">
        <v>1751</v>
      </c>
      <c r="F31" s="827" t="str">
        <f ca="1">IF(项目基本情况!B10="企业","",IF(INDIRECT("'数据-取费表'!c"&amp;$G$1)="住宅",4.5%,IF(F6*F7*F8/12&gt;20000,11%,6%)))</f>
        <v/>
      </c>
      <c r="G31" s="824"/>
      <c r="H31" s="825"/>
      <c r="I31" s="898"/>
      <c r="J31" s="899"/>
      <c r="K31" s="900"/>
      <c r="L31" s="901"/>
      <c r="M31" s="902"/>
    </row>
    <row r="32" spans="1:33" ht="18" customHeight="1">
      <c r="A32" s="3003" t="s">
        <v>760</v>
      </c>
      <c r="B32" s="2889" t="s">
        <v>1752</v>
      </c>
      <c r="C32" s="55">
        <f ca="1">ROUND(C6*F32/1.05,1)</f>
        <v>0</v>
      </c>
      <c r="D32" s="2889" t="s">
        <v>1753</v>
      </c>
      <c r="E32" s="2889" t="s">
        <v>1743</v>
      </c>
      <c r="F32" s="3006">
        <f>'数据-取费表'!B41</f>
        <v>5.6000000000000001E-2</v>
      </c>
      <c r="G32" s="824"/>
      <c r="H32" s="828"/>
      <c r="I32" s="903"/>
      <c r="J32" s="904"/>
      <c r="K32" s="905"/>
      <c r="L32" s="906"/>
      <c r="M32" s="907"/>
    </row>
    <row r="33" spans="1:18" ht="18" customHeight="1">
      <c r="A33" s="3003" t="s">
        <v>765</v>
      </c>
      <c r="B33" s="2889" t="s">
        <v>1756</v>
      </c>
      <c r="C33" s="55">
        <f ca="1">IF(D33="按租金收入计税",ROUND(C6*F33,1),IF(D33="按房产原值计税",ROUND(C29*F33*0.7,1),INDIRECT("'数据-取费表'!Aj"&amp;$G$1)))</f>
        <v>0</v>
      </c>
      <c r="D33" s="829" t="s">
        <v>1832</v>
      </c>
      <c r="E33" s="2889" t="s">
        <v>1743</v>
      </c>
      <c r="F33" s="3006">
        <f>IF(D33="按租金收入计税",'数据-取费表'!B51,'数据-取费表'!B50)</f>
        <v>1.2E-2</v>
      </c>
      <c r="G33" s="824"/>
      <c r="H33" s="830"/>
      <c r="I33" s="830"/>
      <c r="J33" s="830"/>
      <c r="K33" s="908"/>
      <c r="L33" s="830"/>
      <c r="M33" s="830"/>
    </row>
    <row r="34" spans="1:18" ht="18" customHeight="1">
      <c r="A34" s="3017" t="s">
        <v>768</v>
      </c>
      <c r="B34" s="3018" t="s">
        <v>1761</v>
      </c>
      <c r="C34" s="1951">
        <f ca="1">ROUND(F34*F35/10000,1)</f>
        <v>0</v>
      </c>
      <c r="D34" s="833" t="s">
        <v>1762</v>
      </c>
      <c r="E34" s="2889" t="s">
        <v>1763</v>
      </c>
      <c r="F34" s="3011">
        <f>'数据-取费表'!B52</f>
        <v>10</v>
      </c>
      <c r="G34" s="824"/>
      <c r="H34" s="825"/>
      <c r="I34" s="909" t="s">
        <v>1833</v>
      </c>
      <c r="J34" s="910"/>
      <c r="K34" s="911"/>
      <c r="L34" s="912"/>
      <c r="M34" s="912"/>
    </row>
    <row r="35" spans="1:18" ht="18" customHeight="1">
      <c r="A35" s="3019"/>
      <c r="B35" s="3020"/>
      <c r="C35" s="1960"/>
      <c r="D35" s="837"/>
      <c r="E35" s="2889" t="s">
        <v>1767</v>
      </c>
      <c r="F35" s="2982">
        <f ca="1">INDIRECT("'数据-取费表'!r"&amp;$G$1)</f>
        <v>0</v>
      </c>
      <c r="G35" s="824"/>
      <c r="H35" s="825"/>
      <c r="I35" s="913" t="s">
        <v>1834</v>
      </c>
      <c r="J35" s="914">
        <f ca="1">ROUND(C13*J36,0)</f>
        <v>0</v>
      </c>
      <c r="K35" s="908"/>
      <c r="L35" s="830"/>
      <c r="M35" s="830"/>
    </row>
    <row r="36" spans="1:18" ht="18" customHeight="1">
      <c r="A36" s="3007" t="s">
        <v>748</v>
      </c>
      <c r="B36" s="2889" t="s">
        <v>1770</v>
      </c>
      <c r="C36" s="55">
        <f ca="1">ROUND(C29*F36,1)</f>
        <v>0</v>
      </c>
      <c r="D36" s="2889" t="s">
        <v>1805</v>
      </c>
      <c r="E36" s="2889" t="s">
        <v>1743</v>
      </c>
      <c r="F36" s="3021">
        <f ca="1">INDIRECT("'数据-取费表'!Ak"&amp;$G$1)</f>
        <v>0</v>
      </c>
      <c r="G36" s="824"/>
      <c r="H36" s="830"/>
      <c r="I36" s="915" t="s">
        <v>1835</v>
      </c>
      <c r="J36" s="916">
        <f ca="1">INDIRECT("'数据-取费表'!j"&amp;$G$1)</f>
        <v>0</v>
      </c>
      <c r="K36" s="917"/>
      <c r="L36" s="830"/>
      <c r="M36" s="830"/>
    </row>
    <row r="37" spans="1:18" ht="18" customHeight="1">
      <c r="A37" s="3007" t="s">
        <v>805</v>
      </c>
      <c r="B37" s="2889" t="s">
        <v>1774</v>
      </c>
      <c r="C37" s="55">
        <f ca="1">ROUND(C13*F37,1)</f>
        <v>0</v>
      </c>
      <c r="D37" s="2889" t="s">
        <v>1775</v>
      </c>
      <c r="E37" s="2889" t="s">
        <v>1743</v>
      </c>
      <c r="F37" s="3022">
        <f ca="1">INDIRECT("'数据-取费表'!Al"&amp;$G$1)</f>
        <v>0</v>
      </c>
      <c r="G37" s="824"/>
      <c r="H37" s="830"/>
      <c r="I37" s="918" t="s">
        <v>1836</v>
      </c>
      <c r="J37" s="919"/>
      <c r="K37" s="917"/>
      <c r="L37" s="830"/>
      <c r="M37" s="830"/>
    </row>
    <row r="38" spans="1:18" ht="18" customHeight="1">
      <c r="A38" s="3023" t="s">
        <v>1825</v>
      </c>
      <c r="B38" s="818" t="s">
        <v>1759</v>
      </c>
      <c r="C38" s="3015">
        <f ca="1">ROUND(C6*F38,1)</f>
        <v>0</v>
      </c>
      <c r="D38" s="818" t="s">
        <v>1778</v>
      </c>
      <c r="E38" s="818" t="s">
        <v>1743</v>
      </c>
      <c r="F38" s="2999">
        <f ca="1">INDIRECT("'数据-取费表'!Am"&amp;$G$1)</f>
        <v>0</v>
      </c>
      <c r="G38" s="824"/>
      <c r="H38" s="830"/>
      <c r="I38" s="920" t="s">
        <v>1837</v>
      </c>
      <c r="J38" s="921"/>
      <c r="K38" s="922"/>
      <c r="L38" s="830"/>
      <c r="M38" s="830"/>
    </row>
    <row r="39" spans="1:18" ht="24.6" customHeight="1">
      <c r="A39" s="3000" t="s">
        <v>1826</v>
      </c>
      <c r="B39" s="840" t="s">
        <v>1782</v>
      </c>
      <c r="C39" s="3001">
        <f ca="1">C5-C30</f>
        <v>0</v>
      </c>
      <c r="D39" s="841" t="s">
        <v>1783</v>
      </c>
      <c r="E39" s="842"/>
      <c r="F39" s="843"/>
      <c r="G39" s="824"/>
      <c r="H39" s="830"/>
      <c r="I39" s="913" t="s">
        <v>1838</v>
      </c>
      <c r="J39" s="923" t="e">
        <f ca="1">ROUND(J35/C39,3)</f>
        <v>#DIV/0!</v>
      </c>
      <c r="K39" s="922"/>
      <c r="L39" s="830"/>
      <c r="M39" s="830"/>
    </row>
    <row r="40" spans="1:18" ht="18" customHeight="1">
      <c r="A40" s="2977" t="s">
        <v>1827</v>
      </c>
      <c r="B40" s="844" t="s">
        <v>1839</v>
      </c>
      <c r="C40" s="2981" t="e">
        <f ca="1">ROUND(C39*(1-((1+F42)/(1+F40))^F41)/(F40-F42),0)</f>
        <v>#DIV/0!</v>
      </c>
      <c r="D40" s="833" t="s">
        <v>1788</v>
      </c>
      <c r="E40" s="2889" t="s">
        <v>1828</v>
      </c>
      <c r="F40" s="2988">
        <f ca="1">INDIRECT("'数据-取费表'!I"&amp;$G$1)</f>
        <v>0</v>
      </c>
      <c r="G40" s="824"/>
      <c r="H40" s="824"/>
      <c r="I40" s="913" t="s">
        <v>1840</v>
      </c>
      <c r="J40" s="923" t="e">
        <f ca="1">1-J39</f>
        <v>#DIV/0!</v>
      </c>
      <c r="K40" s="922"/>
      <c r="L40" s="824"/>
      <c r="M40" s="824"/>
    </row>
    <row r="41" spans="1:18" ht="18" customHeight="1">
      <c r="A41" s="2987"/>
      <c r="B41" s="845"/>
      <c r="C41" s="2984"/>
      <c r="D41" s="846" t="s">
        <v>1792</v>
      </c>
      <c r="E41" s="2889" t="s">
        <v>1793</v>
      </c>
      <c r="F41" s="3024">
        <f ca="1">IF(INDIRECT("'数据-取费表'!af"&amp;$G$1)=0,INDIRECT("'数据-取费表'!ae"&amp;$G$1),INDIRECT("'数据-取费表'!af"&amp;$G$1))</f>
        <v>0</v>
      </c>
      <c r="G41" s="824"/>
      <c r="H41" s="848"/>
      <c r="I41" s="920" t="s">
        <v>1841</v>
      </c>
      <c r="J41" s="632"/>
      <c r="K41" s="917"/>
      <c r="L41" s="848"/>
      <c r="M41" s="848"/>
    </row>
    <row r="42" spans="1:18" ht="18" customHeight="1">
      <c r="A42" s="2992"/>
      <c r="B42" s="849"/>
      <c r="C42" s="3001"/>
      <c r="D42" s="837"/>
      <c r="E42" s="2889" t="s">
        <v>1797</v>
      </c>
      <c r="F42" s="2988">
        <f ca="1">INDIRECT("'数据-取费表'!v"&amp;$G$1)</f>
        <v>0</v>
      </c>
      <c r="G42" s="824"/>
      <c r="H42" s="848"/>
      <c r="I42" s="924" t="s">
        <v>1842</v>
      </c>
      <c r="J42" s="923" t="e">
        <f ca="1">ROUND(C13/C40,3)</f>
        <v>#DIV/0!</v>
      </c>
      <c r="K42" s="917"/>
      <c r="L42" s="848"/>
      <c r="M42" s="848"/>
    </row>
    <row r="43" spans="1:18" ht="18" customHeight="1">
      <c r="A43" s="1992" t="s">
        <v>1831</v>
      </c>
      <c r="B43" s="3025" t="s">
        <v>1843</v>
      </c>
      <c r="C43" s="2022" t="e">
        <f ca="1">ROUND(C40*10000/F43,0)</f>
        <v>#DIV/0!</v>
      </c>
      <c r="D43" s="3026" t="s">
        <v>1844</v>
      </c>
      <c r="E43" s="2888" t="s">
        <v>1845</v>
      </c>
      <c r="F43" s="3027">
        <f ca="1">INDIRECT("'数据-取费表'!k"&amp;$G$1)</f>
        <v>0</v>
      </c>
      <c r="G43" s="824"/>
      <c r="H43" s="848"/>
      <c r="I43" s="924" t="s">
        <v>1846</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1847</v>
      </c>
      <c r="B46" s="855"/>
      <c r="C46" s="858" t="e">
        <f ca="1">C67-C40</f>
        <v>#DIV/0!</v>
      </c>
      <c r="D46" s="855"/>
      <c r="E46" s="855"/>
      <c r="F46" s="855"/>
      <c r="I46" s="927" t="s">
        <v>1848</v>
      </c>
      <c r="J46" s="928"/>
      <c r="K46" s="929"/>
      <c r="L46" s="930">
        <f ca="1">IF(M47="住宅",0,IF(L48&gt;J51,L60,J60))</f>
        <v>0</v>
      </c>
      <c r="O46" s="931" t="s">
        <v>1849</v>
      </c>
      <c r="P46" s="753"/>
      <c r="Q46" s="583"/>
      <c r="R46" s="753"/>
    </row>
    <row r="47" spans="1:18" s="639" customFormat="1" ht="18" customHeight="1">
      <c r="A47" s="859">
        <v>1</v>
      </c>
      <c r="B47" s="860" t="s">
        <v>1850</v>
      </c>
      <c r="C47" s="858">
        <f ca="1">C48+C52+C54</f>
        <v>0</v>
      </c>
      <c r="D47" s="855"/>
      <c r="E47" s="855"/>
      <c r="F47" s="855"/>
      <c r="I47" s="932" t="s">
        <v>1851</v>
      </c>
      <c r="J47" s="933" t="s">
        <v>1852</v>
      </c>
      <c r="K47" s="934" t="s">
        <v>1853</v>
      </c>
      <c r="L47" s="935">
        <f ca="1">INDIRECT("'数据-取费表'!d"&amp;$G$1)</f>
        <v>0</v>
      </c>
      <c r="M47" s="583" t="str">
        <f>IF(ISNUMBER(FIND("住宅",C1)),"住宅","非住宅")</f>
        <v>非住宅</v>
      </c>
      <c r="O47" s="936" t="s">
        <v>1232</v>
      </c>
      <c r="P47" s="937" t="s">
        <v>1854</v>
      </c>
      <c r="Q47" s="971" t="s">
        <v>1855</v>
      </c>
      <c r="R47" s="937" t="s">
        <v>1856</v>
      </c>
    </row>
    <row r="48" spans="1:18" s="639" customFormat="1" ht="18" customHeight="1">
      <c r="A48" s="861" t="s">
        <v>1059</v>
      </c>
      <c r="B48" s="862" t="s">
        <v>1857</v>
      </c>
      <c r="C48" s="863">
        <f ca="1">ROUND(F48*F50*F49*(1-F51)/10000,0)</f>
        <v>0</v>
      </c>
      <c r="D48" s="864" t="s">
        <v>1820</v>
      </c>
      <c r="E48" s="865" t="s">
        <v>1858</v>
      </c>
      <c r="F48" s="866"/>
      <c r="G48" s="867"/>
      <c r="I48" s="938" t="s">
        <v>1859</v>
      </c>
      <c r="J48" s="939" t="s">
        <v>1860</v>
      </c>
      <c r="K48" s="940" t="s">
        <v>1861</v>
      </c>
      <c r="L48" s="941">
        <f ca="1">INDIRECT("'数据-取费表'!f"&amp;$G$1)</f>
        <v>0</v>
      </c>
      <c r="O48" s="942" t="s">
        <v>1862</v>
      </c>
      <c r="P48" s="943" t="s">
        <v>1863</v>
      </c>
      <c r="Q48" s="972" t="e">
        <f ca="1">C40+J29</f>
        <v>#DIV/0!</v>
      </c>
      <c r="R48" s="943" t="s">
        <v>1864</v>
      </c>
    </row>
    <row r="49" spans="1:18" s="639" customFormat="1" ht="18" customHeight="1">
      <c r="A49" s="770"/>
      <c r="B49" s="845"/>
      <c r="C49" s="766"/>
      <c r="D49" s="767"/>
      <c r="E49" s="762" t="s">
        <v>1726</v>
      </c>
      <c r="F49" s="763">
        <f ca="1">F7</f>
        <v>0</v>
      </c>
      <c r="G49" s="867"/>
      <c r="H49" s="868"/>
      <c r="I49" s="938" t="s">
        <v>1865</v>
      </c>
      <c r="J49" s="2856"/>
      <c r="K49" s="944" t="s">
        <v>1866</v>
      </c>
      <c r="L49" s="945">
        <v>45000</v>
      </c>
      <c r="O49" s="942" t="s">
        <v>1867</v>
      </c>
      <c r="P49" s="943" t="s">
        <v>1868</v>
      </c>
      <c r="Q49" s="972">
        <f ca="1">J60</f>
        <v>0</v>
      </c>
      <c r="R49" s="943" t="s">
        <v>1869</v>
      </c>
    </row>
    <row r="50" spans="1:18" s="639" customFormat="1" ht="18" customHeight="1">
      <c r="A50" s="770"/>
      <c r="B50" s="845"/>
      <c r="C50" s="766"/>
      <c r="D50" s="767"/>
      <c r="E50" s="762" t="s">
        <v>1727</v>
      </c>
      <c r="F50" s="763">
        <f ca="1">F8</f>
        <v>365</v>
      </c>
      <c r="G50" s="869"/>
      <c r="H50" s="868"/>
      <c r="I50" s="938" t="s">
        <v>1870</v>
      </c>
      <c r="J50" s="946">
        <f>SUMPRODUCT((I63:I65=J47)*(J62:L62=J48)*(J63:L65))</f>
        <v>60</v>
      </c>
      <c r="K50" s="944" t="s">
        <v>1871</v>
      </c>
      <c r="L50" s="945">
        <v>55000</v>
      </c>
      <c r="O50" s="947" t="s">
        <v>1872</v>
      </c>
      <c r="P50" s="943" t="s">
        <v>1873</v>
      </c>
      <c r="Q50" s="972">
        <f ca="1">C29</f>
        <v>0</v>
      </c>
      <c r="R50" s="943" t="s">
        <v>1864</v>
      </c>
    </row>
    <row r="51" spans="1:18" s="639" customFormat="1" ht="18" customHeight="1">
      <c r="A51" s="770"/>
      <c r="B51" s="845"/>
      <c r="C51" s="766"/>
      <c r="D51" s="767"/>
      <c r="E51" s="762" t="s">
        <v>1728</v>
      </c>
      <c r="F51" s="870"/>
      <c r="H51" s="868"/>
      <c r="I51" s="948" t="s">
        <v>1874</v>
      </c>
      <c r="J51" s="949">
        <f>IF(J49="",J50,J49+J50-YEAR('数据-取费表'!B2))</f>
        <v>60</v>
      </c>
      <c r="K51" s="938" t="s">
        <v>1875</v>
      </c>
      <c r="L51" s="950">
        <f ca="1">ROUND(-PV(INDIRECT("'数据-取费表'!h"&amp;$G$1),L48,(C39-C13*J35),0),0)</f>
        <v>0</v>
      </c>
      <c r="O51" s="947" t="s">
        <v>1876</v>
      </c>
      <c r="P51" s="943" t="s">
        <v>1877</v>
      </c>
      <c r="Q51" s="973">
        <f>J58</f>
        <v>0</v>
      </c>
      <c r="R51" s="974"/>
    </row>
    <row r="52" spans="1:18" s="639" customFormat="1" ht="18" customHeight="1">
      <c r="A52" s="754" t="s">
        <v>1878</v>
      </c>
      <c r="B52" s="773" t="s">
        <v>1729</v>
      </c>
      <c r="C52" s="51">
        <f>ROUND(IF(F52="押一",F48*F50*F49/12*F11,IF(F52="押二",F48*F50*F49/12*2*F11,IF(F52="押三",F48*F50*F49/12*3*F11,C53*F11)))/10000,0)</f>
        <v>0</v>
      </c>
      <c r="D52" s="774" t="s">
        <v>1730</v>
      </c>
      <c r="E52" s="775" t="s">
        <v>1731</v>
      </c>
      <c r="F52" s="776" t="s">
        <v>1732</v>
      </c>
      <c r="I52" s="951" t="s">
        <v>1879</v>
      </c>
      <c r="J52" s="2857">
        <v>0.09</v>
      </c>
      <c r="K52" s="951" t="s">
        <v>1102</v>
      </c>
      <c r="L52" s="952">
        <v>0.04</v>
      </c>
      <c r="O52" s="947" t="s">
        <v>1880</v>
      </c>
      <c r="P52" s="943" t="s">
        <v>1881</v>
      </c>
      <c r="Q52" s="973">
        <f>J52</f>
        <v>0.09</v>
      </c>
      <c r="R52" s="974"/>
    </row>
    <row r="53" spans="1:18" s="639" customFormat="1" ht="39.75" customHeight="1">
      <c r="A53" s="770"/>
      <c r="B53" s="779" t="s">
        <v>1734</v>
      </c>
      <c r="C53" s="780"/>
      <c r="D53" s="774"/>
      <c r="E53" s="775"/>
      <c r="F53" s="871"/>
      <c r="I53" s="953" t="s">
        <v>1882</v>
      </c>
      <c r="J53" s="954">
        <f ca="1">IF(M47="住宅",J51,MIN(J51,L48))</f>
        <v>0</v>
      </c>
      <c r="K53" s="3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91"/>
      <c r="O53" s="947" t="s">
        <v>1883</v>
      </c>
      <c r="P53" s="943" t="s">
        <v>1884</v>
      </c>
      <c r="Q53" s="972">
        <f ca="1">J53</f>
        <v>0</v>
      </c>
      <c r="R53" s="943" t="s">
        <v>1885</v>
      </c>
    </row>
    <row r="54" spans="1:18" s="639" customFormat="1" ht="18" customHeight="1">
      <c r="A54" s="783" t="s">
        <v>805</v>
      </c>
      <c r="B54" s="784" t="s">
        <v>1735</v>
      </c>
      <c r="C54" s="785"/>
      <c r="D54" s="774"/>
      <c r="E54" s="775"/>
      <c r="F54" s="871"/>
      <c r="K54" s="926"/>
      <c r="O54" s="942" t="s">
        <v>1886</v>
      </c>
      <c r="P54" s="943" t="s">
        <v>1887</v>
      </c>
      <c r="Q54" s="972" t="e">
        <f ca="1">Q48+Q49</f>
        <v>#DIV/0!</v>
      </c>
      <c r="R54" s="974" t="s">
        <v>1888</v>
      </c>
    </row>
    <row r="55" spans="1:18" s="639" customFormat="1" ht="18" customHeight="1">
      <c r="A55" s="872">
        <v>2</v>
      </c>
      <c r="B55" s="873" t="s">
        <v>1739</v>
      </c>
      <c r="C55" s="51">
        <f ca="1">C13</f>
        <v>0</v>
      </c>
      <c r="D55" s="814"/>
      <c r="E55" s="814"/>
      <c r="F55" s="871"/>
      <c r="I55" s="955" t="s">
        <v>1889</v>
      </c>
      <c r="J55" s="956"/>
      <c r="K55" s="957" t="s">
        <v>1890</v>
      </c>
      <c r="L55" s="958" t="s">
        <v>1891</v>
      </c>
      <c r="O55" s="959" t="s">
        <v>1892</v>
      </c>
      <c r="P55" s="753"/>
      <c r="Q55" s="583"/>
      <c r="R55" s="753"/>
    </row>
    <row r="56" spans="1:18" s="639" customFormat="1" ht="42.75" customHeight="1">
      <c r="A56" s="813"/>
      <c r="B56" s="874" t="s">
        <v>1830</v>
      </c>
      <c r="C56" s="52">
        <f ca="1">C29</f>
        <v>0</v>
      </c>
      <c r="D56" s="826"/>
      <c r="E56" s="762"/>
      <c r="F56" s="803"/>
      <c r="I56" s="960" t="s">
        <v>1893</v>
      </c>
      <c r="J56" s="961" t="s">
        <v>308</v>
      </c>
      <c r="K56" s="938" t="s">
        <v>1894</v>
      </c>
      <c r="L56" s="941" t="str">
        <f ca="1">IF(L48&lt;J51,"——",L48-J51)</f>
        <v>——</v>
      </c>
      <c r="O56" s="936" t="s">
        <v>1232</v>
      </c>
      <c r="P56" s="937" t="s">
        <v>1854</v>
      </c>
      <c r="Q56" s="971" t="s">
        <v>1855</v>
      </c>
      <c r="R56" s="937" t="s">
        <v>1856</v>
      </c>
    </row>
    <row r="57" spans="1:18" s="639" customFormat="1" ht="28.5" customHeight="1">
      <c r="A57" s="872" t="s">
        <v>1802</v>
      </c>
      <c r="B57" s="873" t="s">
        <v>1744</v>
      </c>
      <c r="C57" s="51">
        <f ca="1">ROUND(C58+C63+C64+C65,0)</f>
        <v>0</v>
      </c>
      <c r="D57" s="875" t="s">
        <v>1745</v>
      </c>
      <c r="E57" s="54"/>
      <c r="F57" s="804"/>
      <c r="I57" s="962" t="s">
        <v>1895</v>
      </c>
      <c r="J57" s="963">
        <f ca="1">IF(OR(M47="住宅",J51&lt;L48,J56="是"),"——",J51-L48)</f>
        <v>60</v>
      </c>
      <c r="K57" s="938" t="s">
        <v>1896</v>
      </c>
      <c r="L57" s="941" t="str">
        <f ca="1">IF(L48&lt;J51,"——",IF(L55="比较法",L49,IF(L55="基准地价",L50,L51)))</f>
        <v>——</v>
      </c>
      <c r="O57" s="942" t="s">
        <v>1862</v>
      </c>
      <c r="P57" s="943" t="s">
        <v>1863</v>
      </c>
      <c r="Q57" s="972" t="e">
        <f ca="1">C40+J29</f>
        <v>#DIV/0!</v>
      </c>
      <c r="R57" s="943" t="s">
        <v>1864</v>
      </c>
    </row>
    <row r="58" spans="1:18" s="639" customFormat="1" ht="28.5" customHeight="1">
      <c r="A58" s="799" t="s">
        <v>746</v>
      </c>
      <c r="B58" s="762" t="s">
        <v>1749</v>
      </c>
      <c r="C58" s="52">
        <f ca="1">ROUND(IF(项目基本情况!B10="自然人",C48*F58,C59+C60+C61),1)</f>
        <v>0</v>
      </c>
      <c r="D58" s="796" t="s">
        <v>1750</v>
      </c>
      <c r="E58" s="826" t="s">
        <v>1751</v>
      </c>
      <c r="F58" s="827" t="str">
        <f ca="1">IF(项目基本情况!B10="企业","",IF(INDIRECT("'数据-取费表'!c"&amp;$G$1)="住宅",4.5%,IF(F48*F49*F50/12&gt;20000,11%,6%)))</f>
        <v/>
      </c>
      <c r="I58" s="962" t="s">
        <v>1897</v>
      </c>
      <c r="J58" s="2858"/>
      <c r="K58" s="938" t="s">
        <v>1898</v>
      </c>
      <c r="L58" s="941">
        <f ca="1">IF(ISERROR(POWER(1+L52,L47-L48)*(POWER(1+L52,L48)-1)/(POWER(1+L52,L47)-1)),0,POWER(1+L52,L47-L48)*(POWER(1+L52,L48)-1)/(POWER(1+L52,L47)-1))</f>
        <v>0</v>
      </c>
      <c r="O58" s="942" t="s">
        <v>1867</v>
      </c>
      <c r="P58" s="943" t="s">
        <v>1899</v>
      </c>
      <c r="Q58" s="972">
        <f ca="1">L60</f>
        <v>0</v>
      </c>
      <c r="R58" s="974" t="s">
        <v>1900</v>
      </c>
    </row>
    <row r="59" spans="1:18" s="639" customFormat="1" ht="28.5" customHeight="1">
      <c r="A59" s="794" t="s">
        <v>760</v>
      </c>
      <c r="B59" s="762" t="s">
        <v>1752</v>
      </c>
      <c r="C59" s="52">
        <f ca="1">ROUND(C48*F59/1.05,1)</f>
        <v>0</v>
      </c>
      <c r="D59" s="826" t="s">
        <v>1753</v>
      </c>
      <c r="E59" s="762" t="s">
        <v>1743</v>
      </c>
      <c r="F59" s="803">
        <f t="shared" ref="F59:F65" si="0">F32</f>
        <v>5.6000000000000001E-2</v>
      </c>
      <c r="I59" s="962" t="s">
        <v>1901</v>
      </c>
      <c r="J59" s="963">
        <f ca="1">IF(OR(M47="住宅",J51&lt;L48,J56="是"),"——",ROUND(C29*J58,0))</f>
        <v>0</v>
      </c>
      <c r="K59" s="938" t="s">
        <v>1902</v>
      </c>
      <c r="L59" s="941">
        <f ca="1">IF(ISERROR(POWER(1+L52,L47-J51)*(POWER(1+L52,J51)-1)/(POWER(1+L52,L47)-1)),0,POWER(1+L52,L47-J51)*(POWER(1+L52,J51)-1)/(POWER(1+L52,L47)-1))</f>
        <v>0</v>
      </c>
      <c r="O59" s="947" t="s">
        <v>1872</v>
      </c>
      <c r="P59" s="943" t="s">
        <v>1903</v>
      </c>
      <c r="Q59" s="972">
        <f>IF(L55="比较法",L49,IF(L55="基准地价",L50,0))</f>
        <v>0</v>
      </c>
      <c r="R59" s="943" t="s">
        <v>1864</v>
      </c>
    </row>
    <row r="60" spans="1:18" s="639" customFormat="1" ht="18" customHeight="1">
      <c r="A60" s="794" t="s">
        <v>765</v>
      </c>
      <c r="B60" s="762" t="s">
        <v>1756</v>
      </c>
      <c r="C60" s="52">
        <f ca="1">IF(D60="按租金收入计税",ROUND(C48*F60,1),IF(D60="按房产原值计税",ROUND(C56*F60*0.7,1),INDIRECT("'数据-取费表'!Aj"&amp;$G$1)))</f>
        <v>0</v>
      </c>
      <c r="D60" s="826" t="str">
        <f>D33</f>
        <v>按房产原值计税</v>
      </c>
      <c r="E60" s="762" t="s">
        <v>1743</v>
      </c>
      <c r="F60" s="803">
        <f t="shared" si="0"/>
        <v>1.2E-2</v>
      </c>
      <c r="I60" s="964" t="s">
        <v>1904</v>
      </c>
      <c r="J60" s="965">
        <f ca="1">IF(OR(M47="住宅",J51&lt;L48,J56="是"),"0",ROUND(J59/(1+J52)^J53,0))</f>
        <v>0</v>
      </c>
      <c r="K60" s="966" t="s">
        <v>1905</v>
      </c>
      <c r="L60" s="965">
        <f ca="1">IF(OR(M47="住宅",L48&lt;J51),0,ROUND(L57-L57*L59/L58,0))</f>
        <v>0</v>
      </c>
      <c r="O60" s="947" t="s">
        <v>1876</v>
      </c>
      <c r="P60" s="943" t="s">
        <v>1906</v>
      </c>
      <c r="Q60" s="973">
        <f>L52</f>
        <v>0.04</v>
      </c>
      <c r="R60" s="974"/>
    </row>
    <row r="61" spans="1:18" s="639" customFormat="1" ht="18" customHeight="1">
      <c r="A61" s="807" t="s">
        <v>768</v>
      </c>
      <c r="B61" s="831" t="s">
        <v>1761</v>
      </c>
      <c r="C61" s="832">
        <f ca="1">ROUND(F61*F62/10000,1)</f>
        <v>0</v>
      </c>
      <c r="D61" s="833" t="s">
        <v>1762</v>
      </c>
      <c r="E61" s="762" t="s">
        <v>1763</v>
      </c>
      <c r="F61" s="811">
        <f t="shared" si="0"/>
        <v>10</v>
      </c>
      <c r="K61" s="926"/>
      <c r="O61" s="947" t="s">
        <v>1880</v>
      </c>
      <c r="P61" s="943" t="s">
        <v>1907</v>
      </c>
      <c r="Q61" s="972">
        <f ca="1">L58</f>
        <v>0</v>
      </c>
      <c r="R61" s="974" t="s">
        <v>1908</v>
      </c>
    </row>
    <row r="62" spans="1:18" s="639" customFormat="1" ht="19.5">
      <c r="A62" s="834"/>
      <c r="B62" s="835"/>
      <c r="C62" s="836"/>
      <c r="D62" s="837"/>
      <c r="E62" s="762" t="s">
        <v>1767</v>
      </c>
      <c r="F62" s="763">
        <f t="shared" ca="1" si="0"/>
        <v>0</v>
      </c>
      <c r="I62" s="967" t="s">
        <v>1909</v>
      </c>
      <c r="J62" s="968" t="s">
        <v>1910</v>
      </c>
      <c r="K62" s="968" t="s">
        <v>1911</v>
      </c>
      <c r="L62" s="968" t="s">
        <v>1860</v>
      </c>
      <c r="O62" s="947" t="s">
        <v>1883</v>
      </c>
      <c r="P62" s="943" t="s">
        <v>1912</v>
      </c>
      <c r="Q62" s="972">
        <f ca="1">L59</f>
        <v>0</v>
      </c>
      <c r="R62" s="974" t="s">
        <v>1913</v>
      </c>
    </row>
    <row r="63" spans="1:18" s="639" customFormat="1">
      <c r="A63" s="799" t="s">
        <v>748</v>
      </c>
      <c r="B63" s="762" t="s">
        <v>1770</v>
      </c>
      <c r="C63" s="52">
        <f ca="1">ROUND(C56*F63,1)</f>
        <v>0</v>
      </c>
      <c r="D63" s="826" t="s">
        <v>1805</v>
      </c>
      <c r="E63" s="762" t="s">
        <v>1743</v>
      </c>
      <c r="F63" s="838">
        <f t="shared" ca="1" si="0"/>
        <v>0</v>
      </c>
      <c r="I63" s="967" t="s">
        <v>1914</v>
      </c>
      <c r="J63" s="968">
        <v>70</v>
      </c>
      <c r="K63" s="968">
        <v>50</v>
      </c>
      <c r="L63" s="968">
        <v>80</v>
      </c>
      <c r="O63" s="942" t="s">
        <v>1886</v>
      </c>
      <c r="P63" s="943" t="s">
        <v>1887</v>
      </c>
      <c r="Q63" s="972" t="e">
        <f ca="1">Q57+Q58</f>
        <v>#DIV/0!</v>
      </c>
      <c r="R63" s="974" t="s">
        <v>1888</v>
      </c>
    </row>
    <row r="64" spans="1:18" s="639" customFormat="1" ht="15.75">
      <c r="A64" s="799" t="s">
        <v>805</v>
      </c>
      <c r="B64" s="762" t="s">
        <v>1774</v>
      </c>
      <c r="C64" s="52">
        <f ca="1">ROUND(C55*F64,1)</f>
        <v>0</v>
      </c>
      <c r="D64" s="826" t="s">
        <v>1775</v>
      </c>
      <c r="E64" s="762" t="s">
        <v>1743</v>
      </c>
      <c r="F64" s="839">
        <f t="shared" ca="1" si="0"/>
        <v>0</v>
      </c>
      <c r="I64" s="967" t="s">
        <v>1852</v>
      </c>
      <c r="J64" s="968">
        <v>50</v>
      </c>
      <c r="K64" s="968">
        <v>35</v>
      </c>
      <c r="L64" s="968">
        <v>60</v>
      </c>
      <c r="O64" s="959" t="s">
        <v>1915</v>
      </c>
      <c r="P64" s="753"/>
      <c r="Q64" s="583"/>
      <c r="R64" s="753"/>
    </row>
    <row r="65" spans="1:18" s="639" customFormat="1">
      <c r="A65" s="799" t="s">
        <v>1825</v>
      </c>
      <c r="B65" s="762" t="s">
        <v>1759</v>
      </c>
      <c r="C65" s="52">
        <f ca="1">ROUND(C48*F65,1)</f>
        <v>0</v>
      </c>
      <c r="D65" s="826" t="s">
        <v>1778</v>
      </c>
      <c r="E65" s="762" t="s">
        <v>1743</v>
      </c>
      <c r="F65" s="771">
        <f t="shared" ca="1" si="0"/>
        <v>0</v>
      </c>
      <c r="I65" s="967" t="s">
        <v>1916</v>
      </c>
      <c r="J65" s="968">
        <v>40</v>
      </c>
      <c r="K65" s="968">
        <v>30</v>
      </c>
      <c r="L65" s="968">
        <v>50</v>
      </c>
      <c r="O65" s="936" t="s">
        <v>1232</v>
      </c>
      <c r="P65" s="937" t="s">
        <v>1854</v>
      </c>
      <c r="Q65" s="971" t="s">
        <v>1855</v>
      </c>
      <c r="R65" s="937" t="s">
        <v>1856</v>
      </c>
    </row>
    <row r="66" spans="1:18" s="639" customFormat="1" ht="24">
      <c r="A66" s="872" t="s">
        <v>1826</v>
      </c>
      <c r="B66" s="975" t="s">
        <v>1782</v>
      </c>
      <c r="C66" s="51">
        <f ca="1">C47-C57</f>
        <v>0</v>
      </c>
      <c r="D66" s="796" t="s">
        <v>1783</v>
      </c>
      <c r="E66" s="976"/>
      <c r="F66" s="977"/>
      <c r="K66" s="926"/>
      <c r="O66" s="942" t="s">
        <v>1862</v>
      </c>
      <c r="P66" s="943" t="s">
        <v>1863</v>
      </c>
      <c r="Q66" s="972" t="e">
        <f ca="1">C40+J29</f>
        <v>#DIV/0!</v>
      </c>
      <c r="R66" s="943" t="s">
        <v>1864</v>
      </c>
    </row>
    <row r="67" spans="1:18" s="639" customFormat="1" ht="19.5">
      <c r="A67" s="754" t="s">
        <v>1827</v>
      </c>
      <c r="B67" s="844" t="s">
        <v>1839</v>
      </c>
      <c r="C67" s="761" t="e">
        <f ca="1">ROUND(C66*(1-((1+F69)/(1+F67))^F68)/(F67-F69),0)</f>
        <v>#DIV/0!</v>
      </c>
      <c r="D67" s="833" t="s">
        <v>1788</v>
      </c>
      <c r="E67" s="762" t="s">
        <v>1789</v>
      </c>
      <c r="F67" s="771">
        <f ca="1">F40</f>
        <v>0</v>
      </c>
      <c r="K67" s="926"/>
      <c r="O67" s="942" t="s">
        <v>1867</v>
      </c>
      <c r="P67" s="943" t="s">
        <v>1899</v>
      </c>
      <c r="Q67" s="972">
        <f ca="1">L60</f>
        <v>0</v>
      </c>
      <c r="R67" s="974" t="s">
        <v>1900</v>
      </c>
    </row>
    <row r="68" spans="1:18" ht="21">
      <c r="A68" s="770"/>
      <c r="B68" s="845"/>
      <c r="C68" s="766"/>
      <c r="D68" s="846" t="s">
        <v>1792</v>
      </c>
      <c r="E68" s="762" t="s">
        <v>1793</v>
      </c>
      <c r="F68" s="847">
        <f ca="1">F41</f>
        <v>0</v>
      </c>
      <c r="O68" s="947" t="s">
        <v>1872</v>
      </c>
      <c r="P68" s="943" t="s">
        <v>1903</v>
      </c>
      <c r="Q68" s="979">
        <f ca="1">L51</f>
        <v>0</v>
      </c>
      <c r="R68" s="980" t="s">
        <v>1917</v>
      </c>
    </row>
    <row r="69" spans="1:18" ht="19.5">
      <c r="A69" s="778"/>
      <c r="B69" s="849"/>
      <c r="C69" s="792"/>
      <c r="D69" s="837"/>
      <c r="E69" s="762" t="s">
        <v>1797</v>
      </c>
      <c r="F69" s="870"/>
      <c r="O69" s="947" t="s">
        <v>1876</v>
      </c>
      <c r="P69" s="978" t="s">
        <v>1918</v>
      </c>
      <c r="Q69" s="972">
        <f ca="1">ROUND(Q70-Q71*Q72,0)</f>
        <v>0</v>
      </c>
      <c r="R69" s="974"/>
    </row>
    <row r="70" spans="1:18">
      <c r="A70" s="821" t="s">
        <v>1831</v>
      </c>
      <c r="B70" s="850" t="s">
        <v>1843</v>
      </c>
      <c r="C70" s="851" t="e">
        <f ca="1">ROUND(C67*10000/F70,0)</f>
        <v>#DIV/0!</v>
      </c>
      <c r="D70" s="852" t="s">
        <v>1844</v>
      </c>
      <c r="E70" s="853" t="s">
        <v>1845</v>
      </c>
      <c r="F70" s="854">
        <f ca="1">F43</f>
        <v>0</v>
      </c>
      <c r="O70" s="947" t="s">
        <v>1919</v>
      </c>
      <c r="P70" s="978" t="s">
        <v>1920</v>
      </c>
      <c r="Q70" s="972">
        <f ca="1">C39</f>
        <v>0</v>
      </c>
      <c r="R70" s="943" t="s">
        <v>1864</v>
      </c>
    </row>
    <row r="71" spans="1:18">
      <c r="O71" s="947" t="s">
        <v>1921</v>
      </c>
      <c r="P71" s="978" t="s">
        <v>1922</v>
      </c>
      <c r="Q71" s="972">
        <f ca="1">C13</f>
        <v>0</v>
      </c>
      <c r="R71" s="943" t="s">
        <v>1864</v>
      </c>
    </row>
    <row r="72" spans="1:18">
      <c r="O72" s="947" t="s">
        <v>1923</v>
      </c>
      <c r="P72" s="978" t="s">
        <v>1924</v>
      </c>
      <c r="Q72" s="973">
        <f ca="1">J36</f>
        <v>0</v>
      </c>
      <c r="R72" s="974"/>
    </row>
    <row r="73" spans="1:18">
      <c r="O73" s="947" t="s">
        <v>1880</v>
      </c>
      <c r="P73" s="943" t="s">
        <v>1906</v>
      </c>
      <c r="Q73" s="973">
        <f>L52</f>
        <v>0.04</v>
      </c>
      <c r="R73" s="974"/>
    </row>
    <row r="74" spans="1:18" ht="19.5">
      <c r="O74" s="947" t="s">
        <v>1883</v>
      </c>
      <c r="P74" s="943" t="s">
        <v>1907</v>
      </c>
      <c r="Q74" s="972">
        <f ca="1">L58</f>
        <v>0</v>
      </c>
      <c r="R74" s="974" t="s">
        <v>1908</v>
      </c>
    </row>
    <row r="75" spans="1:18" ht="19.5">
      <c r="O75" s="947" t="s">
        <v>1925</v>
      </c>
      <c r="P75" s="943" t="s">
        <v>1912</v>
      </c>
      <c r="Q75" s="972">
        <f ca="1">L59</f>
        <v>0</v>
      </c>
      <c r="R75" s="974" t="s">
        <v>1913</v>
      </c>
    </row>
    <row r="76" spans="1:18">
      <c r="O76" s="942" t="s">
        <v>1886</v>
      </c>
      <c r="P76" s="943" t="s">
        <v>1887</v>
      </c>
      <c r="Q76" s="972" t="e">
        <f ca="1">Q66+Q67</f>
        <v>#DIV/0!</v>
      </c>
      <c r="R76" s="974" t="s">
        <v>1888</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292" t="s">
        <v>1926</v>
      </c>
      <c r="B1" s="3293"/>
      <c r="C1" s="3294"/>
      <c r="D1" s="3295">
        <f>SUM(I10,I15,I20,I21,I23)</f>
        <v>0</v>
      </c>
      <c r="E1" s="3295"/>
      <c r="F1" s="3295"/>
      <c r="G1" s="3295"/>
      <c r="H1" s="3295"/>
      <c r="I1" s="3296"/>
    </row>
    <row r="2" spans="1:9">
      <c r="A2" s="3304" t="s">
        <v>1927</v>
      </c>
      <c r="B2" s="3297" t="s">
        <v>1928</v>
      </c>
      <c r="C2" s="3297"/>
      <c r="D2" s="700" t="s">
        <v>1929</v>
      </c>
      <c r="E2" s="700" t="s">
        <v>1930</v>
      </c>
      <c r="F2" s="700" t="s">
        <v>1931</v>
      </c>
      <c r="G2" s="700" t="s">
        <v>1932</v>
      </c>
      <c r="H2" s="700" t="s">
        <v>1933</v>
      </c>
      <c r="I2" s="723" t="s">
        <v>1934</v>
      </c>
    </row>
    <row r="3" spans="1:9">
      <c r="A3" s="3304"/>
      <c r="B3" s="3297" t="s">
        <v>1935</v>
      </c>
      <c r="C3" s="3297"/>
      <c r="D3" s="701"/>
      <c r="E3" s="700"/>
      <c r="F3" s="702"/>
      <c r="G3" s="702"/>
      <c r="H3" s="703"/>
      <c r="I3" s="724">
        <f>ROUND(D3*E3*F3*G3*H3/10000,0)</f>
        <v>0</v>
      </c>
    </row>
    <row r="4" spans="1:9">
      <c r="A4" s="3304"/>
      <c r="B4" s="3297" t="s">
        <v>1936</v>
      </c>
      <c r="C4" s="3297"/>
      <c r="D4" s="701"/>
      <c r="E4" s="700"/>
      <c r="F4" s="702"/>
      <c r="G4" s="702"/>
      <c r="H4" s="703"/>
      <c r="I4" s="724">
        <f t="shared" ref="I4:I9" si="0">ROUND(D4*E4*F4*G4*H4/10000,0)</f>
        <v>0</v>
      </c>
    </row>
    <row r="5" spans="1:9">
      <c r="A5" s="3304"/>
      <c r="B5" s="3297" t="s">
        <v>1937</v>
      </c>
      <c r="C5" s="3297"/>
      <c r="D5" s="701"/>
      <c r="E5" s="700"/>
      <c r="F5" s="702"/>
      <c r="G5" s="702"/>
      <c r="H5" s="703"/>
      <c r="I5" s="724">
        <f t="shared" si="0"/>
        <v>0</v>
      </c>
    </row>
    <row r="6" spans="1:9">
      <c r="A6" s="3304"/>
      <c r="B6" s="3297" t="s">
        <v>1938</v>
      </c>
      <c r="C6" s="3297"/>
      <c r="D6" s="701"/>
      <c r="E6" s="700"/>
      <c r="F6" s="702"/>
      <c r="G6" s="702"/>
      <c r="H6" s="703"/>
      <c r="I6" s="724">
        <f t="shared" si="0"/>
        <v>0</v>
      </c>
    </row>
    <row r="7" spans="1:9">
      <c r="A7" s="3304"/>
      <c r="B7" s="3297" t="s">
        <v>1939</v>
      </c>
      <c r="C7" s="3297"/>
      <c r="D7" s="701"/>
      <c r="E7" s="700"/>
      <c r="F7" s="702"/>
      <c r="G7" s="702"/>
      <c r="H7" s="703"/>
      <c r="I7" s="724">
        <f t="shared" si="0"/>
        <v>0</v>
      </c>
    </row>
    <row r="8" spans="1:9">
      <c r="A8" s="3304"/>
      <c r="B8" s="3297" t="s">
        <v>1940</v>
      </c>
      <c r="C8" s="3297"/>
      <c r="D8" s="701"/>
      <c r="E8" s="700"/>
      <c r="F8" s="702"/>
      <c r="G8" s="702"/>
      <c r="H8" s="703"/>
      <c r="I8" s="724">
        <f t="shared" si="0"/>
        <v>0</v>
      </c>
    </row>
    <row r="9" spans="1:9">
      <c r="A9" s="3304"/>
      <c r="B9" s="3297" t="s">
        <v>1941</v>
      </c>
      <c r="C9" s="3297"/>
      <c r="D9" s="701"/>
      <c r="E9" s="700"/>
      <c r="F9" s="702"/>
      <c r="G9" s="702"/>
      <c r="H9" s="703"/>
      <c r="I9" s="724">
        <f t="shared" si="0"/>
        <v>0</v>
      </c>
    </row>
    <row r="10" spans="1:9">
      <c r="A10" s="3304"/>
      <c r="B10" s="3298" t="s">
        <v>417</v>
      </c>
      <c r="C10" s="3298"/>
      <c r="D10" s="704">
        <v>527</v>
      </c>
      <c r="E10" s="704" t="e">
        <f>ROUND(D1*10000/D10/H9,0)</f>
        <v>#DIV/0!</v>
      </c>
      <c r="F10" s="705"/>
      <c r="G10" s="705"/>
      <c r="H10" s="706"/>
      <c r="I10" s="725">
        <f>SUM(I3:I9)</f>
        <v>0</v>
      </c>
    </row>
    <row r="11" spans="1:9" ht="14.25">
      <c r="A11" s="3304" t="s">
        <v>1942</v>
      </c>
      <c r="B11" s="3297" t="s">
        <v>1943</v>
      </c>
      <c r="C11" s="3297"/>
      <c r="D11" s="701" t="s">
        <v>1944</v>
      </c>
      <c r="E11" s="701" t="s">
        <v>1945</v>
      </c>
      <c r="F11" s="702" t="s">
        <v>1946</v>
      </c>
      <c r="G11" s="702" t="s">
        <v>1933</v>
      </c>
      <c r="H11" s="707" t="s">
        <v>67</v>
      </c>
      <c r="I11" s="723" t="s">
        <v>1934</v>
      </c>
    </row>
    <row r="12" spans="1:9">
      <c r="A12" s="3304"/>
      <c r="B12" s="3297" t="s">
        <v>1947</v>
      </c>
      <c r="C12" s="3297"/>
      <c r="D12" s="701"/>
      <c r="E12" s="701"/>
      <c r="F12" s="702"/>
      <c r="G12" s="703"/>
      <c r="H12" s="708"/>
      <c r="I12" s="723">
        <f>ROUND(D12*E12*F12*G12/10000,0)</f>
        <v>0</v>
      </c>
    </row>
    <row r="13" spans="1:9">
      <c r="A13" s="3304"/>
      <c r="B13" s="3297" t="s">
        <v>1948</v>
      </c>
      <c r="C13" s="3297"/>
      <c r="D13" s="701"/>
      <c r="E13" s="701"/>
      <c r="F13" s="702"/>
      <c r="G13" s="703"/>
      <c r="H13" s="708"/>
      <c r="I13" s="723">
        <f>ROUND(D13*E13*F13*G13/10000,0)</f>
        <v>0</v>
      </c>
    </row>
    <row r="14" spans="1:9">
      <c r="A14" s="3304"/>
      <c r="B14" s="3297" t="s">
        <v>1949</v>
      </c>
      <c r="C14" s="3297"/>
      <c r="D14" s="701"/>
      <c r="E14" s="701"/>
      <c r="F14" s="702"/>
      <c r="G14" s="703"/>
      <c r="H14" s="708"/>
      <c r="I14" s="723">
        <f>ROUND(D14*E14*F14*G14/10000,0)</f>
        <v>0</v>
      </c>
    </row>
    <row r="15" spans="1:9">
      <c r="A15" s="3304"/>
      <c r="B15" s="3298" t="s">
        <v>417</v>
      </c>
      <c r="C15" s="3298"/>
      <c r="D15" s="704"/>
      <c r="E15" s="704">
        <f>SUM(E12:E14)</f>
        <v>0</v>
      </c>
      <c r="F15" s="705"/>
      <c r="G15" s="703"/>
      <c r="H15" s="708"/>
      <c r="I15" s="726">
        <f>SUM(I12:I14)</f>
        <v>0</v>
      </c>
    </row>
    <row r="16" spans="1:9" ht="24">
      <c r="A16" s="3304" t="s">
        <v>1950</v>
      </c>
      <c r="B16" s="3297" t="s">
        <v>1951</v>
      </c>
      <c r="C16" s="3297"/>
      <c r="D16" s="701" t="s">
        <v>1929</v>
      </c>
      <c r="E16" s="709" t="s">
        <v>1952</v>
      </c>
      <c r="F16" s="702" t="s">
        <v>1953</v>
      </c>
      <c r="G16" s="703" t="s">
        <v>1933</v>
      </c>
      <c r="H16" s="707" t="s">
        <v>67</v>
      </c>
      <c r="I16" s="723" t="s">
        <v>1934</v>
      </c>
    </row>
    <row r="17" spans="1:9" ht="14.25">
      <c r="A17" s="3304"/>
      <c r="B17" s="3297" t="s">
        <v>1954</v>
      </c>
      <c r="C17" s="3297"/>
      <c r="D17" s="701"/>
      <c r="E17" s="701"/>
      <c r="F17" s="702"/>
      <c r="G17" s="703"/>
      <c r="H17" s="710"/>
      <c r="I17" s="727">
        <f>ROUND(D17*E17*F17*G17/10000,0)</f>
        <v>0</v>
      </c>
    </row>
    <row r="18" spans="1:9" ht="14.25">
      <c r="A18" s="3304"/>
      <c r="B18" s="3297" t="s">
        <v>1955</v>
      </c>
      <c r="C18" s="3297"/>
      <c r="D18" s="701"/>
      <c r="E18" s="701"/>
      <c r="F18" s="702"/>
      <c r="G18" s="703"/>
      <c r="H18" s="710"/>
      <c r="I18" s="727">
        <f>ROUND(D18*E18*F18*G18/10000,0)</f>
        <v>0</v>
      </c>
    </row>
    <row r="19" spans="1:9" ht="14.25">
      <c r="A19" s="3304"/>
      <c r="B19" s="3297" t="s">
        <v>1956</v>
      </c>
      <c r="C19" s="3297"/>
      <c r="D19" s="701"/>
      <c r="E19" s="701"/>
      <c r="F19" s="702"/>
      <c r="G19" s="703"/>
      <c r="H19" s="710"/>
      <c r="I19" s="727">
        <f>ROUND(D19*E19*F19*G19/10000,0)</f>
        <v>0</v>
      </c>
    </row>
    <row r="20" spans="1:9">
      <c r="A20" s="3304"/>
      <c r="B20" s="3298" t="s">
        <v>417</v>
      </c>
      <c r="C20" s="3298"/>
      <c r="D20" s="704">
        <f>SUM(D17:D19)</f>
        <v>0</v>
      </c>
      <c r="E20" s="704"/>
      <c r="F20" s="705"/>
      <c r="G20" s="703"/>
      <c r="H20" s="708"/>
      <c r="I20" s="726">
        <f>SUM(I17:I19)</f>
        <v>0</v>
      </c>
    </row>
    <row r="21" spans="1:9">
      <c r="A21" s="3304" t="s">
        <v>1957</v>
      </c>
      <c r="B21" s="3312"/>
      <c r="C21" s="3312"/>
      <c r="D21" s="3312"/>
      <c r="E21" s="3312"/>
      <c r="F21" s="3312"/>
      <c r="G21" s="3312"/>
      <c r="H21" s="711">
        <v>0.1</v>
      </c>
      <c r="I21" s="725">
        <f>ROUND(I10*H21,0)</f>
        <v>0</v>
      </c>
    </row>
    <row r="22" spans="1:9" ht="14.25">
      <c r="A22" s="3305" t="s">
        <v>1958</v>
      </c>
      <c r="B22" s="3306"/>
      <c r="C22" s="3307"/>
      <c r="D22" s="712" t="s">
        <v>302</v>
      </c>
      <c r="E22" s="712" t="s">
        <v>1959</v>
      </c>
      <c r="F22" s="713" t="s">
        <v>1933</v>
      </c>
      <c r="G22" s="713" t="s">
        <v>1960</v>
      </c>
      <c r="H22" s="707" t="s">
        <v>67</v>
      </c>
      <c r="I22" s="723" t="s">
        <v>1934</v>
      </c>
    </row>
    <row r="23" spans="1:9">
      <c r="A23" s="3308"/>
      <c r="B23" s="3309"/>
      <c r="C23" s="3310"/>
      <c r="D23" s="714"/>
      <c r="E23" s="714"/>
      <c r="F23" s="714"/>
      <c r="G23" s="715"/>
      <c r="H23" s="716"/>
      <c r="I23" s="728">
        <f>ROUND(E23*D23*F23*(1-G23)/10000,0)</f>
        <v>0</v>
      </c>
    </row>
    <row r="26" spans="1:9">
      <c r="A26" s="717" t="s">
        <v>1961</v>
      </c>
      <c r="B26" s="717"/>
      <c r="C26" s="717"/>
      <c r="D26" s="717"/>
      <c r="E26" s="3303">
        <f>C27-C30-C31-C32</f>
        <v>0</v>
      </c>
      <c r="F26" s="3303"/>
      <c r="G26" s="3303"/>
    </row>
    <row r="27" spans="1:9">
      <c r="A27" s="718">
        <v>1</v>
      </c>
      <c r="B27" s="719" t="s">
        <v>1962</v>
      </c>
      <c r="C27" s="719"/>
      <c r="D27" s="719"/>
      <c r="E27" s="3299"/>
      <c r="F27" s="3299"/>
      <c r="G27" s="3299"/>
    </row>
    <row r="28" spans="1:9">
      <c r="A28" s="720" t="s">
        <v>1059</v>
      </c>
      <c r="B28" s="719" t="s">
        <v>1963</v>
      </c>
      <c r="C28" s="719"/>
      <c r="D28" s="719"/>
      <c r="E28" s="3299"/>
      <c r="F28" s="3299"/>
      <c r="G28" s="3299"/>
    </row>
    <row r="29" spans="1:9">
      <c r="A29" s="720" t="s">
        <v>1082</v>
      </c>
      <c r="B29" s="719" t="s">
        <v>1735</v>
      </c>
      <c r="C29" s="719"/>
      <c r="D29" s="719"/>
      <c r="E29" s="719" t="s">
        <v>1964</v>
      </c>
      <c r="F29" s="719"/>
      <c r="G29" s="719"/>
    </row>
    <row r="30" spans="1:9">
      <c r="A30" s="718">
        <v>2</v>
      </c>
      <c r="B30" s="719" t="s">
        <v>1965</v>
      </c>
      <c r="C30" s="719">
        <f>C27*D30</f>
        <v>0</v>
      </c>
      <c r="D30" s="721">
        <v>0.2</v>
      </c>
      <c r="E30" s="719" t="s">
        <v>1966</v>
      </c>
      <c r="F30" s="719"/>
      <c r="G30" s="719"/>
    </row>
    <row r="31" spans="1:9">
      <c r="A31" s="718">
        <v>3</v>
      </c>
      <c r="B31" s="719" t="s">
        <v>1967</v>
      </c>
      <c r="C31" s="719">
        <f>C25*D31</f>
        <v>0</v>
      </c>
      <c r="D31" s="721">
        <v>0.15</v>
      </c>
      <c r="E31" s="719" t="s">
        <v>1968</v>
      </c>
      <c r="F31" s="719"/>
      <c r="G31" s="719"/>
    </row>
    <row r="32" spans="1:9">
      <c r="A32" s="718">
        <v>4</v>
      </c>
      <c r="B32" s="719" t="s">
        <v>1969</v>
      </c>
      <c r="C32" s="719">
        <f>C27*D32</f>
        <v>0</v>
      </c>
      <c r="D32" s="721">
        <v>0.05</v>
      </c>
      <c r="E32" s="3311"/>
      <c r="F32" s="3311"/>
      <c r="G32" s="3311"/>
    </row>
    <row r="33" spans="1:7">
      <c r="A33" s="3300" t="s">
        <v>1970</v>
      </c>
      <c r="B33" s="3301"/>
      <c r="C33" s="3301"/>
      <c r="D33" s="3302"/>
      <c r="E33" s="3303"/>
      <c r="F33" s="3303"/>
      <c r="G33" s="3303"/>
    </row>
    <row r="34" spans="1:7">
      <c r="A34" s="722">
        <v>1</v>
      </c>
      <c r="B34" s="719" t="s">
        <v>1971</v>
      </c>
      <c r="C34" s="719"/>
      <c r="D34" s="719"/>
      <c r="E34" s="3299"/>
      <c r="F34" s="3299"/>
      <c r="G34" s="3299"/>
    </row>
    <row r="35" spans="1:7">
      <c r="A35" s="722">
        <v>2</v>
      </c>
      <c r="B35" s="719" t="s">
        <v>1972</v>
      </c>
      <c r="C35" s="719"/>
      <c r="D35" s="719"/>
      <c r="E35" s="3299"/>
      <c r="F35" s="3299"/>
      <c r="G35" s="3299"/>
    </row>
    <row r="36" spans="1:7">
      <c r="A36" s="722">
        <v>3</v>
      </c>
      <c r="B36" s="719" t="s">
        <v>1973</v>
      </c>
      <c r="C36" s="719"/>
      <c r="D36" s="719"/>
      <c r="E36" s="3299"/>
      <c r="F36" s="3299"/>
      <c r="G36" s="3299"/>
    </row>
    <row r="37" spans="1:7">
      <c r="A37" s="722">
        <v>4</v>
      </c>
      <c r="B37" s="719" t="s">
        <v>1974</v>
      </c>
      <c r="C37" s="719"/>
      <c r="D37" s="719"/>
      <c r="E37" s="3299"/>
      <c r="F37" s="3299"/>
      <c r="G37" s="3299"/>
    </row>
    <row r="38" spans="1:7">
      <c r="A38" s="3300" t="s">
        <v>1975</v>
      </c>
      <c r="B38" s="3301"/>
      <c r="C38" s="3301"/>
      <c r="D38" s="3302"/>
      <c r="E38" s="3303"/>
      <c r="F38" s="3303"/>
      <c r="G38" s="330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1976</v>
      </c>
      <c r="B1" s="647"/>
      <c r="C1" s="648"/>
      <c r="D1" s="648"/>
      <c r="E1" s="648"/>
      <c r="F1" s="648"/>
      <c r="G1" s="649"/>
    </row>
    <row r="2" spans="1:25" s="639" customFormat="1" ht="18" customHeight="1">
      <c r="A2" s="137" t="s">
        <v>797</v>
      </c>
      <c r="B2" s="650">
        <f>C23</f>
        <v>0</v>
      </c>
      <c r="C2" s="649"/>
      <c r="D2" s="649"/>
      <c r="E2" s="649"/>
      <c r="F2" s="649"/>
      <c r="G2" s="649"/>
    </row>
    <row r="3" spans="1:25" s="639" customFormat="1" ht="18" customHeight="1">
      <c r="A3" s="651" t="s">
        <v>798</v>
      </c>
      <c r="B3" s="650">
        <f>ROUND(B2*10000/'数据-汇总表'!E3,0)</f>
        <v>0</v>
      </c>
      <c r="C3" s="649"/>
      <c r="D3" s="649"/>
      <c r="E3" s="649"/>
      <c r="F3" s="649"/>
      <c r="G3" s="649"/>
    </row>
    <row r="4" spans="1:25" s="639" customFormat="1" ht="18" customHeight="1">
      <c r="A4" s="652" t="s">
        <v>799</v>
      </c>
      <c r="B4" s="653">
        <f>ROUND(B2*10000/'数据-汇总表'!D3,0)</f>
        <v>0</v>
      </c>
      <c r="C4" s="502"/>
      <c r="D4" s="649"/>
      <c r="E4" s="649"/>
      <c r="F4" s="649"/>
      <c r="G4" s="649"/>
    </row>
    <row r="5" spans="1:25" s="639" customFormat="1" ht="18" customHeight="1">
      <c r="A5" s="654"/>
      <c r="B5" s="655">
        <f>ROUND(B2/('数据-汇总表'!D3/666.67),0)</f>
        <v>0</v>
      </c>
      <c r="C5" s="656" t="s">
        <v>800</v>
      </c>
      <c r="D5" s="649"/>
      <c r="E5" s="649"/>
      <c r="F5" s="649"/>
      <c r="G5" s="649"/>
    </row>
    <row r="6" spans="1:25" s="640" customFormat="1" ht="13.5" customHeight="1">
      <c r="A6" s="657"/>
      <c r="B6" s="658" t="s">
        <v>741</v>
      </c>
      <c r="C6" s="659" t="s">
        <v>1977</v>
      </c>
      <c r="D6" s="659" t="s">
        <v>1978</v>
      </c>
      <c r="E6" s="660" t="s">
        <v>1979</v>
      </c>
      <c r="F6" s="660" t="s">
        <v>742</v>
      </c>
      <c r="G6" s="661"/>
    </row>
    <row r="7" spans="1:25" s="640" customFormat="1" ht="13.5" customHeight="1">
      <c r="A7" s="662">
        <v>1</v>
      </c>
      <c r="B7" s="663" t="s">
        <v>1980</v>
      </c>
      <c r="C7" s="664">
        <f>C8+C9</f>
        <v>0</v>
      </c>
      <c r="D7" s="664"/>
      <c r="E7" s="665"/>
      <c r="F7" s="665"/>
      <c r="G7" s="666" t="s">
        <v>1981</v>
      </c>
    </row>
    <row r="8" spans="1:25" s="640" customFormat="1" ht="13.5" customHeight="1">
      <c r="A8" s="662" t="s">
        <v>1982</v>
      </c>
      <c r="B8" s="667" t="s">
        <v>1983</v>
      </c>
      <c r="C8" s="668"/>
      <c r="D8" s="664"/>
      <c r="E8" s="665"/>
      <c r="F8" s="665"/>
      <c r="G8" s="669"/>
    </row>
    <row r="9" spans="1:25" s="640" customFormat="1" ht="13.5" customHeight="1">
      <c r="A9" s="662" t="s">
        <v>1984</v>
      </c>
      <c r="B9" s="667" t="s">
        <v>1985</v>
      </c>
      <c r="C9" s="668"/>
      <c r="D9" s="664"/>
      <c r="E9" s="665"/>
      <c r="F9" s="665"/>
      <c r="G9" s="669"/>
    </row>
    <row r="10" spans="1:25" s="640" customFormat="1" ht="36">
      <c r="A10" s="662">
        <v>2</v>
      </c>
      <c r="B10" s="663" t="s">
        <v>1986</v>
      </c>
      <c r="C10" s="664">
        <f>C11+C14+C15</f>
        <v>0</v>
      </c>
      <c r="D10" s="670">
        <f>'数据-汇总表'!E3</f>
        <v>36595.409999999996</v>
      </c>
      <c r="E10" s="664">
        <f>'数据-取费表'!B31</f>
        <v>200</v>
      </c>
      <c r="F10" s="671"/>
      <c r="G10" s="672" t="s">
        <v>1987</v>
      </c>
    </row>
    <row r="11" spans="1:25" s="640" customFormat="1" ht="13.5" customHeight="1">
      <c r="A11" s="662" t="s">
        <v>1982</v>
      </c>
      <c r="B11" s="673" t="s">
        <v>1988</v>
      </c>
      <c r="C11" s="674">
        <f>'数据-取费表'!B29</f>
        <v>0</v>
      </c>
      <c r="D11" s="675"/>
      <c r="E11" s="674"/>
      <c r="F11" s="676"/>
      <c r="G11" s="677" t="s">
        <v>1989</v>
      </c>
    </row>
    <row r="12" spans="1:25" s="640" customFormat="1" ht="13.5" customHeight="1">
      <c r="A12" s="678" t="s">
        <v>1990</v>
      </c>
      <c r="B12" s="679" t="s">
        <v>1991</v>
      </c>
      <c r="C12" s="680">
        <f>ROUND(D12*E12/10000,0)</f>
        <v>863</v>
      </c>
      <c r="D12" s="681">
        <f>'数据-汇总表'!E5</f>
        <v>21576.35</v>
      </c>
      <c r="E12" s="680">
        <f>'数据-取费表'!B27</f>
        <v>400</v>
      </c>
      <c r="F12" s="676"/>
      <c r="G12" s="672"/>
    </row>
    <row r="13" spans="1:25" s="640" customFormat="1" ht="13.5" customHeight="1">
      <c r="A13" s="678" t="s">
        <v>1992</v>
      </c>
      <c r="B13" s="679" t="s">
        <v>1993</v>
      </c>
      <c r="C13" s="680">
        <f>ROUND(D13*E13/10000,0)</f>
        <v>601</v>
      </c>
      <c r="D13" s="681">
        <f>'数据-汇总表'!E6</f>
        <v>15019.059999999998</v>
      </c>
      <c r="E13" s="680">
        <f>'数据-取费表'!B28</f>
        <v>400</v>
      </c>
      <c r="F13" s="676"/>
      <c r="G13" s="672"/>
    </row>
    <row r="14" spans="1:25" s="640" customFormat="1" ht="13.5" customHeight="1">
      <c r="A14" s="662" t="s">
        <v>1984</v>
      </c>
      <c r="B14" s="682" t="s">
        <v>1994</v>
      </c>
      <c r="C14" s="668"/>
      <c r="D14" s="681"/>
      <c r="E14" s="680"/>
      <c r="F14" s="683"/>
      <c r="G14" s="684" t="s">
        <v>1995</v>
      </c>
    </row>
    <row r="15" spans="1:25" s="640" customFormat="1" ht="13.5" customHeight="1">
      <c r="A15" s="662" t="s">
        <v>1996</v>
      </c>
      <c r="B15" s="682" t="s">
        <v>1997</v>
      </c>
      <c r="C15" s="668"/>
      <c r="D15" s="681"/>
      <c r="E15" s="680"/>
      <c r="F15" s="683"/>
      <c r="G15" s="684" t="s">
        <v>1998</v>
      </c>
    </row>
    <row r="16" spans="1:25" s="641" customFormat="1" ht="48">
      <c r="A16" s="662">
        <v>3</v>
      </c>
      <c r="B16" s="663" t="s">
        <v>1999</v>
      </c>
      <c r="C16" s="668"/>
      <c r="D16" s="670"/>
      <c r="E16" s="664"/>
      <c r="F16" s="671"/>
      <c r="G16" s="672" t="s">
        <v>2000</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2001</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2002</v>
      </c>
      <c r="C18" s="664">
        <f>ROUND((C7+C10+C16)*F18,0)</f>
        <v>0</v>
      </c>
      <c r="D18" s="687"/>
      <c r="E18" s="688"/>
      <c r="F18" s="671">
        <f>'数据-取费表'!Q16</f>
        <v>0.3</v>
      </c>
      <c r="G18" s="690" t="s">
        <v>2003</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2004</v>
      </c>
      <c r="C19" s="664">
        <f>C7+C10+C16+C17+C18</f>
        <v>0</v>
      </c>
      <c r="D19" s="670"/>
      <c r="E19" s="664"/>
      <c r="F19" s="671"/>
      <c r="G19" s="690" t="s">
        <v>2005</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2006</v>
      </c>
      <c r="C20" s="664">
        <f>ROUND(C19*F20,0)</f>
        <v>0</v>
      </c>
      <c r="D20" s="670"/>
      <c r="E20" s="664"/>
      <c r="F20" s="692">
        <v>0.1</v>
      </c>
      <c r="G20" s="690" t="s">
        <v>2007</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2008</v>
      </c>
      <c r="C21" s="664">
        <f>C19+C20</f>
        <v>0</v>
      </c>
      <c r="D21" s="670"/>
      <c r="E21" s="664"/>
      <c r="F21" s="671"/>
      <c r="G21" s="690" t="s">
        <v>2009</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2010</v>
      </c>
      <c r="C22" s="664">
        <f>ROUND(C21*F22,0)</f>
        <v>0</v>
      </c>
      <c r="D22" s="670"/>
      <c r="E22" s="664"/>
      <c r="F22" s="693">
        <f>'数据-取费表'!AP16</f>
        <v>0.73299999999999998</v>
      </c>
      <c r="G22" s="690" t="s">
        <v>2011</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2012</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64" t="s">
        <v>20</v>
      </c>
      <c r="B1" s="3064"/>
      <c r="C1" s="3064"/>
      <c r="D1" s="3064"/>
      <c r="E1" s="3064"/>
      <c r="F1" s="3064"/>
      <c r="G1" s="3064"/>
      <c r="H1" s="3064"/>
      <c r="I1" s="3064"/>
      <c r="J1" s="3064"/>
      <c r="K1" s="3064"/>
      <c r="L1" s="3064"/>
      <c r="M1" s="3064"/>
      <c r="N1" s="3064"/>
      <c r="O1" s="3064"/>
      <c r="P1" s="3064"/>
      <c r="Q1" s="3064"/>
      <c r="R1" s="3064"/>
    </row>
    <row r="2" spans="1:18">
      <c r="A2" s="2773" t="s">
        <v>21</v>
      </c>
      <c r="B2" s="2773"/>
      <c r="C2" s="2773"/>
      <c r="D2" s="2773"/>
      <c r="E2" s="2773"/>
      <c r="F2" s="2773"/>
      <c r="G2" s="2773"/>
      <c r="H2" s="2773"/>
      <c r="I2" s="2783"/>
      <c r="J2" s="2783"/>
      <c r="K2" s="2784" t="str">
        <f>"估价期日："&amp;TEXT(项目基本情况!D3,"yyyy年m月d日;;")</f>
        <v>估价期日：2017年11月2日</v>
      </c>
      <c r="L2" s="2773"/>
      <c r="M2" s="2773"/>
      <c r="N2" s="2773"/>
      <c r="O2" s="2773"/>
      <c r="P2" s="2773"/>
      <c r="Q2" s="2773"/>
      <c r="R2" s="2784" t="str">
        <f>"估价期日的国有建设用地使用权性质："&amp;项目基本情况!B14</f>
        <v>估价期日的国有建设用地使用权性质：出让</v>
      </c>
    </row>
    <row r="3" spans="1:18" ht="23.25" customHeight="1">
      <c r="A3" s="3065" t="s">
        <v>22</v>
      </c>
      <c r="B3" s="3065" t="s">
        <v>23</v>
      </c>
      <c r="C3" s="3065" t="s">
        <v>24</v>
      </c>
      <c r="D3" s="3065" t="s">
        <v>25</v>
      </c>
      <c r="E3" s="3065" t="s">
        <v>26</v>
      </c>
      <c r="F3" s="3065"/>
      <c r="G3" s="3065"/>
      <c r="H3" s="3065" t="s">
        <v>27</v>
      </c>
      <c r="I3" s="3065"/>
      <c r="J3" s="3065"/>
      <c r="K3" s="3065" t="s">
        <v>28</v>
      </c>
      <c r="L3" s="3065" t="s">
        <v>29</v>
      </c>
      <c r="M3" s="3065" t="s">
        <v>30</v>
      </c>
      <c r="N3" s="3069" t="str">
        <f>"（分摊）"&amp;项目基本情况!B14&amp;"国有建设用地使用权面积/㎡"</f>
        <v>（分摊）出让国有建设用地使用权面积/㎡</v>
      </c>
      <c r="O3" s="3065" t="s">
        <v>31</v>
      </c>
      <c r="P3" s="3065" t="s">
        <v>32</v>
      </c>
      <c r="Q3" s="3065" t="s">
        <v>33</v>
      </c>
      <c r="R3" s="3065" t="s">
        <v>34</v>
      </c>
    </row>
    <row r="4" spans="1:18" ht="36.75" customHeight="1">
      <c r="A4" s="3065"/>
      <c r="B4" s="3065"/>
      <c r="C4" s="3065"/>
      <c r="D4" s="3065"/>
      <c r="E4" s="2774" t="s">
        <v>35</v>
      </c>
      <c r="F4" s="2774" t="s">
        <v>36</v>
      </c>
      <c r="G4" s="2774" t="s">
        <v>37</v>
      </c>
      <c r="H4" s="2774" t="s">
        <v>38</v>
      </c>
      <c r="I4" s="2774" t="s">
        <v>36</v>
      </c>
      <c r="J4" s="2774" t="s">
        <v>37</v>
      </c>
      <c r="K4" s="3065"/>
      <c r="L4" s="3065"/>
      <c r="M4" s="3065"/>
      <c r="N4" s="3069"/>
      <c r="O4" s="3065"/>
      <c r="P4" s="3065"/>
      <c r="Q4" s="3065"/>
      <c r="R4" s="3065"/>
    </row>
    <row r="5" spans="1:18" ht="135" customHeight="1">
      <c r="A5" s="2775" t="str">
        <f>项目基本情况!C10</f>
        <v>青岛福瀛房地产开发有限公司</v>
      </c>
      <c r="B5" s="2774"/>
      <c r="C5" s="2776"/>
      <c r="D5" s="2774"/>
      <c r="E5" s="2774" t="str">
        <f>项目基本情况!B11</f>
        <v>居住用地</v>
      </c>
      <c r="F5" s="2774"/>
      <c r="G5" s="2774" t="str">
        <f>项目基本情况!B12</f>
        <v>住宅</v>
      </c>
      <c r="H5" s="2774"/>
      <c r="I5" s="2774"/>
      <c r="J5" s="2774"/>
      <c r="K5" s="2774" t="str">
        <f>"红线外"&amp;项目基本情况!T38&amp;"、宗地红线内"&amp;项目基本情况!B33</f>
        <v>红线外七通、宗地红线内场地平整</v>
      </c>
      <c r="L5" s="2774" t="str">
        <f>"红线外"&amp;项目基本情况!T38&amp;"、宗地红线内场地"&amp;项目基本情况!D34</f>
        <v>红线外七通、宗地红线内场地平整</v>
      </c>
      <c r="M5" s="2774" t="str">
        <f>项目基本情况!D18</f>
        <v>住宅33.64年</v>
      </c>
      <c r="N5" s="2774">
        <f>项目基本情况!C20</f>
        <v>17111</v>
      </c>
      <c r="O5" s="2774">
        <f>项目基本情况!C19</f>
        <v>36595.409999999996</v>
      </c>
      <c r="P5" s="2774">
        <f ca="1">结果表!E42</f>
        <v>8124</v>
      </c>
      <c r="Q5" s="2774">
        <f ca="1">结果表!D42</f>
        <v>3799</v>
      </c>
      <c r="R5" s="2776">
        <f ca="1">结果表!C42</f>
        <v>13901</v>
      </c>
    </row>
    <row r="6" spans="1:18">
      <c r="A6" s="3066" t="s">
        <v>39</v>
      </c>
      <c r="B6" s="3067"/>
      <c r="C6" s="3067"/>
      <c r="D6" s="3067"/>
      <c r="E6" s="3067"/>
      <c r="F6" s="3067"/>
      <c r="G6" s="3067"/>
      <c r="H6" s="3067"/>
      <c r="I6" s="3067"/>
      <c r="J6" s="3067"/>
      <c r="K6" s="3067"/>
      <c r="L6" s="3067"/>
      <c r="M6" s="3067"/>
      <c r="N6" s="3067"/>
      <c r="O6" s="3067"/>
      <c r="P6" s="3067"/>
      <c r="Q6" s="3068"/>
      <c r="R6" s="2785">
        <f ca="1">结果表!C44</f>
        <v>13901</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2013</v>
      </c>
      <c r="B1" s="467" t="s">
        <v>2103</v>
      </c>
      <c r="C1" s="132" t="s">
        <v>2015</v>
      </c>
      <c r="D1" s="533" t="s">
        <v>2104</v>
      </c>
      <c r="E1" s="134"/>
      <c r="F1" s="135" t="s">
        <v>2016</v>
      </c>
      <c r="G1" s="136" t="s">
        <v>2017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1818</v>
      </c>
      <c r="B3" s="143">
        <f>C49</f>
        <v>79570</v>
      </c>
      <c r="C3" s="144" t="s">
        <v>2018</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895</v>
      </c>
      <c r="B4" s="147"/>
      <c r="C4" s="3206" t="s">
        <v>896</v>
      </c>
      <c r="D4" s="3207"/>
      <c r="E4" s="3250" t="s">
        <v>897</v>
      </c>
      <c r="F4" s="3251"/>
      <c r="G4" s="3206" t="s">
        <v>898</v>
      </c>
      <c r="H4" s="3207"/>
      <c r="I4" s="3206" t="s">
        <v>899</v>
      </c>
      <c r="J4" s="3207"/>
      <c r="K4" s="302" t="s">
        <v>900</v>
      </c>
      <c r="L4" s="303"/>
      <c r="M4" s="304"/>
      <c r="N4" s="304"/>
      <c r="O4" s="304"/>
      <c r="P4" s="3235" t="s">
        <v>901</v>
      </c>
      <c r="Q4" s="3236"/>
      <c r="R4" s="3241" t="s">
        <v>897</v>
      </c>
      <c r="S4" s="3242"/>
      <c r="T4" s="3241" t="s">
        <v>898</v>
      </c>
      <c r="U4" s="3242"/>
      <c r="V4" s="3227" t="s">
        <v>899</v>
      </c>
      <c r="W4" s="3227"/>
      <c r="X4" s="371"/>
      <c r="Y4" s="3241" t="s">
        <v>901</v>
      </c>
      <c r="Z4" s="3242"/>
      <c r="AA4" s="3228" t="s">
        <v>897</v>
      </c>
      <c r="AB4" s="3227" t="s">
        <v>898</v>
      </c>
      <c r="AC4" s="3228" t="s">
        <v>899</v>
      </c>
    </row>
    <row r="5" spans="1:29" ht="15">
      <c r="A5" s="148"/>
      <c r="B5" s="149"/>
      <c r="C5" s="3208" t="s">
        <v>902</v>
      </c>
      <c r="D5" s="3209"/>
      <c r="E5" s="3252" t="s">
        <v>903</v>
      </c>
      <c r="F5" s="3253"/>
      <c r="G5" s="3208" t="s">
        <v>904</v>
      </c>
      <c r="H5" s="3209"/>
      <c r="I5" s="3208" t="s">
        <v>905</v>
      </c>
      <c r="J5" s="3209"/>
      <c r="K5" s="302"/>
      <c r="L5" s="303"/>
      <c r="M5" s="304"/>
      <c r="N5" s="304"/>
      <c r="O5" s="304"/>
      <c r="P5" s="3237"/>
      <c r="Q5" s="3238"/>
      <c r="R5" s="3243"/>
      <c r="S5" s="3244"/>
      <c r="T5" s="3243"/>
      <c r="U5" s="3244"/>
      <c r="V5" s="3227"/>
      <c r="W5" s="3227"/>
      <c r="X5" s="371"/>
      <c r="Y5" s="3243"/>
      <c r="Z5" s="3244"/>
      <c r="AA5" s="3229"/>
      <c r="AB5" s="3227"/>
      <c r="AC5" s="3229"/>
    </row>
    <row r="6" spans="1:29" ht="15">
      <c r="A6" s="150"/>
      <c r="B6" s="151"/>
      <c r="C6" s="3254" t="s">
        <v>906</v>
      </c>
      <c r="D6" s="3214"/>
      <c r="E6" s="3255" t="s">
        <v>906</v>
      </c>
      <c r="F6" s="3256"/>
      <c r="G6" s="3254" t="s">
        <v>906</v>
      </c>
      <c r="H6" s="3214"/>
      <c r="I6" s="3254" t="s">
        <v>906</v>
      </c>
      <c r="J6" s="3214"/>
      <c r="K6" s="302" t="s">
        <v>907</v>
      </c>
      <c r="L6" s="303"/>
      <c r="M6" s="304"/>
      <c r="N6" s="304"/>
      <c r="O6" s="304"/>
      <c r="P6" s="3239"/>
      <c r="Q6" s="3240"/>
      <c r="R6" s="3243"/>
      <c r="S6" s="3244"/>
      <c r="T6" s="3245"/>
      <c r="U6" s="3246"/>
      <c r="V6" s="3227"/>
      <c r="W6" s="3227"/>
      <c r="X6" s="371"/>
      <c r="Y6" s="3245"/>
      <c r="Z6" s="3246"/>
      <c r="AA6" s="3230"/>
      <c r="AB6" s="3227"/>
      <c r="AC6" s="3230"/>
    </row>
    <row r="7" spans="1:29" s="122" customFormat="1" ht="15">
      <c r="A7" s="152" t="s">
        <v>908</v>
      </c>
      <c r="B7" s="153"/>
      <c r="C7" s="154">
        <f>'数据-取费表'!B2</f>
        <v>43041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48" t="s">
        <v>909</v>
      </c>
      <c r="Q7" s="3257"/>
      <c r="R7" s="372" t="s">
        <v>910</v>
      </c>
      <c r="S7" s="373">
        <f t="shared" ref="S7:S15" si="0">F7</f>
        <v>95</v>
      </c>
      <c r="T7" s="372" t="s">
        <v>910</v>
      </c>
      <c r="U7" s="373">
        <f t="shared" ref="U7:U15" si="1">H7</f>
        <v>92</v>
      </c>
      <c r="V7" s="372" t="s">
        <v>910</v>
      </c>
      <c r="W7" s="373">
        <f t="shared" ref="W7:W15" si="2">J7</f>
        <v>94</v>
      </c>
      <c r="X7" s="374"/>
      <c r="Y7" s="3248" t="s">
        <v>909</v>
      </c>
      <c r="Z7" s="3249"/>
      <c r="AA7" s="391">
        <f>D7/F7</f>
        <v>1.0526315789473684</v>
      </c>
      <c r="AB7" s="391">
        <f>D7/H7</f>
        <v>1.0869565217391304</v>
      </c>
      <c r="AC7" s="391">
        <f>D7/J7</f>
        <v>1.0638297872340425</v>
      </c>
    </row>
    <row r="8" spans="1:29" s="122" customFormat="1" ht="15">
      <c r="A8" s="152" t="s">
        <v>911</v>
      </c>
      <c r="B8" s="153"/>
      <c r="C8" s="159" t="s">
        <v>912</v>
      </c>
      <c r="D8" s="155">
        <v>100</v>
      </c>
      <c r="E8" s="159" t="s">
        <v>983</v>
      </c>
      <c r="F8" s="157">
        <f>SUMIF(61:61,E8,62:62)-SUMIF(61:61,C8,62:62)+100</f>
        <v>102</v>
      </c>
      <c r="G8" s="159" t="s">
        <v>912</v>
      </c>
      <c r="H8" s="155">
        <f>SUMIF(61:61,G8,62:62)-SUMIF(61:61,C8,62:62)+100</f>
        <v>100</v>
      </c>
      <c r="I8" s="159" t="s">
        <v>912</v>
      </c>
      <c r="J8" s="155">
        <f>SUMIF(61:61,I8,62:62)-SUMIF(61:61,C8,62:62)+100</f>
        <v>100</v>
      </c>
      <c r="K8" s="305"/>
      <c r="L8" s="306"/>
      <c r="M8" s="307"/>
      <c r="N8" s="307"/>
      <c r="O8" s="307"/>
      <c r="P8" s="3248" t="s">
        <v>913</v>
      </c>
      <c r="Q8" s="3249"/>
      <c r="R8" s="372" t="s">
        <v>910</v>
      </c>
      <c r="S8" s="373">
        <f t="shared" si="0"/>
        <v>102</v>
      </c>
      <c r="T8" s="372" t="s">
        <v>910</v>
      </c>
      <c r="U8" s="373">
        <f t="shared" si="1"/>
        <v>100</v>
      </c>
      <c r="V8" s="372" t="s">
        <v>910</v>
      </c>
      <c r="W8" s="373">
        <f t="shared" si="2"/>
        <v>100</v>
      </c>
      <c r="X8" s="374"/>
      <c r="Y8" s="3248" t="s">
        <v>913</v>
      </c>
      <c r="Z8" s="3249"/>
      <c r="AA8" s="391">
        <f t="shared" ref="AA8:AA46" si="3">D8/F8</f>
        <v>0.98039215686274506</v>
      </c>
      <c r="AB8" s="391">
        <f t="shared" ref="AB8:AB46" si="4">D8/H8</f>
        <v>1</v>
      </c>
      <c r="AC8" s="391">
        <f t="shared" ref="AC8:AC46" si="5">D8/J8</f>
        <v>1</v>
      </c>
    </row>
    <row r="9" spans="1:29" s="122" customFormat="1">
      <c r="A9" s="160" t="s">
        <v>914</v>
      </c>
      <c r="B9" s="161" t="s">
        <v>915</v>
      </c>
      <c r="C9" s="162" t="s">
        <v>177</v>
      </c>
      <c r="D9" s="163">
        <v>100</v>
      </c>
      <c r="E9" s="164" t="s">
        <v>177</v>
      </c>
      <c r="F9" s="163">
        <f>SUMIF(63:63,E9,64:64)-SUMIF(63:63,C9,64:64)+100</f>
        <v>100</v>
      </c>
      <c r="G9" s="427" t="s">
        <v>2105</v>
      </c>
      <c r="H9" s="163">
        <f>SUMIF(63:63,G9,64:64)-SUMIF(63:63,C9,64:64)+100</f>
        <v>95</v>
      </c>
      <c r="I9" s="427" t="s">
        <v>177</v>
      </c>
      <c r="J9" s="163">
        <f>SUMIF(63:63,I9,64:64)-SUMIF(63:63,C9,64:64)+100</f>
        <v>100</v>
      </c>
      <c r="K9" s="305"/>
      <c r="L9" s="306"/>
      <c r="M9" s="307"/>
      <c r="N9" s="307"/>
      <c r="O9" s="308"/>
      <c r="P9" s="3218" t="s">
        <v>916</v>
      </c>
      <c r="Q9" s="375" t="str">
        <f t="shared" ref="Q9:Q15" si="6">B9</f>
        <v>用途</v>
      </c>
      <c r="R9" s="372" t="s">
        <v>910</v>
      </c>
      <c r="S9" s="373">
        <f t="shared" si="0"/>
        <v>100</v>
      </c>
      <c r="T9" s="372" t="s">
        <v>910</v>
      </c>
      <c r="U9" s="373">
        <f t="shared" si="1"/>
        <v>95</v>
      </c>
      <c r="V9" s="372" t="s">
        <v>910</v>
      </c>
      <c r="W9" s="373">
        <f t="shared" si="2"/>
        <v>100</v>
      </c>
      <c r="X9" s="374"/>
      <c r="Y9" s="3201" t="s">
        <v>917</v>
      </c>
      <c r="Z9" s="392" t="str">
        <f t="shared" ref="Z9:Z15" si="7">Q9</f>
        <v>用途</v>
      </c>
      <c r="AA9" s="391">
        <f t="shared" si="3"/>
        <v>1</v>
      </c>
      <c r="AB9" s="391">
        <f t="shared" si="4"/>
        <v>1.0526315789473684</v>
      </c>
      <c r="AC9" s="391">
        <f t="shared" si="5"/>
        <v>1</v>
      </c>
    </row>
    <row r="10" spans="1:29" s="123" customFormat="1" ht="27">
      <c r="A10" s="165"/>
      <c r="B10" s="166" t="s">
        <v>918</v>
      </c>
      <c r="C10" s="167" t="s">
        <v>2106</v>
      </c>
      <c r="D10" s="168">
        <v>100</v>
      </c>
      <c r="E10" s="167" t="s">
        <v>2107</v>
      </c>
      <c r="F10" s="168">
        <f>SUMIF(65:65,E10,66:66)-SUMIF(65:65,C10,66:66)+100</f>
        <v>99</v>
      </c>
      <c r="G10" s="169" t="s">
        <v>2108</v>
      </c>
      <c r="H10" s="168">
        <f>SUMIF(65:65,G10,66:66)-SUMIF(65:65,C10,66:66)+100</f>
        <v>98</v>
      </c>
      <c r="I10" s="167" t="s">
        <v>2109</v>
      </c>
      <c r="J10" s="168">
        <f>SUMIF(65:65,I10,66:66)-SUMIF(65:65,C10,66:66)+100</f>
        <v>97</v>
      </c>
      <c r="K10" s="310">
        <v>1</v>
      </c>
      <c r="L10" s="311"/>
      <c r="M10" s="312"/>
      <c r="N10" s="312"/>
      <c r="O10" s="313"/>
      <c r="P10" s="3218"/>
      <c r="Q10" s="375" t="str">
        <f t="shared" si="6"/>
        <v>土地使用年限（年）</v>
      </c>
      <c r="R10" s="372" t="s">
        <v>910</v>
      </c>
      <c r="S10" s="373">
        <f t="shared" si="0"/>
        <v>99</v>
      </c>
      <c r="T10" s="372" t="s">
        <v>910</v>
      </c>
      <c r="U10" s="373">
        <f t="shared" si="1"/>
        <v>98</v>
      </c>
      <c r="V10" s="372" t="s">
        <v>910</v>
      </c>
      <c r="W10" s="373">
        <f t="shared" si="2"/>
        <v>97</v>
      </c>
      <c r="X10" s="374"/>
      <c r="Y10" s="3201"/>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18"/>
      <c r="Q11" s="375" t="str">
        <f t="shared" si="6"/>
        <v>容积率</v>
      </c>
      <c r="R11" s="372" t="s">
        <v>910</v>
      </c>
      <c r="S11" s="373">
        <f t="shared" si="0"/>
        <v>98</v>
      </c>
      <c r="T11" s="372" t="s">
        <v>910</v>
      </c>
      <c r="U11" s="373">
        <f t="shared" si="1"/>
        <v>96</v>
      </c>
      <c r="V11" s="372" t="s">
        <v>910</v>
      </c>
      <c r="W11" s="373">
        <f t="shared" si="2"/>
        <v>94</v>
      </c>
      <c r="X11" s="374"/>
      <c r="Y11" s="3201"/>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18"/>
      <c r="Q12" s="375">
        <f t="shared" si="6"/>
        <v>111</v>
      </c>
      <c r="R12" s="372" t="s">
        <v>910</v>
      </c>
      <c r="S12" s="373">
        <f t="shared" si="0"/>
        <v>99</v>
      </c>
      <c r="T12" s="372" t="s">
        <v>910</v>
      </c>
      <c r="U12" s="373">
        <f t="shared" si="1"/>
        <v>98</v>
      </c>
      <c r="V12" s="372" t="s">
        <v>910</v>
      </c>
      <c r="W12" s="373">
        <f t="shared" si="2"/>
        <v>97</v>
      </c>
      <c r="X12" s="374"/>
      <c r="Y12" s="3201"/>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18"/>
      <c r="Q13" s="375">
        <f t="shared" si="6"/>
        <v>111</v>
      </c>
      <c r="R13" s="372" t="s">
        <v>910</v>
      </c>
      <c r="S13" s="373">
        <f t="shared" si="0"/>
        <v>99</v>
      </c>
      <c r="T13" s="372" t="s">
        <v>910</v>
      </c>
      <c r="U13" s="373">
        <f t="shared" si="1"/>
        <v>98</v>
      </c>
      <c r="V13" s="372" t="s">
        <v>910</v>
      </c>
      <c r="W13" s="373">
        <f t="shared" si="2"/>
        <v>97</v>
      </c>
      <c r="X13" s="374"/>
      <c r="Y13" s="3201"/>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18"/>
      <c r="Q14" s="375">
        <f t="shared" si="6"/>
        <v>111</v>
      </c>
      <c r="R14" s="372" t="s">
        <v>910</v>
      </c>
      <c r="S14" s="373">
        <f t="shared" si="0"/>
        <v>98</v>
      </c>
      <c r="T14" s="372" t="s">
        <v>910</v>
      </c>
      <c r="U14" s="373">
        <f t="shared" si="1"/>
        <v>96</v>
      </c>
      <c r="V14" s="372" t="s">
        <v>910</v>
      </c>
      <c r="W14" s="373">
        <f t="shared" si="2"/>
        <v>94</v>
      </c>
      <c r="X14" s="374"/>
      <c r="Y14" s="3201"/>
      <c r="Z14" s="392">
        <f t="shared" si="7"/>
        <v>111</v>
      </c>
      <c r="AA14" s="391">
        <f t="shared" si="3"/>
        <v>1.0204081632653061</v>
      </c>
      <c r="AB14" s="391">
        <f t="shared" si="4"/>
        <v>1.0416666666666667</v>
      </c>
      <c r="AC14" s="391">
        <f t="shared" si="5"/>
        <v>1.0638297872340425</v>
      </c>
    </row>
    <row r="15" spans="1:29" ht="85.5">
      <c r="A15" s="178" t="s">
        <v>922</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19" t="s">
        <v>923</v>
      </c>
      <c r="Q15" s="309" t="str">
        <f t="shared" si="6"/>
        <v>商业繁华度</v>
      </c>
      <c r="R15" s="376" t="s">
        <v>910</v>
      </c>
      <c r="S15" s="377">
        <f t="shared" si="0"/>
        <v>100</v>
      </c>
      <c r="T15" s="376" t="s">
        <v>910</v>
      </c>
      <c r="U15" s="377">
        <f t="shared" si="1"/>
        <v>100</v>
      </c>
      <c r="V15" s="376" t="s">
        <v>910</v>
      </c>
      <c r="W15" s="377">
        <f t="shared" si="2"/>
        <v>100</v>
      </c>
      <c r="X15" s="371"/>
      <c r="Y15" s="3219" t="s">
        <v>923</v>
      </c>
      <c r="Z15" s="370" t="str">
        <f t="shared" si="7"/>
        <v>商业繁华度</v>
      </c>
      <c r="AA15" s="382">
        <f t="shared" si="3"/>
        <v>1</v>
      </c>
      <c r="AB15" s="382">
        <f t="shared" si="4"/>
        <v>1</v>
      </c>
      <c r="AC15" s="382">
        <f t="shared" si="5"/>
        <v>1</v>
      </c>
    </row>
    <row r="16" spans="1:29" ht="15">
      <c r="A16" s="170"/>
      <c r="B16" s="185"/>
      <c r="C16" s="186" t="s">
        <v>1016</v>
      </c>
      <c r="D16" s="187"/>
      <c r="E16" s="186" t="s">
        <v>1016</v>
      </c>
      <c r="F16" s="188"/>
      <c r="G16" s="186" t="s">
        <v>1016</v>
      </c>
      <c r="H16" s="189"/>
      <c r="I16" s="186" t="s">
        <v>1016</v>
      </c>
      <c r="J16" s="187"/>
      <c r="K16" s="319"/>
      <c r="L16" s="317"/>
      <c r="M16" s="304"/>
      <c r="N16" s="304"/>
      <c r="O16" s="316"/>
      <c r="P16" s="3220"/>
      <c r="Q16" s="309"/>
      <c r="R16" s="376"/>
      <c r="S16" s="377"/>
      <c r="T16" s="376"/>
      <c r="U16" s="377"/>
      <c r="V16" s="376"/>
      <c r="W16" s="377"/>
      <c r="X16" s="371"/>
      <c r="Y16" s="3220"/>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20"/>
      <c r="Q17" s="309" t="str">
        <f>B17</f>
        <v>交通便捷度</v>
      </c>
      <c r="R17" s="376" t="s">
        <v>910</v>
      </c>
      <c r="S17" s="377">
        <f>F17</f>
        <v>97</v>
      </c>
      <c r="T17" s="376" t="s">
        <v>910</v>
      </c>
      <c r="U17" s="377">
        <f>H17</f>
        <v>94</v>
      </c>
      <c r="V17" s="376" t="s">
        <v>910</v>
      </c>
      <c r="W17" s="377">
        <f>J17</f>
        <v>106</v>
      </c>
      <c r="X17" s="371"/>
      <c r="Y17" s="3220"/>
      <c r="Z17" s="370" t="str">
        <f>Q17</f>
        <v>交通便捷度</v>
      </c>
      <c r="AA17" s="382">
        <f t="shared" si="3"/>
        <v>1.0309278350515463</v>
      </c>
      <c r="AB17" s="382">
        <f t="shared" si="4"/>
        <v>1.0638297872340425</v>
      </c>
      <c r="AC17" s="382">
        <f t="shared" si="5"/>
        <v>0.94339622641509435</v>
      </c>
    </row>
    <row r="18" spans="1:29" ht="15">
      <c r="A18" s="170"/>
      <c r="B18" s="204"/>
      <c r="C18" s="197" t="s">
        <v>1011</v>
      </c>
      <c r="D18" s="189"/>
      <c r="E18" s="472" t="s">
        <v>1012</v>
      </c>
      <c r="F18" s="200"/>
      <c r="G18" s="473" t="s">
        <v>1013</v>
      </c>
      <c r="H18" s="187"/>
      <c r="I18" s="472" t="s">
        <v>1018</v>
      </c>
      <c r="J18" s="187"/>
      <c r="K18" s="319"/>
      <c r="L18" s="317"/>
      <c r="M18" s="304"/>
      <c r="N18" s="304"/>
      <c r="O18" s="316"/>
      <c r="P18" s="3220"/>
      <c r="Q18" s="309"/>
      <c r="R18" s="376"/>
      <c r="S18" s="377"/>
      <c r="T18" s="376"/>
      <c r="U18" s="377"/>
      <c r="V18" s="376"/>
      <c r="W18" s="377"/>
      <c r="X18" s="371"/>
      <c r="Y18" s="3220"/>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20"/>
      <c r="Q19" s="309" t="str">
        <f>B19</f>
        <v>公共配套设施</v>
      </c>
      <c r="R19" s="376" t="s">
        <v>910</v>
      </c>
      <c r="S19" s="377">
        <f>F19</f>
        <v>98</v>
      </c>
      <c r="T19" s="376" t="s">
        <v>910</v>
      </c>
      <c r="U19" s="377">
        <f>H19</f>
        <v>96</v>
      </c>
      <c r="V19" s="376" t="s">
        <v>910</v>
      </c>
      <c r="W19" s="377">
        <f>J19</f>
        <v>100</v>
      </c>
      <c r="X19" s="371"/>
      <c r="Y19" s="3220"/>
      <c r="Z19" s="370" t="str">
        <f>Q19</f>
        <v>公共配套设施</v>
      </c>
      <c r="AA19" s="382">
        <f t="shared" si="3"/>
        <v>1.0204081632653061</v>
      </c>
      <c r="AB19" s="382">
        <f t="shared" si="4"/>
        <v>1.0416666666666667</v>
      </c>
      <c r="AC19" s="382">
        <f t="shared" si="5"/>
        <v>1</v>
      </c>
    </row>
    <row r="20" spans="1:29" ht="15">
      <c r="A20" s="170"/>
      <c r="B20" s="204"/>
      <c r="C20" s="186" t="s">
        <v>1016</v>
      </c>
      <c r="D20" s="187"/>
      <c r="E20" s="474" t="s">
        <v>1011</v>
      </c>
      <c r="F20" s="188"/>
      <c r="G20" s="475" t="s">
        <v>1012</v>
      </c>
      <c r="H20" s="187"/>
      <c r="I20" s="474" t="s">
        <v>1016</v>
      </c>
      <c r="J20" s="187"/>
      <c r="K20" s="319"/>
      <c r="L20" s="317"/>
      <c r="M20" s="304"/>
      <c r="N20" s="304"/>
      <c r="O20" s="316"/>
      <c r="P20" s="3220"/>
      <c r="Q20" s="309"/>
      <c r="R20" s="376"/>
      <c r="S20" s="377"/>
      <c r="T20" s="376"/>
      <c r="U20" s="377"/>
      <c r="V20" s="376"/>
      <c r="W20" s="377"/>
      <c r="X20" s="371"/>
      <c r="Y20" s="3220"/>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20"/>
      <c r="Q21" s="309" t="str">
        <f>B21</f>
        <v>基础设施水平</v>
      </c>
      <c r="R21" s="376" t="s">
        <v>910</v>
      </c>
      <c r="S21" s="377">
        <f>F21</f>
        <v>99</v>
      </c>
      <c r="T21" s="376" t="s">
        <v>910</v>
      </c>
      <c r="U21" s="377">
        <f>H21</f>
        <v>98</v>
      </c>
      <c r="V21" s="376" t="s">
        <v>910</v>
      </c>
      <c r="W21" s="377">
        <f>J21</f>
        <v>97</v>
      </c>
      <c r="X21" s="371"/>
      <c r="Y21" s="3220"/>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20"/>
      <c r="Q22" s="309"/>
      <c r="R22" s="376"/>
      <c r="S22" s="377"/>
      <c r="T22" s="376"/>
      <c r="U22" s="377"/>
      <c r="V22" s="376"/>
      <c r="W22" s="377"/>
      <c r="X22" s="371"/>
      <c r="Y22" s="3220"/>
      <c r="Z22" s="370"/>
      <c r="AA22" s="382">
        <v>1</v>
      </c>
      <c r="AB22" s="382">
        <v>1</v>
      </c>
      <c r="AC22" s="382">
        <v>1</v>
      </c>
    </row>
    <row r="23" spans="1:29" ht="213.75">
      <c r="A23" s="170"/>
      <c r="B23" s="203" t="s">
        <v>2020</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20"/>
      <c r="Q23" s="309" t="str">
        <f>B23</f>
        <v>自然及人文环境</v>
      </c>
      <c r="R23" s="376" t="s">
        <v>910</v>
      </c>
      <c r="S23" s="377">
        <f>F23</f>
        <v>98.5</v>
      </c>
      <c r="T23" s="376" t="s">
        <v>910</v>
      </c>
      <c r="U23" s="377">
        <f>H23</f>
        <v>103</v>
      </c>
      <c r="V23" s="376" t="s">
        <v>910</v>
      </c>
      <c r="W23" s="377">
        <f>J23</f>
        <v>101.5</v>
      </c>
      <c r="X23" s="371"/>
      <c r="Y23" s="3220"/>
      <c r="Z23" s="370" t="str">
        <f>Q23</f>
        <v>自然及人文环境</v>
      </c>
      <c r="AA23" s="382">
        <f t="shared" si="3"/>
        <v>1.015228426395939</v>
      </c>
      <c r="AB23" s="382">
        <f t="shared" si="4"/>
        <v>0.970873786407767</v>
      </c>
      <c r="AC23" s="382">
        <f t="shared" si="5"/>
        <v>0.98522167487684731</v>
      </c>
    </row>
    <row r="24" spans="1:29" ht="15">
      <c r="A24" s="170"/>
      <c r="B24" s="204"/>
      <c r="C24" s="186" t="s">
        <v>1011</v>
      </c>
      <c r="D24" s="187"/>
      <c r="E24" s="474" t="s">
        <v>1012</v>
      </c>
      <c r="F24" s="188"/>
      <c r="G24" s="475" t="s">
        <v>1018</v>
      </c>
      <c r="H24" s="187"/>
      <c r="I24" s="474" t="s">
        <v>1016</v>
      </c>
      <c r="J24" s="187"/>
      <c r="K24" s="319"/>
      <c r="L24" s="317"/>
      <c r="M24" s="304"/>
      <c r="N24" s="304"/>
      <c r="O24" s="316"/>
      <c r="P24" s="3220"/>
      <c r="Q24" s="309"/>
      <c r="R24" s="376"/>
      <c r="S24" s="377"/>
      <c r="T24" s="376"/>
      <c r="U24" s="377"/>
      <c r="V24" s="376"/>
      <c r="W24" s="377"/>
      <c r="X24" s="371"/>
      <c r="Y24" s="3220"/>
      <c r="Z24" s="370"/>
      <c r="AA24" s="382">
        <v>1</v>
      </c>
      <c r="AB24" s="382">
        <v>1</v>
      </c>
      <c r="AC24" s="382">
        <v>1</v>
      </c>
    </row>
    <row r="25" spans="1:29" ht="15">
      <c r="A25" s="170"/>
      <c r="B25" s="166" t="s">
        <v>154</v>
      </c>
      <c r="C25" s="205" t="s">
        <v>988</v>
      </c>
      <c r="D25" s="177">
        <v>100</v>
      </c>
      <c r="E25" s="205" t="s">
        <v>986</v>
      </c>
      <c r="F25" s="206">
        <f>SUMIF(86:86,E25,87:87)-SUMIF(86:86,C25,87:87)+100</f>
        <v>104</v>
      </c>
      <c r="G25" s="205" t="s">
        <v>987</v>
      </c>
      <c r="H25" s="177">
        <f>SUMIF(86:86,G25,87:87)-SUMIF(86:86,C25,87:87)+100</f>
        <v>102</v>
      </c>
      <c r="I25" s="205" t="s">
        <v>989</v>
      </c>
      <c r="J25" s="177">
        <f>SUMIF(86:86,I25,87:87)-SUMIF(86:86,C25,87:87)+100</f>
        <v>98</v>
      </c>
      <c r="K25" s="310">
        <v>2</v>
      </c>
      <c r="L25" s="317"/>
      <c r="M25" s="304"/>
      <c r="N25" s="304"/>
      <c r="O25" s="316"/>
      <c r="P25" s="3220"/>
      <c r="Q25" s="309" t="str">
        <f t="shared" ref="Q25:Q46" si="8">B25</f>
        <v>临街状况</v>
      </c>
      <c r="R25" s="376" t="s">
        <v>910</v>
      </c>
      <c r="S25" s="377">
        <f>F25</f>
        <v>104</v>
      </c>
      <c r="T25" s="376" t="s">
        <v>910</v>
      </c>
      <c r="U25" s="377">
        <f>H25</f>
        <v>102</v>
      </c>
      <c r="V25" s="376" t="s">
        <v>910</v>
      </c>
      <c r="W25" s="377">
        <f>J25</f>
        <v>98</v>
      </c>
      <c r="X25" s="371"/>
      <c r="Y25" s="3220"/>
      <c r="Z25" s="370" t="str">
        <f>Q25</f>
        <v>临街状况</v>
      </c>
      <c r="AA25" s="382">
        <f t="shared" si="3"/>
        <v>0.96153846153846156</v>
      </c>
      <c r="AB25" s="382">
        <f t="shared" si="4"/>
        <v>0.98039215686274506</v>
      </c>
      <c r="AC25" s="382">
        <f t="shared" si="5"/>
        <v>1.0204081632653061</v>
      </c>
    </row>
    <row r="26" spans="1:29" ht="15">
      <c r="A26" s="170"/>
      <c r="B26" s="477" t="s">
        <v>2110</v>
      </c>
      <c r="C26" s="176" t="s">
        <v>1018</v>
      </c>
      <c r="D26" s="177">
        <v>100</v>
      </c>
      <c r="E26" s="176" t="s">
        <v>1016</v>
      </c>
      <c r="F26" s="206">
        <f>SUMIF(88:88,E26,89:89)-SUMIF(88:88,C26,89:89)+100</f>
        <v>98</v>
      </c>
      <c r="G26" s="176" t="s">
        <v>1011</v>
      </c>
      <c r="H26" s="177">
        <f>SUMIF(88:88,G26,89:89)-SUMIF(88:88,C26,89:89)+100</f>
        <v>96</v>
      </c>
      <c r="I26" s="176" t="s">
        <v>1013</v>
      </c>
      <c r="J26" s="177">
        <f>SUMIF(88:88,I26,89:89)-SUMIF(88:88,C26,89:89)+100</f>
        <v>92</v>
      </c>
      <c r="K26" s="314"/>
      <c r="L26" s="317"/>
      <c r="M26" s="304"/>
      <c r="N26" s="304"/>
      <c r="O26" s="316"/>
      <c r="P26" s="3220"/>
      <c r="Q26" s="309" t="str">
        <f t="shared" si="8"/>
        <v>平面位置/可视性</v>
      </c>
      <c r="R26" s="376" t="s">
        <v>910</v>
      </c>
      <c r="S26" s="377">
        <f>F26</f>
        <v>98</v>
      </c>
      <c r="T26" s="376" t="s">
        <v>910</v>
      </c>
      <c r="U26" s="377">
        <f>H26</f>
        <v>96</v>
      </c>
      <c r="V26" s="376" t="s">
        <v>910</v>
      </c>
      <c r="W26" s="377">
        <f>J26</f>
        <v>92</v>
      </c>
      <c r="X26" s="371"/>
      <c r="Y26" s="3220"/>
      <c r="Z26" s="370" t="str">
        <f>Q26</f>
        <v>平面位置/可视性</v>
      </c>
      <c r="AA26" s="382">
        <f t="shared" si="3"/>
        <v>1.0204081632653061</v>
      </c>
      <c r="AB26" s="382">
        <f t="shared" si="4"/>
        <v>1.0416666666666667</v>
      </c>
      <c r="AC26" s="382">
        <f t="shared" si="5"/>
        <v>1.0869565217391304</v>
      </c>
    </row>
    <row r="27" spans="1:29" s="122" customFormat="1" ht="15">
      <c r="A27" s="174"/>
      <c r="B27" s="203" t="s">
        <v>2111</v>
      </c>
      <c r="C27" s="512" t="s">
        <v>2112</v>
      </c>
      <c r="D27" s="478">
        <v>100</v>
      </c>
      <c r="E27" s="512" t="s">
        <v>2113</v>
      </c>
      <c r="F27" s="479">
        <f>SUMIF(90:90,E27,91:91)-SUMIF(90:90,C27,91:91)+100</f>
        <v>97</v>
      </c>
      <c r="G27" s="512" t="s">
        <v>192</v>
      </c>
      <c r="H27" s="478">
        <f>SUMIF(90:90,G27,91:91)-SUMIF(90:90,C27,91:91)+100</f>
        <v>94</v>
      </c>
      <c r="I27" s="512" t="s">
        <v>2114</v>
      </c>
      <c r="J27" s="478">
        <f>SUMIF(90:90,I27,91:91)-SUMIF(90:90,C27,91:91)+100</f>
        <v>91</v>
      </c>
      <c r="K27" s="310">
        <v>3</v>
      </c>
      <c r="L27" s="306"/>
      <c r="M27" s="307"/>
      <c r="N27" s="307"/>
      <c r="O27" s="308"/>
      <c r="P27" s="3220"/>
      <c r="Q27" s="375" t="str">
        <f t="shared" si="8"/>
        <v>人流量</v>
      </c>
      <c r="R27" s="372" t="s">
        <v>910</v>
      </c>
      <c r="S27" s="373">
        <f>F27</f>
        <v>97</v>
      </c>
      <c r="T27" s="372" t="s">
        <v>910</v>
      </c>
      <c r="U27" s="373">
        <f>H27</f>
        <v>94</v>
      </c>
      <c r="V27" s="372" t="s">
        <v>910</v>
      </c>
      <c r="W27" s="373">
        <f>J27</f>
        <v>91</v>
      </c>
      <c r="X27" s="374"/>
      <c r="Y27" s="3220"/>
      <c r="Z27" s="392" t="str">
        <f>Q27</f>
        <v>人流量</v>
      </c>
      <c r="AA27" s="382">
        <f t="shared" si="3"/>
        <v>1.0309278350515463</v>
      </c>
      <c r="AB27" s="382">
        <f t="shared" si="4"/>
        <v>1.0638297872340425</v>
      </c>
      <c r="AC27" s="382">
        <f t="shared" si="5"/>
        <v>1.098901098901099</v>
      </c>
    </row>
    <row r="28" spans="1:29" ht="15">
      <c r="A28" s="170"/>
      <c r="B28" s="166" t="s">
        <v>2115</v>
      </c>
      <c r="C28" s="205" t="s">
        <v>2116</v>
      </c>
      <c r="D28" s="177">
        <v>100</v>
      </c>
      <c r="E28" s="205" t="s">
        <v>2117</v>
      </c>
      <c r="F28" s="206">
        <f>SUMIF(92:92,E28,93:93)-SUMIF(92:92,C28,93:93)+100</f>
        <v>90</v>
      </c>
      <c r="G28" s="205" t="s">
        <v>2118</v>
      </c>
      <c r="H28" s="177">
        <f>SUMIF(92:92,G28,93:93)-SUMIF(92:92,C28,93:93)+100</f>
        <v>80</v>
      </c>
      <c r="I28" s="205" t="s">
        <v>2119</v>
      </c>
      <c r="J28" s="177">
        <f>SUMIF(92:92,I28,93:93)-SUMIF(92:92,C28,93:93)+100</f>
        <v>80</v>
      </c>
      <c r="K28" s="314"/>
      <c r="L28" s="317"/>
      <c r="M28" s="304"/>
      <c r="N28" s="304"/>
      <c r="O28" s="316"/>
      <c r="P28" s="3220"/>
      <c r="Q28" s="309" t="str">
        <f t="shared" si="8"/>
        <v>楼层</v>
      </c>
      <c r="R28" s="376" t="s">
        <v>910</v>
      </c>
      <c r="S28" s="377">
        <f t="shared" ref="S28:S46" si="9">F28</f>
        <v>90</v>
      </c>
      <c r="T28" s="376" t="s">
        <v>910</v>
      </c>
      <c r="U28" s="377">
        <f t="shared" ref="U28:U46" si="10">H28</f>
        <v>80</v>
      </c>
      <c r="V28" s="376" t="s">
        <v>910</v>
      </c>
      <c r="W28" s="377">
        <f t="shared" ref="W28:W46" si="11">J28</f>
        <v>80</v>
      </c>
      <c r="X28" s="371"/>
      <c r="Y28" s="3220"/>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20"/>
      <c r="Q29" s="309">
        <f t="shared" si="8"/>
        <v>111</v>
      </c>
      <c r="R29" s="376" t="s">
        <v>910</v>
      </c>
      <c r="S29" s="377">
        <f t="shared" si="9"/>
        <v>99</v>
      </c>
      <c r="T29" s="376" t="s">
        <v>910</v>
      </c>
      <c r="U29" s="377">
        <f t="shared" si="10"/>
        <v>98</v>
      </c>
      <c r="V29" s="376" t="s">
        <v>910</v>
      </c>
      <c r="W29" s="377">
        <f t="shared" si="11"/>
        <v>97</v>
      </c>
      <c r="X29" s="371"/>
      <c r="Y29" s="3220"/>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20"/>
      <c r="Q30" s="309">
        <f t="shared" si="8"/>
        <v>111</v>
      </c>
      <c r="R30" s="376" t="s">
        <v>910</v>
      </c>
      <c r="S30" s="377">
        <f t="shared" si="9"/>
        <v>99</v>
      </c>
      <c r="T30" s="376" t="s">
        <v>910</v>
      </c>
      <c r="U30" s="377">
        <f t="shared" si="10"/>
        <v>98</v>
      </c>
      <c r="V30" s="376" t="s">
        <v>910</v>
      </c>
      <c r="W30" s="377">
        <f t="shared" si="11"/>
        <v>97</v>
      </c>
      <c r="X30" s="371"/>
      <c r="Y30" s="3220"/>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20"/>
      <c r="Q31" s="309">
        <f t="shared" si="8"/>
        <v>111</v>
      </c>
      <c r="R31" s="376" t="s">
        <v>910</v>
      </c>
      <c r="S31" s="377">
        <f t="shared" si="9"/>
        <v>98</v>
      </c>
      <c r="T31" s="376" t="s">
        <v>910</v>
      </c>
      <c r="U31" s="377">
        <f t="shared" si="10"/>
        <v>96</v>
      </c>
      <c r="V31" s="376" t="s">
        <v>910</v>
      </c>
      <c r="W31" s="377">
        <f t="shared" si="11"/>
        <v>94</v>
      </c>
      <c r="X31" s="371"/>
      <c r="Y31" s="3220"/>
      <c r="Z31" s="370">
        <f t="shared" si="12"/>
        <v>111</v>
      </c>
      <c r="AA31" s="382">
        <f t="shared" si="3"/>
        <v>1.0204081632653061</v>
      </c>
      <c r="AB31" s="382">
        <f t="shared" si="4"/>
        <v>1.0416666666666667</v>
      </c>
      <c r="AC31" s="382">
        <f t="shared" si="5"/>
        <v>1.0638297872340425</v>
      </c>
    </row>
    <row r="32" spans="1:29" ht="15">
      <c r="A32" s="210" t="s">
        <v>933</v>
      </c>
      <c r="B32" s="161" t="s">
        <v>2120</v>
      </c>
      <c r="C32" s="538" t="s">
        <v>2121</v>
      </c>
      <c r="D32" s="212">
        <v>100</v>
      </c>
      <c r="E32" s="538" t="s">
        <v>2122</v>
      </c>
      <c r="F32" s="206">
        <f>SUMIF(100:100,E32,101:101)-SUMIF(100:100,C32,101:101)+100</f>
        <v>102</v>
      </c>
      <c r="G32" s="538" t="s">
        <v>2123</v>
      </c>
      <c r="H32" s="177">
        <f>SUMIF(100:100,G32,101:101)-SUMIF(100:100,C32,101:101)+100</f>
        <v>104</v>
      </c>
      <c r="I32" s="538" t="s">
        <v>2121</v>
      </c>
      <c r="J32" s="212">
        <f>SUMIF(100:100,I32,101:101)-SUMIF(100:100,C32,101:101)+100</f>
        <v>100</v>
      </c>
      <c r="K32" s="310">
        <v>2</v>
      </c>
      <c r="L32" s="317"/>
      <c r="M32" s="304"/>
      <c r="N32" s="304"/>
      <c r="O32" s="316"/>
      <c r="P32" s="3221" t="s">
        <v>932</v>
      </c>
      <c r="Q32" s="309" t="str">
        <f t="shared" si="8"/>
        <v>商业类型</v>
      </c>
      <c r="R32" s="376" t="s">
        <v>910</v>
      </c>
      <c r="S32" s="377">
        <f t="shared" si="9"/>
        <v>102</v>
      </c>
      <c r="T32" s="376" t="s">
        <v>910</v>
      </c>
      <c r="U32" s="377">
        <f t="shared" si="10"/>
        <v>104</v>
      </c>
      <c r="V32" s="376" t="s">
        <v>910</v>
      </c>
      <c r="W32" s="377">
        <f t="shared" si="11"/>
        <v>100</v>
      </c>
      <c r="X32" s="371"/>
      <c r="Y32" s="3222" t="s">
        <v>932</v>
      </c>
      <c r="Z32" s="370" t="str">
        <f t="shared" si="12"/>
        <v>商业类型</v>
      </c>
      <c r="AA32" s="382">
        <f t="shared" si="3"/>
        <v>0.98039215686274506</v>
      </c>
      <c r="AB32" s="382">
        <f t="shared" si="4"/>
        <v>0.96153846153846156</v>
      </c>
      <c r="AC32" s="382">
        <f t="shared" si="5"/>
        <v>1</v>
      </c>
    </row>
    <row r="33" spans="1:29" s="124" customFormat="1" ht="15">
      <c r="A33" s="214"/>
      <c r="B33" s="166" t="s">
        <v>2027</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22"/>
      <c r="Q33" s="378" t="str">
        <f t="shared" si="8"/>
        <v>项目建筑规模</v>
      </c>
      <c r="R33" s="379" t="s">
        <v>910</v>
      </c>
      <c r="S33" s="380">
        <f t="shared" si="9"/>
        <v>92</v>
      </c>
      <c r="T33" s="379" t="s">
        <v>910</v>
      </c>
      <c r="U33" s="380">
        <f t="shared" si="10"/>
        <v>94</v>
      </c>
      <c r="V33" s="379" t="s">
        <v>910</v>
      </c>
      <c r="W33" s="380">
        <f t="shared" si="11"/>
        <v>96</v>
      </c>
      <c r="X33" s="381"/>
      <c r="Y33" s="3222"/>
      <c r="Z33" s="393" t="str">
        <f t="shared" si="12"/>
        <v>项目建筑规模</v>
      </c>
      <c r="AA33" s="382">
        <f t="shared" si="3"/>
        <v>1.0869565217391304</v>
      </c>
      <c r="AB33" s="382">
        <f t="shared" si="4"/>
        <v>1.0638297872340425</v>
      </c>
      <c r="AC33" s="382">
        <f t="shared" si="5"/>
        <v>1.0416666666666667</v>
      </c>
    </row>
    <row r="34" spans="1:29" ht="15">
      <c r="A34" s="218"/>
      <c r="B34" s="166" t="s">
        <v>2028</v>
      </c>
      <c r="C34" s="539" t="s">
        <v>2029</v>
      </c>
      <c r="D34" s="177">
        <v>100</v>
      </c>
      <c r="E34" s="540" t="s">
        <v>2029</v>
      </c>
      <c r="F34" s="206">
        <f>SUMIF(105:105,E34,106:106)-SUMIF(105:105,C34,106:106)+100</f>
        <v>100</v>
      </c>
      <c r="G34" s="539" t="s">
        <v>2124</v>
      </c>
      <c r="H34" s="177">
        <f>SUMIF(105:105,G34,106:106)-SUMIF(105:105,C34,106:106)+100</f>
        <v>101</v>
      </c>
      <c r="I34" s="539" t="s">
        <v>2074</v>
      </c>
      <c r="J34" s="177">
        <f>SUMIF(105:105,I34,106:106)-SUMIF(105:105,C34,106:106)+100</f>
        <v>99</v>
      </c>
      <c r="K34" s="310">
        <v>1</v>
      </c>
      <c r="L34" s="317"/>
      <c r="M34" s="304"/>
      <c r="N34" s="304"/>
      <c r="O34" s="316"/>
      <c r="P34" s="3222"/>
      <c r="Q34" s="309" t="str">
        <f t="shared" si="8"/>
        <v>建筑结构</v>
      </c>
      <c r="R34" s="376" t="s">
        <v>910</v>
      </c>
      <c r="S34" s="377">
        <f t="shared" si="9"/>
        <v>100</v>
      </c>
      <c r="T34" s="376" t="s">
        <v>910</v>
      </c>
      <c r="U34" s="377">
        <f t="shared" si="10"/>
        <v>101</v>
      </c>
      <c r="V34" s="376" t="s">
        <v>910</v>
      </c>
      <c r="W34" s="377">
        <f t="shared" si="11"/>
        <v>99</v>
      </c>
      <c r="X34" s="371"/>
      <c r="Y34" s="3222"/>
      <c r="Z34" s="370" t="str">
        <f t="shared" si="12"/>
        <v>建筑结构</v>
      </c>
      <c r="AA34" s="382">
        <f t="shared" si="3"/>
        <v>1</v>
      </c>
      <c r="AB34" s="382">
        <f t="shared" si="4"/>
        <v>0.99009900990099009</v>
      </c>
      <c r="AC34" s="382">
        <f t="shared" si="5"/>
        <v>1.0101010101010102</v>
      </c>
    </row>
    <row r="35" spans="1:29" ht="15">
      <c r="A35" s="218"/>
      <c r="B35" s="166" t="s">
        <v>2032</v>
      </c>
      <c r="C35" s="515" t="s">
        <v>2125</v>
      </c>
      <c r="D35" s="177">
        <v>100</v>
      </c>
      <c r="E35" s="515" t="s">
        <v>2126</v>
      </c>
      <c r="F35" s="206">
        <f>SUMIF(107:107,E35,108:108)-SUMIF(107:107,C35,108:108)+100</f>
        <v>97</v>
      </c>
      <c r="G35" s="515" t="s">
        <v>2033</v>
      </c>
      <c r="H35" s="177">
        <f>SUMIF(107:107,G35,108:108)-SUMIF(107:107,C35,108:108)+100</f>
        <v>103</v>
      </c>
      <c r="I35" s="515" t="s">
        <v>2042</v>
      </c>
      <c r="J35" s="177">
        <f>SUMIF(107:107,I35,108:108)-SUMIF(107:107,C35,108:108)+100</f>
        <v>94</v>
      </c>
      <c r="K35" s="310">
        <v>3</v>
      </c>
      <c r="L35" s="317"/>
      <c r="M35" s="304"/>
      <c r="N35" s="304"/>
      <c r="O35" s="316"/>
      <c r="P35" s="3222"/>
      <c r="Q35" s="309" t="str">
        <f t="shared" si="8"/>
        <v>公共部分装修</v>
      </c>
      <c r="R35" s="376" t="s">
        <v>910</v>
      </c>
      <c r="S35" s="377">
        <f t="shared" si="9"/>
        <v>97</v>
      </c>
      <c r="T35" s="376" t="s">
        <v>910</v>
      </c>
      <c r="U35" s="377">
        <f t="shared" si="10"/>
        <v>103</v>
      </c>
      <c r="V35" s="376" t="s">
        <v>910</v>
      </c>
      <c r="W35" s="377">
        <f t="shared" si="11"/>
        <v>94</v>
      </c>
      <c r="X35" s="371"/>
      <c r="Y35" s="3222"/>
      <c r="Z35" s="370" t="str">
        <f t="shared" si="12"/>
        <v>公共部分装修</v>
      </c>
      <c r="AA35" s="382">
        <f t="shared" si="3"/>
        <v>1.0309278350515463</v>
      </c>
      <c r="AB35" s="382">
        <f t="shared" si="4"/>
        <v>0.970873786407767</v>
      </c>
      <c r="AC35" s="382">
        <f t="shared" si="5"/>
        <v>1.0638297872340425</v>
      </c>
    </row>
    <row r="36" spans="1:29" ht="15">
      <c r="A36" s="218"/>
      <c r="B36" s="166" t="s">
        <v>2034</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22"/>
      <c r="Q36" s="309" t="str">
        <f t="shared" si="8"/>
        <v>成新度</v>
      </c>
      <c r="R36" s="376" t="s">
        <v>910</v>
      </c>
      <c r="S36" s="377">
        <f t="shared" si="9"/>
        <v>98</v>
      </c>
      <c r="T36" s="376" t="s">
        <v>910</v>
      </c>
      <c r="U36" s="377">
        <f t="shared" si="10"/>
        <v>100</v>
      </c>
      <c r="V36" s="376" t="s">
        <v>910</v>
      </c>
      <c r="W36" s="377">
        <f t="shared" si="11"/>
        <v>100</v>
      </c>
      <c r="X36" s="371"/>
      <c r="Y36" s="3222"/>
      <c r="Z36" s="370" t="str">
        <f t="shared" si="12"/>
        <v>成新度</v>
      </c>
      <c r="AA36" s="382">
        <f t="shared" si="3"/>
        <v>1.0204081632653061</v>
      </c>
      <c r="AB36" s="382">
        <f t="shared" si="4"/>
        <v>1</v>
      </c>
      <c r="AC36" s="382">
        <f t="shared" si="5"/>
        <v>1</v>
      </c>
    </row>
    <row r="37" spans="1:29" s="122" customFormat="1" ht="15">
      <c r="A37" s="221"/>
      <c r="B37" s="481" t="s">
        <v>2037</v>
      </c>
      <c r="C37" s="515" t="s">
        <v>2127</v>
      </c>
      <c r="D37" s="168">
        <v>100</v>
      </c>
      <c r="E37" s="515" t="s">
        <v>2128</v>
      </c>
      <c r="F37" s="206">
        <f>SUMIF(112:112,E37,113:113)-SUMIF(112:112,C37,113:113)+100</f>
        <v>99</v>
      </c>
      <c r="G37" s="515" t="s">
        <v>2129</v>
      </c>
      <c r="H37" s="177">
        <f>SUMIF(112:112,G37,113:113)-SUMIF(112:112,C37,113:113)+100</f>
        <v>98</v>
      </c>
      <c r="I37" s="515" t="s">
        <v>2130</v>
      </c>
      <c r="J37" s="177">
        <f>SUMIF(112:112,I37,113:113)-SUMIF(112:112,C37,113:113)+100</f>
        <v>97</v>
      </c>
      <c r="K37" s="310">
        <v>1</v>
      </c>
      <c r="L37" s="306"/>
      <c r="M37" s="307"/>
      <c r="N37" s="307"/>
      <c r="O37" s="308"/>
      <c r="P37" s="3222"/>
      <c r="Q37" s="375" t="str">
        <f t="shared" si="8"/>
        <v>市政基础设施</v>
      </c>
      <c r="R37" s="372" t="s">
        <v>910</v>
      </c>
      <c r="S37" s="373">
        <f t="shared" si="9"/>
        <v>99</v>
      </c>
      <c r="T37" s="372" t="s">
        <v>910</v>
      </c>
      <c r="U37" s="373">
        <f t="shared" si="10"/>
        <v>98</v>
      </c>
      <c r="V37" s="372" t="s">
        <v>910</v>
      </c>
      <c r="W37" s="373">
        <f t="shared" si="11"/>
        <v>97</v>
      </c>
      <c r="X37" s="374"/>
      <c r="Y37" s="3222"/>
      <c r="Z37" s="392" t="str">
        <f t="shared" si="12"/>
        <v>市政基础设施</v>
      </c>
      <c r="AA37" s="391">
        <f t="shared" si="3"/>
        <v>1.0101010101010102</v>
      </c>
      <c r="AB37" s="391">
        <f t="shared" si="4"/>
        <v>1.0204081632653061</v>
      </c>
      <c r="AC37" s="391">
        <f t="shared" si="5"/>
        <v>1.0309278350515463</v>
      </c>
    </row>
    <row r="38" spans="1:29" ht="15">
      <c r="A38" s="218"/>
      <c r="B38" s="166" t="s">
        <v>2131</v>
      </c>
      <c r="C38" s="515" t="s">
        <v>2132</v>
      </c>
      <c r="D38" s="177">
        <v>100</v>
      </c>
      <c r="E38" s="515" t="s">
        <v>2132</v>
      </c>
      <c r="F38" s="206">
        <f>SUMIF(114:114,E38,115:115)-SUMIF(114:114,C38,115:115)+100</f>
        <v>100</v>
      </c>
      <c r="G38" s="515" t="s">
        <v>2133</v>
      </c>
      <c r="H38" s="177">
        <f>SUMIF(114:114,G38,115:115)-SUMIF(114:114,C38,115:115)+100</f>
        <v>95</v>
      </c>
      <c r="I38" s="515" t="s">
        <v>2132</v>
      </c>
      <c r="J38" s="177">
        <f>SUMIF(114:114,I38,115:115)-SUMIF(114:114,C38,115:115)+100</f>
        <v>100</v>
      </c>
      <c r="K38" s="310">
        <v>5</v>
      </c>
      <c r="L38" s="317"/>
      <c r="M38" s="304"/>
      <c r="N38" s="304"/>
      <c r="O38" s="316"/>
      <c r="P38" s="3222" t="s">
        <v>932</v>
      </c>
      <c r="Q38" s="309" t="str">
        <f t="shared" si="8"/>
        <v>业态</v>
      </c>
      <c r="R38" s="376" t="s">
        <v>910</v>
      </c>
      <c r="S38" s="377">
        <f t="shared" si="9"/>
        <v>100</v>
      </c>
      <c r="T38" s="376" t="s">
        <v>910</v>
      </c>
      <c r="U38" s="377">
        <f t="shared" si="10"/>
        <v>95</v>
      </c>
      <c r="V38" s="376" t="s">
        <v>910</v>
      </c>
      <c r="W38" s="377">
        <f t="shared" si="11"/>
        <v>100</v>
      </c>
      <c r="X38" s="371"/>
      <c r="Y38" s="3222" t="s">
        <v>932</v>
      </c>
      <c r="Z38" s="370" t="str">
        <f t="shared" si="12"/>
        <v>业态</v>
      </c>
      <c r="AA38" s="382">
        <f t="shared" si="3"/>
        <v>1</v>
      </c>
      <c r="AB38" s="382">
        <f t="shared" si="4"/>
        <v>1.0526315789473684</v>
      </c>
      <c r="AC38" s="382">
        <f t="shared" si="5"/>
        <v>1</v>
      </c>
    </row>
    <row r="39" spans="1:29" ht="15">
      <c r="A39" s="218"/>
      <c r="B39" s="166" t="s">
        <v>2134</v>
      </c>
      <c r="C39" s="515" t="s">
        <v>2135</v>
      </c>
      <c r="D39" s="177">
        <v>100</v>
      </c>
      <c r="E39" s="515" t="s">
        <v>2136</v>
      </c>
      <c r="F39" s="206">
        <f>SUMIF(116:116,E39,117:117)-SUMIF(116:116,C39,117:117)+100</f>
        <v>102</v>
      </c>
      <c r="G39" s="515" t="s">
        <v>2135</v>
      </c>
      <c r="H39" s="177">
        <f>SUMIF(116:116,G39,117:117)-SUMIF(116:116,C39,117:117)+100</f>
        <v>100</v>
      </c>
      <c r="I39" s="515" t="s">
        <v>2135</v>
      </c>
      <c r="J39" s="177">
        <f>SUMIF(116:116,I39,117:117)-SUMIF(116:116,C39,117:117)+100</f>
        <v>100</v>
      </c>
      <c r="K39" s="310">
        <v>2</v>
      </c>
      <c r="L39" s="317"/>
      <c r="M39" s="304"/>
      <c r="N39" s="304"/>
      <c r="O39" s="316"/>
      <c r="P39" s="3222"/>
      <c r="Q39" s="309" t="str">
        <f t="shared" si="8"/>
        <v>层高</v>
      </c>
      <c r="R39" s="376" t="s">
        <v>910</v>
      </c>
      <c r="S39" s="377">
        <f t="shared" si="9"/>
        <v>102</v>
      </c>
      <c r="T39" s="376" t="s">
        <v>910</v>
      </c>
      <c r="U39" s="377">
        <f t="shared" si="10"/>
        <v>100</v>
      </c>
      <c r="V39" s="376" t="s">
        <v>910</v>
      </c>
      <c r="W39" s="377">
        <f t="shared" si="11"/>
        <v>100</v>
      </c>
      <c r="X39" s="371"/>
      <c r="Y39" s="3222"/>
      <c r="Z39" s="370" t="str">
        <f t="shared" si="12"/>
        <v>层高</v>
      </c>
      <c r="AA39" s="382">
        <f t="shared" si="3"/>
        <v>0.98039215686274506</v>
      </c>
      <c r="AB39" s="382">
        <f t="shared" si="4"/>
        <v>1</v>
      </c>
      <c r="AC39" s="382">
        <f t="shared" si="5"/>
        <v>1</v>
      </c>
    </row>
    <row r="40" spans="1:29" ht="15">
      <c r="A40" s="218"/>
      <c r="B40" s="166" t="s">
        <v>2137</v>
      </c>
      <c r="C40" s="541" t="s">
        <v>2138</v>
      </c>
      <c r="D40" s="177">
        <v>100</v>
      </c>
      <c r="E40" s="542" t="s">
        <v>2139</v>
      </c>
      <c r="F40" s="206">
        <f>SUMIF(118:118,E40,119:119)-SUMIF(118:118,C40,119:119)+100</f>
        <v>102</v>
      </c>
      <c r="G40" s="542" t="s">
        <v>2140</v>
      </c>
      <c r="H40" s="177">
        <f>SUMIF(118:118,G40,119:119)-SUMIF(118:118,C40,119:119)+100</f>
        <v>105</v>
      </c>
      <c r="I40" s="542" t="s">
        <v>2141</v>
      </c>
      <c r="J40" s="177">
        <f>SUMIF(118:118,I40,119:119)-SUMIF(118:118,C40,119:119)+100</f>
        <v>102</v>
      </c>
      <c r="K40" s="314"/>
      <c r="L40" s="317"/>
      <c r="M40" s="304"/>
      <c r="N40" s="304"/>
      <c r="O40" s="316"/>
      <c r="P40" s="3222"/>
      <c r="Q40" s="309" t="str">
        <f t="shared" si="8"/>
        <v>单套建筑面积</v>
      </c>
      <c r="R40" s="376" t="s">
        <v>910</v>
      </c>
      <c r="S40" s="377">
        <f t="shared" si="9"/>
        <v>102</v>
      </c>
      <c r="T40" s="376" t="s">
        <v>910</v>
      </c>
      <c r="U40" s="377">
        <f t="shared" si="10"/>
        <v>105</v>
      </c>
      <c r="V40" s="376" t="s">
        <v>910</v>
      </c>
      <c r="W40" s="377">
        <f t="shared" si="11"/>
        <v>102</v>
      </c>
      <c r="X40" s="371"/>
      <c r="Y40" s="3222"/>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2142</v>
      </c>
      <c r="C41" s="205" t="s">
        <v>2143</v>
      </c>
      <c r="D41" s="177">
        <v>100</v>
      </c>
      <c r="E41" s="205" t="s">
        <v>2144</v>
      </c>
      <c r="F41" s="206">
        <f>SUMIF(120:120,E41,121:121)-SUMIF(120:120,C41,121:121)+100</f>
        <v>98</v>
      </c>
      <c r="G41" s="205" t="s">
        <v>2145</v>
      </c>
      <c r="H41" s="177">
        <f>SUMIF(120:120,G41,121:121)-SUMIF(120:120,C41,121:121)+100</f>
        <v>96</v>
      </c>
      <c r="I41" s="205" t="s">
        <v>2143</v>
      </c>
      <c r="J41" s="177">
        <f>SUMIF(120:120,I41,121:121)-SUMIF(120:120,C41,121:121)+100</f>
        <v>100</v>
      </c>
      <c r="K41" s="310">
        <v>2</v>
      </c>
      <c r="L41" s="315"/>
      <c r="M41" s="321"/>
      <c r="N41" s="321"/>
      <c r="O41" s="322"/>
      <c r="P41" s="3222"/>
      <c r="Q41" s="378" t="str">
        <f t="shared" si="8"/>
        <v>进深比</v>
      </c>
      <c r="R41" s="379" t="s">
        <v>910</v>
      </c>
      <c r="S41" s="380">
        <f t="shared" si="9"/>
        <v>98</v>
      </c>
      <c r="T41" s="379" t="s">
        <v>910</v>
      </c>
      <c r="U41" s="380">
        <f t="shared" si="10"/>
        <v>96</v>
      </c>
      <c r="V41" s="379" t="s">
        <v>910</v>
      </c>
      <c r="W41" s="380">
        <f t="shared" si="11"/>
        <v>100</v>
      </c>
      <c r="X41" s="381"/>
      <c r="Y41" s="3222"/>
      <c r="Z41" s="393" t="str">
        <f t="shared" si="12"/>
        <v>进深比</v>
      </c>
      <c r="AA41" s="382">
        <f t="shared" si="3"/>
        <v>1.0204081632653061</v>
      </c>
      <c r="AB41" s="382">
        <f t="shared" si="4"/>
        <v>1.0416666666666667</v>
      </c>
      <c r="AC41" s="382">
        <f t="shared" si="5"/>
        <v>1</v>
      </c>
    </row>
    <row r="42" spans="1:29" ht="15">
      <c r="A42" s="218"/>
      <c r="B42" s="166" t="s">
        <v>2041</v>
      </c>
      <c r="C42" s="515" t="s">
        <v>2033</v>
      </c>
      <c r="D42" s="177">
        <v>100</v>
      </c>
      <c r="E42" s="515" t="s">
        <v>2125</v>
      </c>
      <c r="F42" s="206">
        <f>SUMIF(122:122,E42,123:123)-SUMIF(122:122,C42,123:123)+100</f>
        <v>98.5</v>
      </c>
      <c r="G42" s="515" t="s">
        <v>2126</v>
      </c>
      <c r="H42" s="177">
        <f>SUMIF(122:122,G42,123:123)-SUMIF(122:122,C42,123:123)+100</f>
        <v>97</v>
      </c>
      <c r="I42" s="515" t="s">
        <v>2033</v>
      </c>
      <c r="J42" s="177">
        <f>SUMIF(122:122,I42,123:123)-SUMIF(122:122,C42,123:123)+100</f>
        <v>100</v>
      </c>
      <c r="K42" s="310">
        <v>1.5</v>
      </c>
      <c r="L42" s="317"/>
      <c r="M42" s="304"/>
      <c r="N42" s="304"/>
      <c r="O42" s="316"/>
      <c r="P42" s="3222"/>
      <c r="Q42" s="309" t="str">
        <f t="shared" si="8"/>
        <v>内部装修</v>
      </c>
      <c r="R42" s="376" t="s">
        <v>910</v>
      </c>
      <c r="S42" s="377">
        <f t="shared" si="9"/>
        <v>98.5</v>
      </c>
      <c r="T42" s="376" t="s">
        <v>910</v>
      </c>
      <c r="U42" s="377">
        <f t="shared" si="10"/>
        <v>97</v>
      </c>
      <c r="V42" s="376" t="s">
        <v>910</v>
      </c>
      <c r="W42" s="377">
        <f t="shared" si="11"/>
        <v>100</v>
      </c>
      <c r="X42" s="371"/>
      <c r="Y42" s="3222"/>
      <c r="Z42" s="370" t="str">
        <f t="shared" si="12"/>
        <v>内部装修</v>
      </c>
      <c r="AA42" s="382">
        <f t="shared" si="3"/>
        <v>1.015228426395939</v>
      </c>
      <c r="AB42" s="382">
        <f t="shared" si="4"/>
        <v>1.0309278350515463</v>
      </c>
      <c r="AC42" s="382">
        <f t="shared" si="5"/>
        <v>1</v>
      </c>
    </row>
    <row r="43" spans="1:29" ht="27">
      <c r="A43" s="218"/>
      <c r="B43" s="166" t="s">
        <v>155</v>
      </c>
      <c r="C43" s="515" t="s">
        <v>1016</v>
      </c>
      <c r="D43" s="177">
        <v>100</v>
      </c>
      <c r="E43" s="515" t="s">
        <v>1011</v>
      </c>
      <c r="F43" s="206">
        <f>SUMIF(124:124,E43,125:125)-SUMIF(124:124,C43,125:125)+100</f>
        <v>98</v>
      </c>
      <c r="G43" s="515" t="s">
        <v>1018</v>
      </c>
      <c r="H43" s="177">
        <f>SUMIF(124:124,G43,125:125)-SUMIF(124:124,C43,125:125)+100</f>
        <v>102</v>
      </c>
      <c r="I43" s="515" t="s">
        <v>1013</v>
      </c>
      <c r="J43" s="177">
        <f>SUMIF(124:124,I43,125:125)-SUMIF(124:124,C43,125:125)+100</f>
        <v>94</v>
      </c>
      <c r="K43" s="310">
        <v>2</v>
      </c>
      <c r="L43" s="317"/>
      <c r="M43" s="304"/>
      <c r="N43" s="304"/>
      <c r="O43" s="316"/>
      <c r="P43" s="3222"/>
      <c r="Q43" s="309" t="str">
        <f t="shared" si="8"/>
        <v>内部装修维护情况</v>
      </c>
      <c r="R43" s="376" t="s">
        <v>910</v>
      </c>
      <c r="S43" s="377">
        <f t="shared" si="9"/>
        <v>98</v>
      </c>
      <c r="T43" s="376" t="s">
        <v>910</v>
      </c>
      <c r="U43" s="377">
        <f t="shared" si="10"/>
        <v>102</v>
      </c>
      <c r="V43" s="376" t="s">
        <v>910</v>
      </c>
      <c r="W43" s="377">
        <f t="shared" si="11"/>
        <v>94</v>
      </c>
      <c r="X43" s="371"/>
      <c r="Y43" s="3222"/>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22"/>
      <c r="Q44" s="375">
        <f t="shared" si="8"/>
        <v>111</v>
      </c>
      <c r="R44" s="372" t="s">
        <v>910</v>
      </c>
      <c r="S44" s="373">
        <f t="shared" si="9"/>
        <v>99</v>
      </c>
      <c r="T44" s="372" t="s">
        <v>910</v>
      </c>
      <c r="U44" s="373">
        <f t="shared" si="10"/>
        <v>98</v>
      </c>
      <c r="V44" s="372" t="s">
        <v>910</v>
      </c>
      <c r="W44" s="373">
        <f t="shared" si="11"/>
        <v>97</v>
      </c>
      <c r="X44" s="374"/>
      <c r="Y44" s="3222"/>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22"/>
      <c r="Q45" s="309">
        <f t="shared" si="8"/>
        <v>111</v>
      </c>
      <c r="R45" s="376" t="s">
        <v>910</v>
      </c>
      <c r="S45" s="377">
        <f t="shared" si="9"/>
        <v>98</v>
      </c>
      <c r="T45" s="376" t="s">
        <v>910</v>
      </c>
      <c r="U45" s="377">
        <f t="shared" si="10"/>
        <v>97</v>
      </c>
      <c r="V45" s="376" t="s">
        <v>910</v>
      </c>
      <c r="W45" s="377">
        <f t="shared" si="11"/>
        <v>96</v>
      </c>
      <c r="X45" s="371"/>
      <c r="Y45" s="3222"/>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288"/>
      <c r="Q46" s="309">
        <f t="shared" si="8"/>
        <v>111</v>
      </c>
      <c r="R46" s="376" t="s">
        <v>910</v>
      </c>
      <c r="S46" s="377">
        <f t="shared" si="9"/>
        <v>97</v>
      </c>
      <c r="T46" s="376" t="s">
        <v>910</v>
      </c>
      <c r="U46" s="377">
        <f t="shared" si="10"/>
        <v>94</v>
      </c>
      <c r="V46" s="376" t="s">
        <v>910</v>
      </c>
      <c r="W46" s="377">
        <f t="shared" si="11"/>
        <v>91</v>
      </c>
      <c r="X46" s="371"/>
      <c r="Y46" s="3288"/>
      <c r="Z46" s="370">
        <f t="shared" si="12"/>
        <v>111</v>
      </c>
      <c r="AA46" s="382">
        <f t="shared" si="3"/>
        <v>1.0309278350515463</v>
      </c>
      <c r="AB46" s="382">
        <f t="shared" si="4"/>
        <v>1.0638297872340425</v>
      </c>
      <c r="AC46" s="382">
        <f t="shared" si="5"/>
        <v>1.098901098901099</v>
      </c>
    </row>
    <row r="47" spans="1:29" ht="15">
      <c r="A47" s="228" t="s">
        <v>2043</v>
      </c>
      <c r="B47" s="229"/>
      <c r="C47" s="230" t="s">
        <v>67</v>
      </c>
      <c r="D47" s="231"/>
      <c r="E47" s="232">
        <v>30000</v>
      </c>
      <c r="F47" s="233"/>
      <c r="G47" s="234">
        <v>35000</v>
      </c>
      <c r="H47" s="235"/>
      <c r="I47" s="232">
        <v>32000</v>
      </c>
      <c r="J47" s="235"/>
      <c r="K47" s="323"/>
      <c r="L47" s="324"/>
      <c r="M47" s="244"/>
      <c r="N47" s="304"/>
      <c r="O47" s="244"/>
      <c r="P47" s="3218" t="str">
        <f>A47</f>
        <v>成交单价（元/平方米）</v>
      </c>
      <c r="Q47" s="3218"/>
      <c r="R47" s="3287">
        <f>E47</f>
        <v>30000</v>
      </c>
      <c r="S47" s="3287"/>
      <c r="T47" s="3287">
        <f>G47</f>
        <v>35000</v>
      </c>
      <c r="U47" s="3287"/>
      <c r="V47" s="3287">
        <f>I47</f>
        <v>32000</v>
      </c>
      <c r="W47" s="3287"/>
      <c r="X47" s="255"/>
      <c r="Y47" s="394"/>
      <c r="Z47" s="255"/>
      <c r="AA47" s="255"/>
      <c r="AB47" s="255"/>
      <c r="AC47" s="255"/>
    </row>
    <row r="48" spans="1:29" ht="15">
      <c r="A48" s="236" t="s">
        <v>943</v>
      </c>
      <c r="B48" s="237"/>
      <c r="C48" s="238">
        <f>R49</f>
        <v>79570</v>
      </c>
      <c r="D48" s="239"/>
      <c r="E48" s="240">
        <f>R48</f>
        <v>51269</v>
      </c>
      <c r="F48" s="240"/>
      <c r="G48" s="238">
        <f>T48</f>
        <v>88478</v>
      </c>
      <c r="H48" s="239"/>
      <c r="I48" s="240">
        <f>V48</f>
        <v>98963</v>
      </c>
      <c r="J48" s="239"/>
      <c r="K48" s="325"/>
      <c r="L48" s="324"/>
      <c r="M48" s="244"/>
      <c r="N48" s="304"/>
      <c r="O48" s="244"/>
      <c r="P48" s="3218" t="str">
        <f>A48</f>
        <v>比较价值（元/平方米）</v>
      </c>
      <c r="Q48" s="3218"/>
      <c r="R48" s="3287">
        <f>IF(F1="售价",ROUND(PRODUCT(R47,AA7:AA46),0),ROUND(PRODUCT(R47,AA7:AA46),1))</f>
        <v>51269</v>
      </c>
      <c r="S48" s="3287"/>
      <c r="T48" s="3287">
        <f>IF(F1="售价",ROUND(PRODUCT(T47,AB7:AB46),0),ROUND(PRODUCT(T47,AB7:AB46),1))</f>
        <v>88478</v>
      </c>
      <c r="U48" s="3287"/>
      <c r="V48" s="3287">
        <f>IF(F1="售价",ROUND(PRODUCT(V47,AC7:AC46),0),ROUND(PRODUCT(V47,AC7:AC46),1))</f>
        <v>98963</v>
      </c>
      <c r="W48" s="3287"/>
      <c r="X48" s="255"/>
      <c r="Y48" s="255"/>
      <c r="Z48" s="255"/>
      <c r="AA48" s="255"/>
      <c r="AB48" s="255"/>
      <c r="AC48" s="255"/>
    </row>
    <row r="49" spans="1:29" ht="15">
      <c r="A49" s="241" t="s">
        <v>944</v>
      </c>
      <c r="B49" s="242"/>
      <c r="C49" s="243">
        <f>R49</f>
        <v>79570</v>
      </c>
      <c r="D49" s="243"/>
      <c r="E49" s="243"/>
      <c r="F49" s="243"/>
      <c r="G49" s="243"/>
      <c r="H49" s="243"/>
      <c r="I49" s="243"/>
      <c r="J49" s="243"/>
      <c r="K49" s="326"/>
      <c r="L49" s="324"/>
      <c r="M49" s="244"/>
      <c r="N49" s="304"/>
      <c r="O49" s="244"/>
      <c r="P49" s="3224" t="str">
        <f>A49</f>
        <v>估价对象XX用房的比较价值（楼面单价，元/平方米）</v>
      </c>
      <c r="Q49" s="3225"/>
      <c r="R49" s="3289">
        <f>IF(F1="售价",ROUND(AVERAGE(R48:V48),0),ROUND(AVERAGE(R48:V48),1))</f>
        <v>79570</v>
      </c>
      <c r="S49" s="3289"/>
      <c r="T49" s="3289"/>
      <c r="U49" s="3289"/>
      <c r="V49" s="3289"/>
      <c r="W49" s="3289"/>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945</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946</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947</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969</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982</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983</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984</v>
      </c>
      <c r="B63" s="275" t="s">
        <v>915</v>
      </c>
      <c r="C63" s="276" t="str">
        <f>C9</f>
        <v>商业</v>
      </c>
      <c r="D63" s="277" t="s">
        <v>2044</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918</v>
      </c>
      <c r="C65" s="282" t="s">
        <v>2045</v>
      </c>
      <c r="D65" s="282" t="s">
        <v>2046</v>
      </c>
      <c r="E65" s="282" t="s">
        <v>2047</v>
      </c>
      <c r="F65" s="282" t="s">
        <v>2048</v>
      </c>
      <c r="G65" s="282" t="s">
        <v>2049</v>
      </c>
      <c r="H65" s="282" t="s">
        <v>2050</v>
      </c>
      <c r="I65" s="282" t="s">
        <v>2051</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968</v>
      </c>
      <c r="D66" s="284" t="s">
        <v>968</v>
      </c>
      <c r="E66" s="284" t="s">
        <v>968</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922</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2020</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2112</v>
      </c>
      <c r="D90" s="289" t="s">
        <v>2113</v>
      </c>
      <c r="E90" s="289" t="s">
        <v>192</v>
      </c>
      <c r="F90" s="289" t="s">
        <v>2114</v>
      </c>
      <c r="G90" s="289" t="s">
        <v>2146</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2147</v>
      </c>
      <c r="D92" s="289" t="s">
        <v>2148</v>
      </c>
      <c r="E92" s="289" t="s">
        <v>2149</v>
      </c>
      <c r="F92" s="289" t="s">
        <v>2150</v>
      </c>
      <c r="G92" s="289" t="s">
        <v>2151</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933</v>
      </c>
      <c r="B100" s="275" t="s">
        <v>2120</v>
      </c>
      <c r="C100" s="277" t="s">
        <v>2123</v>
      </c>
      <c r="D100" s="277" t="s">
        <v>2122</v>
      </c>
      <c r="E100" s="277" t="s">
        <v>2121</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2027</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2028</v>
      </c>
      <c r="C105" s="289" t="s">
        <v>2072</v>
      </c>
      <c r="D105" s="289" t="s">
        <v>2073</v>
      </c>
      <c r="E105" s="398" t="s">
        <v>2074</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2032</v>
      </c>
      <c r="C107" s="289" t="s">
        <v>2077</v>
      </c>
      <c r="D107" s="289" t="s">
        <v>2078</v>
      </c>
      <c r="E107" s="289" t="s">
        <v>2079</v>
      </c>
      <c r="F107" s="398" t="s">
        <v>2042</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2034</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2037</v>
      </c>
      <c r="C112" s="289" t="s">
        <v>1029</v>
      </c>
      <c r="D112" s="289" t="s">
        <v>1026</v>
      </c>
      <c r="E112" s="289" t="s">
        <v>2082</v>
      </c>
      <c r="F112" s="289" t="s">
        <v>1028</v>
      </c>
      <c r="G112" s="289" t="s">
        <v>1027</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2131</v>
      </c>
      <c r="C114" s="289" t="s">
        <v>2152</v>
      </c>
      <c r="D114" s="289" t="s">
        <v>2153</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2134</v>
      </c>
      <c r="C116" s="289" t="s">
        <v>2154</v>
      </c>
      <c r="D116" s="289" t="s">
        <v>2155</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2137</v>
      </c>
      <c r="C118" s="544" t="s">
        <v>2138</v>
      </c>
      <c r="D118" s="544" t="s">
        <v>2139</v>
      </c>
      <c r="E118" s="544" t="s">
        <v>2140</v>
      </c>
      <c r="F118" s="544" t="s">
        <v>2141</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2156</v>
      </c>
      <c r="C120" s="398" t="s">
        <v>2143</v>
      </c>
      <c r="D120" s="398" t="s">
        <v>2144</v>
      </c>
      <c r="E120" s="398" t="s">
        <v>2145</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2041</v>
      </c>
      <c r="C122" s="289" t="s">
        <v>2077</v>
      </c>
      <c r="D122" s="289" t="s">
        <v>2078</v>
      </c>
      <c r="E122" s="289" t="s">
        <v>2079</v>
      </c>
      <c r="F122" s="398" t="s">
        <v>2042</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2013</v>
      </c>
      <c r="B1" s="467" t="s">
        <v>2157</v>
      </c>
      <c r="C1" s="132" t="s">
        <v>2015</v>
      </c>
      <c r="D1" s="133" t="s">
        <v>319</v>
      </c>
      <c r="E1" s="134"/>
      <c r="F1" s="135" t="s">
        <v>2016</v>
      </c>
      <c r="G1" s="136" t="s">
        <v>2017</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1818</v>
      </c>
      <c r="B3" s="143">
        <f>C50</f>
        <v>56401</v>
      </c>
      <c r="C3" s="144" t="s">
        <v>2018</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895</v>
      </c>
      <c r="B4" s="147"/>
      <c r="C4" s="3206" t="s">
        <v>896</v>
      </c>
      <c r="D4" s="3207"/>
      <c r="E4" s="3250" t="s">
        <v>897</v>
      </c>
      <c r="F4" s="3251"/>
      <c r="G4" s="3206" t="s">
        <v>898</v>
      </c>
      <c r="H4" s="3207"/>
      <c r="I4" s="3206" t="s">
        <v>899</v>
      </c>
      <c r="J4" s="3207"/>
      <c r="K4" s="302" t="s">
        <v>900</v>
      </c>
      <c r="L4" s="303"/>
      <c r="M4" s="304"/>
      <c r="N4" s="304"/>
      <c r="O4" s="304"/>
      <c r="P4" s="3314" t="s">
        <v>901</v>
      </c>
      <c r="Q4" s="3236"/>
      <c r="R4" s="3241" t="s">
        <v>897</v>
      </c>
      <c r="S4" s="3242"/>
      <c r="T4" s="3241" t="s">
        <v>898</v>
      </c>
      <c r="U4" s="3242"/>
      <c r="V4" s="3227" t="s">
        <v>899</v>
      </c>
      <c r="W4" s="3227"/>
      <c r="X4" s="371"/>
      <c r="Y4" s="3241" t="s">
        <v>901</v>
      </c>
      <c r="Z4" s="3242"/>
      <c r="AA4" s="3228" t="s">
        <v>897</v>
      </c>
      <c r="AB4" s="3228" t="s">
        <v>898</v>
      </c>
      <c r="AC4" s="3228" t="s">
        <v>899</v>
      </c>
    </row>
    <row r="5" spans="1:29" ht="15">
      <c r="A5" s="148"/>
      <c r="B5" s="149"/>
      <c r="C5" s="3208" t="s">
        <v>902</v>
      </c>
      <c r="D5" s="3209"/>
      <c r="E5" s="3252" t="s">
        <v>903</v>
      </c>
      <c r="F5" s="3253"/>
      <c r="G5" s="3208" t="s">
        <v>904</v>
      </c>
      <c r="H5" s="3209"/>
      <c r="I5" s="3208" t="s">
        <v>905</v>
      </c>
      <c r="J5" s="3209"/>
      <c r="K5" s="302"/>
      <c r="L5" s="303"/>
      <c r="M5" s="304"/>
      <c r="N5" s="304"/>
      <c r="O5" s="304"/>
      <c r="P5" s="3315"/>
      <c r="Q5" s="3238"/>
      <c r="R5" s="3243"/>
      <c r="S5" s="3244"/>
      <c r="T5" s="3243"/>
      <c r="U5" s="3244"/>
      <c r="V5" s="3227"/>
      <c r="W5" s="3227"/>
      <c r="X5" s="371"/>
      <c r="Y5" s="3243"/>
      <c r="Z5" s="3244"/>
      <c r="AA5" s="3229"/>
      <c r="AB5" s="3229"/>
      <c r="AC5" s="3229"/>
    </row>
    <row r="6" spans="1:29" ht="15">
      <c r="A6" s="150"/>
      <c r="B6" s="151"/>
      <c r="C6" s="3254" t="s">
        <v>906</v>
      </c>
      <c r="D6" s="3214"/>
      <c r="E6" s="3255" t="s">
        <v>906</v>
      </c>
      <c r="F6" s="3256"/>
      <c r="G6" s="3254" t="s">
        <v>906</v>
      </c>
      <c r="H6" s="3214"/>
      <c r="I6" s="3254" t="s">
        <v>906</v>
      </c>
      <c r="J6" s="3214"/>
      <c r="K6" s="302" t="s">
        <v>907</v>
      </c>
      <c r="L6" s="303"/>
      <c r="M6" s="304"/>
      <c r="N6" s="304"/>
      <c r="O6" s="304"/>
      <c r="P6" s="3316"/>
      <c r="Q6" s="3240"/>
      <c r="R6" s="3243"/>
      <c r="S6" s="3244"/>
      <c r="T6" s="3245"/>
      <c r="U6" s="3246"/>
      <c r="V6" s="3227"/>
      <c r="W6" s="3227"/>
      <c r="X6" s="371"/>
      <c r="Y6" s="3245"/>
      <c r="Z6" s="3246"/>
      <c r="AA6" s="3230"/>
      <c r="AB6" s="3230"/>
      <c r="AC6" s="3230"/>
    </row>
    <row r="7" spans="1:29" s="122" customFormat="1" ht="15">
      <c r="A7" s="152" t="s">
        <v>908</v>
      </c>
      <c r="B7" s="153"/>
      <c r="C7" s="154">
        <f>'数据-取费表'!B2</f>
        <v>43041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57" t="s">
        <v>909</v>
      </c>
      <c r="Q7" s="3257"/>
      <c r="R7" s="372" t="s">
        <v>910</v>
      </c>
      <c r="S7" s="373">
        <f t="shared" ref="S7:S15" si="0">F7</f>
        <v>97.5</v>
      </c>
      <c r="T7" s="372" t="s">
        <v>910</v>
      </c>
      <c r="U7" s="373">
        <f t="shared" ref="U7:U15" si="1">H7</f>
        <v>96</v>
      </c>
      <c r="V7" s="372" t="s">
        <v>910</v>
      </c>
      <c r="W7" s="373">
        <f t="shared" ref="W7:W15" si="2">J7</f>
        <v>97</v>
      </c>
      <c r="X7" s="374"/>
      <c r="Y7" s="3248" t="s">
        <v>909</v>
      </c>
      <c r="Z7" s="3249"/>
      <c r="AA7" s="391">
        <f>D7/F7</f>
        <v>1.0256410256410255</v>
      </c>
      <c r="AB7" s="391">
        <f>D7/H7</f>
        <v>1.0416666666666667</v>
      </c>
      <c r="AC7" s="391">
        <f>D7/J7</f>
        <v>1.0309278350515463</v>
      </c>
    </row>
    <row r="8" spans="1:29" s="122" customFormat="1" ht="15">
      <c r="A8" s="152" t="s">
        <v>911</v>
      </c>
      <c r="B8" s="153"/>
      <c r="C8" s="159" t="s">
        <v>912</v>
      </c>
      <c r="D8" s="155">
        <v>100</v>
      </c>
      <c r="E8" s="159" t="s">
        <v>983</v>
      </c>
      <c r="F8" s="157">
        <f>SUMIF(62:62,E8,63:63)-SUMIF(62:62,C8,63:63)+100</f>
        <v>99</v>
      </c>
      <c r="G8" s="159" t="s">
        <v>912</v>
      </c>
      <c r="H8" s="155">
        <f>SUMIF(62:62,G8,63:63)-SUMIF(62:62,C8,63:63)+100</f>
        <v>100</v>
      </c>
      <c r="I8" s="159" t="s">
        <v>912</v>
      </c>
      <c r="J8" s="155">
        <f>SUMIF(62:62,I8,63:63)-SUMIF(62:62,C8,63:63)+100</f>
        <v>100</v>
      </c>
      <c r="K8" s="305"/>
      <c r="L8" s="306"/>
      <c r="M8" s="307"/>
      <c r="N8" s="307"/>
      <c r="O8" s="307"/>
      <c r="P8" s="3257" t="s">
        <v>913</v>
      </c>
      <c r="Q8" s="3249"/>
      <c r="R8" s="372" t="s">
        <v>910</v>
      </c>
      <c r="S8" s="373">
        <f t="shared" si="0"/>
        <v>99</v>
      </c>
      <c r="T8" s="372" t="s">
        <v>910</v>
      </c>
      <c r="U8" s="373">
        <f t="shared" si="1"/>
        <v>100</v>
      </c>
      <c r="V8" s="372" t="s">
        <v>910</v>
      </c>
      <c r="W8" s="373">
        <f t="shared" si="2"/>
        <v>100</v>
      </c>
      <c r="X8" s="374"/>
      <c r="Y8" s="3248" t="s">
        <v>913</v>
      </c>
      <c r="Z8" s="3249"/>
      <c r="AA8" s="391">
        <f t="shared" ref="AA8:AA47" si="3">D8/F8</f>
        <v>1.0101010101010102</v>
      </c>
      <c r="AB8" s="391">
        <f t="shared" ref="AB8:AB47" si="4">D8/H8</f>
        <v>1</v>
      </c>
      <c r="AC8" s="391">
        <f t="shared" ref="AC8:AC47" si="5">D8/J8</f>
        <v>1</v>
      </c>
    </row>
    <row r="9" spans="1:29" s="122" customFormat="1">
      <c r="A9" s="160" t="s">
        <v>914</v>
      </c>
      <c r="B9" s="161" t="s">
        <v>915</v>
      </c>
      <c r="C9" s="162" t="s">
        <v>190</v>
      </c>
      <c r="D9" s="163">
        <v>100</v>
      </c>
      <c r="E9" s="164" t="s">
        <v>190</v>
      </c>
      <c r="F9" s="163">
        <f>SUMIF(64:64,E9,65:65)-SUMIF(64:64,C9,65:65)+100</f>
        <v>100</v>
      </c>
      <c r="G9" s="427" t="s">
        <v>2105</v>
      </c>
      <c r="H9" s="163">
        <f>SUMIF(64:64,G9,65:65)-SUMIF(64:64,C9,65:65)+100</f>
        <v>95</v>
      </c>
      <c r="I9" s="427" t="s">
        <v>190</v>
      </c>
      <c r="J9" s="163">
        <f>SUMIF(64:64,I9,65:65)-SUMIF(64:64,C9,65:65)+100</f>
        <v>100</v>
      </c>
      <c r="K9" s="305"/>
      <c r="L9" s="306"/>
      <c r="M9" s="307"/>
      <c r="N9" s="307"/>
      <c r="O9" s="307"/>
      <c r="P9" s="3218" t="s">
        <v>916</v>
      </c>
      <c r="Q9" s="375" t="str">
        <f t="shared" ref="Q9:Q15" si="6">B9</f>
        <v>用途</v>
      </c>
      <c r="R9" s="372" t="s">
        <v>910</v>
      </c>
      <c r="S9" s="373">
        <f t="shared" si="0"/>
        <v>100</v>
      </c>
      <c r="T9" s="372" t="s">
        <v>910</v>
      </c>
      <c r="U9" s="373">
        <f t="shared" si="1"/>
        <v>95</v>
      </c>
      <c r="V9" s="372" t="s">
        <v>910</v>
      </c>
      <c r="W9" s="373">
        <f t="shared" si="2"/>
        <v>100</v>
      </c>
      <c r="X9" s="374"/>
      <c r="Y9" s="3201" t="s">
        <v>917</v>
      </c>
      <c r="Z9" s="392" t="str">
        <f t="shared" ref="Z9:Z15" si="7">Q9</f>
        <v>用途</v>
      </c>
      <c r="AA9" s="391">
        <f t="shared" si="3"/>
        <v>1</v>
      </c>
      <c r="AB9" s="391">
        <f t="shared" si="4"/>
        <v>1.0526315789473684</v>
      </c>
      <c r="AC9" s="391">
        <f t="shared" si="5"/>
        <v>1</v>
      </c>
    </row>
    <row r="10" spans="1:29" s="123" customFormat="1" ht="27">
      <c r="A10" s="165"/>
      <c r="B10" s="166" t="s">
        <v>918</v>
      </c>
      <c r="C10" s="167" t="s">
        <v>2158</v>
      </c>
      <c r="D10" s="168">
        <v>100</v>
      </c>
      <c r="E10" s="167" t="s">
        <v>2106</v>
      </c>
      <c r="F10" s="168">
        <f>SUMIF(66:66,E10,67:67)-SUMIF(66:66,C10,67:67)+100</f>
        <v>99</v>
      </c>
      <c r="G10" s="169" t="s">
        <v>2107</v>
      </c>
      <c r="H10" s="168">
        <f>SUMIF(66:66,G10,67:67)-SUMIF(66:66,C10,67:67)+100</f>
        <v>98</v>
      </c>
      <c r="I10" s="167" t="s">
        <v>2108</v>
      </c>
      <c r="J10" s="168">
        <f>SUMIF(66:66,I10,67:67)-SUMIF(66:66,C10,67:67)+100</f>
        <v>97</v>
      </c>
      <c r="K10" s="310">
        <v>1</v>
      </c>
      <c r="L10" s="311"/>
      <c r="M10" s="312"/>
      <c r="N10" s="312"/>
      <c r="O10" s="312"/>
      <c r="P10" s="3218"/>
      <c r="Q10" s="375" t="str">
        <f t="shared" si="6"/>
        <v>土地使用年限（年）</v>
      </c>
      <c r="R10" s="372" t="s">
        <v>910</v>
      </c>
      <c r="S10" s="373">
        <f t="shared" si="0"/>
        <v>99</v>
      </c>
      <c r="T10" s="372" t="s">
        <v>910</v>
      </c>
      <c r="U10" s="373">
        <f t="shared" si="1"/>
        <v>98</v>
      </c>
      <c r="V10" s="372" t="s">
        <v>910</v>
      </c>
      <c r="W10" s="373">
        <f t="shared" si="2"/>
        <v>97</v>
      </c>
      <c r="X10" s="374"/>
      <c r="Y10" s="3201"/>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18"/>
      <c r="Q11" s="375" t="str">
        <f t="shared" si="6"/>
        <v>容积率</v>
      </c>
      <c r="R11" s="372" t="s">
        <v>910</v>
      </c>
      <c r="S11" s="373">
        <f t="shared" si="0"/>
        <v>97</v>
      </c>
      <c r="T11" s="372" t="s">
        <v>910</v>
      </c>
      <c r="U11" s="373">
        <f t="shared" si="1"/>
        <v>94</v>
      </c>
      <c r="V11" s="372" t="s">
        <v>910</v>
      </c>
      <c r="W11" s="373">
        <f t="shared" si="2"/>
        <v>91</v>
      </c>
      <c r="X11" s="374"/>
      <c r="Y11" s="3201"/>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18"/>
      <c r="Q12" s="375">
        <f t="shared" si="6"/>
        <v>111</v>
      </c>
      <c r="R12" s="372" t="s">
        <v>910</v>
      </c>
      <c r="S12" s="373">
        <f t="shared" si="0"/>
        <v>101</v>
      </c>
      <c r="T12" s="372" t="s">
        <v>910</v>
      </c>
      <c r="U12" s="373">
        <f t="shared" si="1"/>
        <v>102</v>
      </c>
      <c r="V12" s="372" t="s">
        <v>910</v>
      </c>
      <c r="W12" s="373">
        <f t="shared" si="2"/>
        <v>103</v>
      </c>
      <c r="X12" s="374"/>
      <c r="Y12" s="3201"/>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18"/>
      <c r="Q13" s="375">
        <f t="shared" si="6"/>
        <v>111</v>
      </c>
      <c r="R13" s="372" t="s">
        <v>910</v>
      </c>
      <c r="S13" s="373">
        <f t="shared" si="0"/>
        <v>101</v>
      </c>
      <c r="T13" s="372" t="s">
        <v>910</v>
      </c>
      <c r="U13" s="373">
        <f t="shared" si="1"/>
        <v>102</v>
      </c>
      <c r="V13" s="372" t="s">
        <v>910</v>
      </c>
      <c r="W13" s="373">
        <f t="shared" si="2"/>
        <v>103</v>
      </c>
      <c r="X13" s="374"/>
      <c r="Y13" s="3201"/>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18"/>
      <c r="Q14" s="375">
        <f t="shared" si="6"/>
        <v>111</v>
      </c>
      <c r="R14" s="372" t="s">
        <v>910</v>
      </c>
      <c r="S14" s="373">
        <f t="shared" si="0"/>
        <v>98</v>
      </c>
      <c r="T14" s="372" t="s">
        <v>910</v>
      </c>
      <c r="U14" s="373">
        <f t="shared" si="1"/>
        <v>96</v>
      </c>
      <c r="V14" s="372" t="s">
        <v>910</v>
      </c>
      <c r="W14" s="373">
        <f t="shared" si="2"/>
        <v>94</v>
      </c>
      <c r="X14" s="374"/>
      <c r="Y14" s="3201"/>
      <c r="Z14" s="392">
        <f t="shared" si="7"/>
        <v>111</v>
      </c>
      <c r="AA14" s="391">
        <f t="shared" si="3"/>
        <v>1.0204081632653061</v>
      </c>
      <c r="AB14" s="391">
        <f t="shared" si="4"/>
        <v>1.0416666666666667</v>
      </c>
      <c r="AC14" s="391">
        <f t="shared" si="5"/>
        <v>1.0638297872340425</v>
      </c>
    </row>
    <row r="15" spans="1:29" ht="15">
      <c r="A15" s="178" t="s">
        <v>922</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19" t="s">
        <v>923</v>
      </c>
      <c r="Q15" s="309" t="str">
        <f t="shared" si="6"/>
        <v>办公集聚程度</v>
      </c>
      <c r="R15" s="376" t="s">
        <v>910</v>
      </c>
      <c r="S15" s="377">
        <f t="shared" si="0"/>
        <v>101.5</v>
      </c>
      <c r="T15" s="376" t="s">
        <v>910</v>
      </c>
      <c r="U15" s="377">
        <f t="shared" si="1"/>
        <v>103</v>
      </c>
      <c r="V15" s="376" t="s">
        <v>910</v>
      </c>
      <c r="W15" s="377">
        <f t="shared" si="2"/>
        <v>97</v>
      </c>
      <c r="X15" s="371"/>
      <c r="Y15" s="3219" t="s">
        <v>923</v>
      </c>
      <c r="Z15" s="370" t="str">
        <f t="shared" si="7"/>
        <v>办公集聚程度</v>
      </c>
      <c r="AA15" s="382">
        <f t="shared" si="3"/>
        <v>0.98522167487684731</v>
      </c>
      <c r="AB15" s="382">
        <f t="shared" si="4"/>
        <v>0.970873786407767</v>
      </c>
      <c r="AC15" s="382">
        <f t="shared" si="5"/>
        <v>1.0309278350515463</v>
      </c>
    </row>
    <row r="16" spans="1:29" ht="15">
      <c r="A16" s="170"/>
      <c r="B16" s="505"/>
      <c r="C16" s="506" t="s">
        <v>1011</v>
      </c>
      <c r="D16" s="187"/>
      <c r="E16" s="186" t="s">
        <v>1016</v>
      </c>
      <c r="F16" s="187"/>
      <c r="G16" s="506" t="s">
        <v>1018</v>
      </c>
      <c r="H16" s="189"/>
      <c r="I16" s="186" t="s">
        <v>1013</v>
      </c>
      <c r="J16" s="187"/>
      <c r="K16" s="319"/>
      <c r="L16" s="317"/>
      <c r="M16" s="304"/>
      <c r="N16" s="304"/>
      <c r="O16" s="304"/>
      <c r="P16" s="3220"/>
      <c r="Q16" s="309"/>
      <c r="R16" s="376"/>
      <c r="S16" s="377"/>
      <c r="T16" s="376"/>
      <c r="U16" s="377"/>
      <c r="V16" s="376"/>
      <c r="W16" s="377"/>
      <c r="X16" s="371"/>
      <c r="Y16" s="3220"/>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20"/>
      <c r="Q17" s="309" t="str">
        <f>B17</f>
        <v>交通便捷度</v>
      </c>
      <c r="R17" s="376" t="s">
        <v>910</v>
      </c>
      <c r="S17" s="377">
        <f>F17</f>
        <v>94</v>
      </c>
      <c r="T17" s="376" t="s">
        <v>910</v>
      </c>
      <c r="U17" s="377">
        <f>H17</f>
        <v>103</v>
      </c>
      <c r="V17" s="376" t="s">
        <v>910</v>
      </c>
      <c r="W17" s="377">
        <f>J17</f>
        <v>97</v>
      </c>
      <c r="X17" s="371"/>
      <c r="Y17" s="3220"/>
      <c r="Z17" s="370" t="str">
        <f>Q17</f>
        <v>交通便捷度</v>
      </c>
      <c r="AA17" s="382">
        <f t="shared" si="3"/>
        <v>1.0638297872340425</v>
      </c>
      <c r="AB17" s="382">
        <f t="shared" si="4"/>
        <v>0.970873786407767</v>
      </c>
      <c r="AC17" s="382">
        <f t="shared" si="5"/>
        <v>1.0309278350515463</v>
      </c>
    </row>
    <row r="18" spans="1:29" ht="15">
      <c r="A18" s="170"/>
      <c r="B18" s="196"/>
      <c r="C18" s="508" t="s">
        <v>1011</v>
      </c>
      <c r="D18" s="189"/>
      <c r="E18" s="473" t="s">
        <v>1013</v>
      </c>
      <c r="F18" s="189"/>
      <c r="G18" s="472" t="s">
        <v>1016</v>
      </c>
      <c r="H18" s="187"/>
      <c r="I18" s="472" t="s">
        <v>1012</v>
      </c>
      <c r="J18" s="187"/>
      <c r="K18" s="319"/>
      <c r="L18" s="317"/>
      <c r="M18" s="304"/>
      <c r="N18" s="304"/>
      <c r="O18" s="304"/>
      <c r="P18" s="3220"/>
      <c r="Q18" s="309"/>
      <c r="R18" s="376"/>
      <c r="S18" s="377"/>
      <c r="T18" s="376"/>
      <c r="U18" s="377"/>
      <c r="V18" s="376"/>
      <c r="W18" s="377"/>
      <c r="X18" s="371"/>
      <c r="Y18" s="3220"/>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20"/>
      <c r="Q19" s="309" t="str">
        <f>B19</f>
        <v>公共配套设施</v>
      </c>
      <c r="R19" s="376" t="s">
        <v>910</v>
      </c>
      <c r="S19" s="377">
        <f>F19</f>
        <v>97.5</v>
      </c>
      <c r="T19" s="376" t="s">
        <v>910</v>
      </c>
      <c r="U19" s="377">
        <f>H19</f>
        <v>102.5</v>
      </c>
      <c r="V19" s="376" t="s">
        <v>910</v>
      </c>
      <c r="W19" s="377">
        <f>J19</f>
        <v>95</v>
      </c>
      <c r="X19" s="371"/>
      <c r="Y19" s="3220"/>
      <c r="Z19" s="370" t="str">
        <f>Q19</f>
        <v>公共配套设施</v>
      </c>
      <c r="AA19" s="382">
        <f t="shared" si="3"/>
        <v>1.0256410256410255</v>
      </c>
      <c r="AB19" s="382">
        <f t="shared" si="4"/>
        <v>0.97560975609756095</v>
      </c>
      <c r="AC19" s="382">
        <f t="shared" si="5"/>
        <v>1.0526315789473684</v>
      </c>
    </row>
    <row r="20" spans="1:29" ht="15">
      <c r="A20" s="170"/>
      <c r="B20" s="196"/>
      <c r="C20" s="506" t="s">
        <v>1016</v>
      </c>
      <c r="D20" s="187"/>
      <c r="E20" s="475" t="s">
        <v>1011</v>
      </c>
      <c r="F20" s="187"/>
      <c r="G20" s="474" t="s">
        <v>1018</v>
      </c>
      <c r="H20" s="187"/>
      <c r="I20" s="474" t="s">
        <v>1012</v>
      </c>
      <c r="J20" s="187"/>
      <c r="K20" s="319"/>
      <c r="L20" s="317"/>
      <c r="M20" s="304"/>
      <c r="N20" s="304"/>
      <c r="O20" s="304"/>
      <c r="P20" s="3220"/>
      <c r="Q20" s="309"/>
      <c r="R20" s="376"/>
      <c r="S20" s="377"/>
      <c r="T20" s="376"/>
      <c r="U20" s="377"/>
      <c r="V20" s="376"/>
      <c r="W20" s="377"/>
      <c r="X20" s="371"/>
      <c r="Y20" s="3220"/>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20"/>
      <c r="Q21" s="309" t="str">
        <f>B21</f>
        <v>基础设施水平</v>
      </c>
      <c r="R21" s="376" t="s">
        <v>910</v>
      </c>
      <c r="S21" s="377">
        <f>F21</f>
        <v>99</v>
      </c>
      <c r="T21" s="376" t="s">
        <v>910</v>
      </c>
      <c r="U21" s="377">
        <f>H21</f>
        <v>98</v>
      </c>
      <c r="V21" s="376" t="s">
        <v>910</v>
      </c>
      <c r="W21" s="377">
        <f>J21</f>
        <v>97</v>
      </c>
      <c r="X21" s="371"/>
      <c r="Y21" s="3220"/>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20"/>
      <c r="Q22" s="309"/>
      <c r="R22" s="376"/>
      <c r="S22" s="377"/>
      <c r="T22" s="376"/>
      <c r="U22" s="377"/>
      <c r="V22" s="376"/>
      <c r="W22" s="377"/>
      <c r="X22" s="371"/>
      <c r="Y22" s="3220"/>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20"/>
      <c r="Q23" s="309" t="str">
        <f>B23</f>
        <v>环境质量</v>
      </c>
      <c r="R23" s="376" t="s">
        <v>910</v>
      </c>
      <c r="S23" s="377">
        <f>F23</f>
        <v>98.5</v>
      </c>
      <c r="T23" s="376" t="s">
        <v>910</v>
      </c>
      <c r="U23" s="377">
        <f>H23</f>
        <v>103</v>
      </c>
      <c r="V23" s="376" t="s">
        <v>910</v>
      </c>
      <c r="W23" s="377">
        <f>J23</f>
        <v>101.5</v>
      </c>
      <c r="X23" s="371"/>
      <c r="Y23" s="3220"/>
      <c r="Z23" s="370" t="str">
        <f t="shared" ref="Z23:Z28" si="8">Q23</f>
        <v>环境质量</v>
      </c>
      <c r="AA23" s="382">
        <f t="shared" si="3"/>
        <v>1.015228426395939</v>
      </c>
      <c r="AB23" s="382">
        <f t="shared" si="4"/>
        <v>0.970873786407767</v>
      </c>
      <c r="AC23" s="382">
        <f t="shared" si="5"/>
        <v>0.98522167487684731</v>
      </c>
    </row>
    <row r="24" spans="1:29" ht="15">
      <c r="A24" s="170"/>
      <c r="B24" s="202"/>
      <c r="C24" s="506" t="s">
        <v>1011</v>
      </c>
      <c r="D24" s="187"/>
      <c r="E24" s="475" t="s">
        <v>1012</v>
      </c>
      <c r="F24" s="187"/>
      <c r="G24" s="474" t="s">
        <v>1018</v>
      </c>
      <c r="H24" s="187"/>
      <c r="I24" s="474" t="s">
        <v>1016</v>
      </c>
      <c r="J24" s="187"/>
      <c r="K24" s="319"/>
      <c r="L24" s="317"/>
      <c r="M24" s="304"/>
      <c r="N24" s="304"/>
      <c r="O24" s="304"/>
      <c r="P24" s="3220"/>
      <c r="Q24" s="309"/>
      <c r="R24" s="376"/>
      <c r="S24" s="377"/>
      <c r="T24" s="376"/>
      <c r="U24" s="377"/>
      <c r="V24" s="376"/>
      <c r="W24" s="377"/>
      <c r="X24" s="371"/>
      <c r="Y24" s="3220"/>
      <c r="Z24" s="370"/>
      <c r="AA24" s="382">
        <v>1</v>
      </c>
      <c r="AB24" s="382">
        <v>1</v>
      </c>
      <c r="AC24" s="382">
        <v>1</v>
      </c>
    </row>
    <row r="25" spans="1:29" ht="28.5">
      <c r="A25" s="148"/>
      <c r="B25" s="436" t="s">
        <v>929</v>
      </c>
      <c r="C25" s="509" t="s">
        <v>2159</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20"/>
      <c r="Q25" s="309" t="str">
        <f>B25</f>
        <v>毗邻道路的类型与等级</v>
      </c>
      <c r="R25" s="376" t="s">
        <v>910</v>
      </c>
      <c r="S25" s="377">
        <f>F25</f>
        <v>98.5</v>
      </c>
      <c r="T25" s="376" t="s">
        <v>910</v>
      </c>
      <c r="U25" s="377">
        <f>H25</f>
        <v>97</v>
      </c>
      <c r="V25" s="376" t="s">
        <v>910</v>
      </c>
      <c r="W25" s="377">
        <f>J25</f>
        <v>95.5</v>
      </c>
      <c r="X25" s="371"/>
      <c r="Y25" s="3220"/>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1022</v>
      </c>
      <c r="D26" s="177"/>
      <c r="E26" s="205" t="s">
        <v>2160</v>
      </c>
      <c r="F26" s="177"/>
      <c r="G26" s="510" t="s">
        <v>1021</v>
      </c>
      <c r="H26" s="177"/>
      <c r="I26" s="205" t="s">
        <v>1020</v>
      </c>
      <c r="J26" s="177"/>
      <c r="K26" s="319"/>
      <c r="L26" s="317"/>
      <c r="M26" s="304"/>
      <c r="N26" s="304"/>
      <c r="O26" s="304"/>
      <c r="P26" s="3220"/>
      <c r="Q26" s="309"/>
      <c r="R26" s="376"/>
      <c r="S26" s="377"/>
      <c r="T26" s="376"/>
      <c r="U26" s="377"/>
      <c r="V26" s="376"/>
      <c r="W26" s="377"/>
      <c r="X26" s="371"/>
      <c r="Y26" s="3220"/>
      <c r="Z26" s="370"/>
      <c r="AA26" s="382">
        <v>1</v>
      </c>
      <c r="AB26" s="382">
        <v>1</v>
      </c>
      <c r="AC26" s="382">
        <v>1</v>
      </c>
    </row>
    <row r="27" spans="1:29" ht="15">
      <c r="A27" s="170"/>
      <c r="B27" s="196" t="s">
        <v>2115</v>
      </c>
      <c r="C27" s="510" t="s">
        <v>2161</v>
      </c>
      <c r="D27" s="177">
        <v>100</v>
      </c>
      <c r="E27" s="205" t="s">
        <v>2162</v>
      </c>
      <c r="F27" s="177">
        <f>SUMIF(89:89,E27,90:90)-SUMIF(89:89,C27,90:90)+100</f>
        <v>94</v>
      </c>
      <c r="G27" s="510" t="s">
        <v>2163</v>
      </c>
      <c r="H27" s="177">
        <f>SUMIF(89:89,G27,90:90)-SUMIF(89:89,C27,90:90)+100</f>
        <v>97</v>
      </c>
      <c r="I27" s="205" t="s">
        <v>2161</v>
      </c>
      <c r="J27" s="177">
        <f>SUMIF(89:89,I27,90:90)-SUMIF(89:89,C27,90:90)+100</f>
        <v>100</v>
      </c>
      <c r="K27" s="310">
        <v>3</v>
      </c>
      <c r="L27" s="317"/>
      <c r="M27" s="304"/>
      <c r="N27" s="304"/>
      <c r="O27" s="304"/>
      <c r="P27" s="3220"/>
      <c r="Q27" s="309" t="str">
        <f t="shared" ref="Q27:Q47" si="9">B27</f>
        <v>楼层</v>
      </c>
      <c r="R27" s="376" t="s">
        <v>910</v>
      </c>
      <c r="S27" s="377">
        <f>F27</f>
        <v>94</v>
      </c>
      <c r="T27" s="376" t="s">
        <v>910</v>
      </c>
      <c r="U27" s="377">
        <f>H27</f>
        <v>97</v>
      </c>
      <c r="V27" s="376" t="s">
        <v>910</v>
      </c>
      <c r="W27" s="377">
        <f>J27</f>
        <v>100</v>
      </c>
      <c r="X27" s="371"/>
      <c r="Y27" s="3220"/>
      <c r="Z27" s="370" t="str">
        <f t="shared" si="8"/>
        <v>楼层</v>
      </c>
      <c r="AA27" s="382">
        <f t="shared" si="3"/>
        <v>1.0638297872340425</v>
      </c>
      <c r="AB27" s="382">
        <f t="shared" si="4"/>
        <v>1.0309278350515463</v>
      </c>
      <c r="AC27" s="382">
        <f t="shared" si="5"/>
        <v>1</v>
      </c>
    </row>
    <row r="28" spans="1:29" s="122" customFormat="1" ht="15">
      <c r="A28" s="174"/>
      <c r="B28" s="436" t="s">
        <v>2022</v>
      </c>
      <c r="C28" s="511" t="s">
        <v>2057</v>
      </c>
      <c r="D28" s="478">
        <v>100</v>
      </c>
      <c r="E28" s="512" t="s">
        <v>2055</v>
      </c>
      <c r="F28" s="478">
        <f>SUMIF(91:91,E28,92:92)-SUMIF(91:91,C28,92:92)+100</f>
        <v>97</v>
      </c>
      <c r="G28" s="511" t="s">
        <v>2061</v>
      </c>
      <c r="H28" s="478">
        <f>SUMIF(91:91,G28,92:92)-SUMIF(91:91,C28,92:92)+100</f>
        <v>94</v>
      </c>
      <c r="I28" s="512" t="s">
        <v>2062</v>
      </c>
      <c r="J28" s="478">
        <f>SUMIF(91:91,I28,92:92)-SUMIF(91:91,C28,92:92)+100</f>
        <v>91</v>
      </c>
      <c r="K28" s="310">
        <v>3</v>
      </c>
      <c r="L28" s="306"/>
      <c r="M28" s="307"/>
      <c r="N28" s="307"/>
      <c r="O28" s="307"/>
      <c r="P28" s="3220"/>
      <c r="Q28" s="375" t="str">
        <f t="shared" si="9"/>
        <v>朝向</v>
      </c>
      <c r="R28" s="372" t="s">
        <v>910</v>
      </c>
      <c r="S28" s="373">
        <f>F28</f>
        <v>97</v>
      </c>
      <c r="T28" s="372" t="s">
        <v>910</v>
      </c>
      <c r="U28" s="373">
        <f>H28</f>
        <v>94</v>
      </c>
      <c r="V28" s="372" t="s">
        <v>910</v>
      </c>
      <c r="W28" s="373">
        <f>J28</f>
        <v>91</v>
      </c>
      <c r="X28" s="374"/>
      <c r="Y28" s="3220"/>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20"/>
      <c r="Q29" s="309">
        <f t="shared" si="9"/>
        <v>111</v>
      </c>
      <c r="R29" s="376" t="s">
        <v>910</v>
      </c>
      <c r="S29" s="377">
        <f t="shared" ref="S29:S47" si="10">F29</f>
        <v>101</v>
      </c>
      <c r="T29" s="376" t="s">
        <v>910</v>
      </c>
      <c r="U29" s="377">
        <f t="shared" ref="U29:U47" si="11">H29</f>
        <v>102</v>
      </c>
      <c r="V29" s="376" t="s">
        <v>910</v>
      </c>
      <c r="W29" s="377">
        <f t="shared" ref="W29:W47" si="12">J29</f>
        <v>103</v>
      </c>
      <c r="X29" s="371"/>
      <c r="Y29" s="3220"/>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20"/>
      <c r="Q30" s="309">
        <f t="shared" si="9"/>
        <v>111</v>
      </c>
      <c r="R30" s="376" t="s">
        <v>910</v>
      </c>
      <c r="S30" s="377">
        <f t="shared" si="10"/>
        <v>101</v>
      </c>
      <c r="T30" s="376" t="s">
        <v>910</v>
      </c>
      <c r="U30" s="377">
        <f t="shared" si="11"/>
        <v>102</v>
      </c>
      <c r="V30" s="376" t="s">
        <v>910</v>
      </c>
      <c r="W30" s="377">
        <f t="shared" si="12"/>
        <v>103</v>
      </c>
      <c r="X30" s="371"/>
      <c r="Y30" s="3220"/>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20"/>
      <c r="Q31" s="309">
        <f t="shared" si="9"/>
        <v>111</v>
      </c>
      <c r="R31" s="376" t="s">
        <v>910</v>
      </c>
      <c r="S31" s="377">
        <f t="shared" si="10"/>
        <v>101</v>
      </c>
      <c r="T31" s="376" t="s">
        <v>910</v>
      </c>
      <c r="U31" s="377">
        <f t="shared" si="11"/>
        <v>102</v>
      </c>
      <c r="V31" s="376" t="s">
        <v>910</v>
      </c>
      <c r="W31" s="377">
        <f t="shared" si="12"/>
        <v>103</v>
      </c>
      <c r="X31" s="371"/>
      <c r="Y31" s="3220"/>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20"/>
      <c r="Q32" s="309">
        <f t="shared" si="9"/>
        <v>111</v>
      </c>
      <c r="R32" s="376" t="s">
        <v>910</v>
      </c>
      <c r="S32" s="377">
        <f t="shared" si="10"/>
        <v>98</v>
      </c>
      <c r="T32" s="376" t="s">
        <v>910</v>
      </c>
      <c r="U32" s="377">
        <f t="shared" si="11"/>
        <v>96</v>
      </c>
      <c r="V32" s="376" t="s">
        <v>910</v>
      </c>
      <c r="W32" s="377">
        <f t="shared" si="12"/>
        <v>94</v>
      </c>
      <c r="X32" s="371"/>
      <c r="Y32" s="3220"/>
      <c r="Z32" s="370">
        <f t="shared" si="13"/>
        <v>111</v>
      </c>
      <c r="AA32" s="382">
        <f t="shared" si="3"/>
        <v>1.0204081632653061</v>
      </c>
      <c r="AB32" s="382">
        <f t="shared" si="4"/>
        <v>1.0416666666666667</v>
      </c>
      <c r="AC32" s="382">
        <f t="shared" si="5"/>
        <v>1.0638297872340425</v>
      </c>
    </row>
    <row r="33" spans="1:29" ht="15">
      <c r="A33" s="178" t="s">
        <v>933</v>
      </c>
      <c r="B33" s="161" t="s">
        <v>2025</v>
      </c>
      <c r="C33" s="211" t="s">
        <v>2164</v>
      </c>
      <c r="D33" s="212">
        <v>100</v>
      </c>
      <c r="E33" s="211" t="s">
        <v>2165</v>
      </c>
      <c r="F33" s="206">
        <f>SUMIF(101:101,E33,102:102)-SUMIF(101:101,C33,102:102)+100</f>
        <v>98</v>
      </c>
      <c r="G33" s="211" t="s">
        <v>2166</v>
      </c>
      <c r="H33" s="177">
        <f>SUMIF(101:101,G33,102:102)-SUMIF(101:101,C33,102:102)+100</f>
        <v>97</v>
      </c>
      <c r="I33" s="211" t="s">
        <v>2167</v>
      </c>
      <c r="J33" s="212">
        <f>SUMIF(101:101,I33,102:102)-SUMIF(101:101,C33,102:102)+100</f>
        <v>96</v>
      </c>
      <c r="K33" s="310">
        <v>1</v>
      </c>
      <c r="L33" s="317"/>
      <c r="M33" s="304"/>
      <c r="N33" s="304"/>
      <c r="O33" s="304"/>
      <c r="P33" s="3221" t="s">
        <v>932</v>
      </c>
      <c r="Q33" s="309" t="str">
        <f t="shared" si="9"/>
        <v>建筑类型</v>
      </c>
      <c r="R33" s="376" t="s">
        <v>910</v>
      </c>
      <c r="S33" s="377">
        <f t="shared" si="10"/>
        <v>98</v>
      </c>
      <c r="T33" s="376" t="s">
        <v>910</v>
      </c>
      <c r="U33" s="377">
        <f t="shared" si="11"/>
        <v>97</v>
      </c>
      <c r="V33" s="376" t="s">
        <v>910</v>
      </c>
      <c r="W33" s="377">
        <f t="shared" si="12"/>
        <v>96</v>
      </c>
      <c r="X33" s="371"/>
      <c r="Y33" s="3222" t="s">
        <v>932</v>
      </c>
      <c r="Z33" s="370" t="str">
        <f t="shared" si="13"/>
        <v>建筑类型</v>
      </c>
      <c r="AA33" s="382">
        <f t="shared" si="3"/>
        <v>1.0204081632653061</v>
      </c>
      <c r="AB33" s="382">
        <f t="shared" si="4"/>
        <v>1.0309278350515463</v>
      </c>
      <c r="AC33" s="382">
        <f t="shared" si="5"/>
        <v>1.0416666666666667</v>
      </c>
    </row>
    <row r="34" spans="1:29" s="124" customFormat="1" ht="15">
      <c r="A34" s="214"/>
      <c r="B34" s="166" t="s">
        <v>2027</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22"/>
      <c r="Q34" s="378" t="str">
        <f t="shared" si="9"/>
        <v>项目建筑规模</v>
      </c>
      <c r="R34" s="379" t="s">
        <v>910</v>
      </c>
      <c r="S34" s="380">
        <f t="shared" si="10"/>
        <v>92</v>
      </c>
      <c r="T34" s="379" t="s">
        <v>910</v>
      </c>
      <c r="U34" s="380">
        <f t="shared" si="11"/>
        <v>94</v>
      </c>
      <c r="V34" s="379" t="s">
        <v>910</v>
      </c>
      <c r="W34" s="380">
        <f t="shared" si="12"/>
        <v>96</v>
      </c>
      <c r="X34" s="381"/>
      <c r="Y34" s="3222"/>
      <c r="Z34" s="393" t="str">
        <f t="shared" si="13"/>
        <v>项目建筑规模</v>
      </c>
      <c r="AA34" s="382">
        <f t="shared" si="3"/>
        <v>1.0869565217391304</v>
      </c>
      <c r="AB34" s="382">
        <f t="shared" si="4"/>
        <v>1.0638297872340425</v>
      </c>
      <c r="AC34" s="382">
        <f t="shared" si="5"/>
        <v>1.0416666666666667</v>
      </c>
    </row>
    <row r="35" spans="1:29" ht="15">
      <c r="A35" s="218"/>
      <c r="B35" s="166" t="s">
        <v>2028</v>
      </c>
      <c r="C35" s="219" t="s">
        <v>2029</v>
      </c>
      <c r="D35" s="177">
        <v>100</v>
      </c>
      <c r="E35" s="219" t="s">
        <v>2074</v>
      </c>
      <c r="F35" s="206">
        <f>SUMIF(106:106,E35,107:107)-SUMIF(106:106,C35,107:107)+100</f>
        <v>98</v>
      </c>
      <c r="G35" s="219" t="s">
        <v>2029</v>
      </c>
      <c r="H35" s="177">
        <f>SUMIF(106:106,G35,107:107)-SUMIF(106:106,C35,107:107)+100</f>
        <v>100</v>
      </c>
      <c r="I35" s="219" t="s">
        <v>2074</v>
      </c>
      <c r="J35" s="177">
        <f>SUMIF(106:106,I35,107:107)-SUMIF(106:106,C35,107:107)+100</f>
        <v>98</v>
      </c>
      <c r="K35" s="310">
        <v>2</v>
      </c>
      <c r="L35" s="317"/>
      <c r="M35" s="304"/>
      <c r="N35" s="304"/>
      <c r="O35" s="304"/>
      <c r="P35" s="3222"/>
      <c r="Q35" s="309" t="str">
        <f t="shared" si="9"/>
        <v>建筑结构</v>
      </c>
      <c r="R35" s="376" t="s">
        <v>910</v>
      </c>
      <c r="S35" s="377">
        <f t="shared" si="10"/>
        <v>98</v>
      </c>
      <c r="T35" s="376" t="s">
        <v>910</v>
      </c>
      <c r="U35" s="377">
        <f t="shared" si="11"/>
        <v>100</v>
      </c>
      <c r="V35" s="376" t="s">
        <v>910</v>
      </c>
      <c r="W35" s="377">
        <f t="shared" si="12"/>
        <v>98</v>
      </c>
      <c r="X35" s="371"/>
      <c r="Y35" s="3222"/>
      <c r="Z35" s="370" t="str">
        <f t="shared" si="13"/>
        <v>建筑结构</v>
      </c>
      <c r="AA35" s="382">
        <f t="shared" si="3"/>
        <v>1.0204081632653061</v>
      </c>
      <c r="AB35" s="382">
        <f t="shared" si="4"/>
        <v>1</v>
      </c>
      <c r="AC35" s="382">
        <f t="shared" si="5"/>
        <v>1.0204081632653061</v>
      </c>
    </row>
    <row r="36" spans="1:29" ht="15">
      <c r="A36" s="218"/>
      <c r="B36" s="166" t="s">
        <v>2032</v>
      </c>
      <c r="C36" s="219" t="s">
        <v>2125</v>
      </c>
      <c r="D36" s="177">
        <v>100</v>
      </c>
      <c r="E36" s="219" t="s">
        <v>2033</v>
      </c>
      <c r="F36" s="206">
        <f>SUMIF(108:108,E36,109:109)-SUMIF(108:108,C36,109:109)+100</f>
        <v>101</v>
      </c>
      <c r="G36" s="219" t="s">
        <v>2126</v>
      </c>
      <c r="H36" s="177">
        <f>SUMIF(108:108,G36,109:109)-SUMIF(108:108,C36,109:109)+100</f>
        <v>99</v>
      </c>
      <c r="I36" s="219" t="s">
        <v>2042</v>
      </c>
      <c r="J36" s="177">
        <f>SUMIF(108:108,I36,109:109)-SUMIF(108:108,C36,109:109)+100</f>
        <v>98</v>
      </c>
      <c r="K36" s="310">
        <v>1</v>
      </c>
      <c r="L36" s="317"/>
      <c r="M36" s="304"/>
      <c r="N36" s="304"/>
      <c r="O36" s="304"/>
      <c r="P36" s="3222"/>
      <c r="Q36" s="309" t="str">
        <f t="shared" si="9"/>
        <v>公共部分装修</v>
      </c>
      <c r="R36" s="376" t="s">
        <v>910</v>
      </c>
      <c r="S36" s="377">
        <f t="shared" si="10"/>
        <v>101</v>
      </c>
      <c r="T36" s="376" t="s">
        <v>910</v>
      </c>
      <c r="U36" s="377">
        <f t="shared" si="11"/>
        <v>99</v>
      </c>
      <c r="V36" s="376" t="s">
        <v>910</v>
      </c>
      <c r="W36" s="377">
        <f t="shared" si="12"/>
        <v>98</v>
      </c>
      <c r="X36" s="371"/>
      <c r="Y36" s="3222"/>
      <c r="Z36" s="370" t="str">
        <f t="shared" si="13"/>
        <v>公共部分装修</v>
      </c>
      <c r="AA36" s="382">
        <f t="shared" si="3"/>
        <v>0.99009900990099009</v>
      </c>
      <c r="AB36" s="382">
        <f t="shared" si="4"/>
        <v>1.0101010101010102</v>
      </c>
      <c r="AC36" s="382">
        <f t="shared" si="5"/>
        <v>1.0204081632653061</v>
      </c>
    </row>
    <row r="37" spans="1:29" ht="15">
      <c r="A37" s="218"/>
      <c r="B37" s="166" t="s">
        <v>2034</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22"/>
      <c r="Q37" s="309" t="str">
        <f t="shared" si="9"/>
        <v>成新度</v>
      </c>
      <c r="R37" s="376" t="s">
        <v>910</v>
      </c>
      <c r="S37" s="377">
        <f t="shared" si="10"/>
        <v>98</v>
      </c>
      <c r="T37" s="376" t="s">
        <v>910</v>
      </c>
      <c r="U37" s="377">
        <f t="shared" si="11"/>
        <v>100</v>
      </c>
      <c r="V37" s="376" t="s">
        <v>910</v>
      </c>
      <c r="W37" s="377">
        <f t="shared" si="12"/>
        <v>100</v>
      </c>
      <c r="X37" s="371"/>
      <c r="Y37" s="3222"/>
      <c r="Z37" s="370" t="str">
        <f t="shared" si="13"/>
        <v>成新度</v>
      </c>
      <c r="AA37" s="382">
        <f t="shared" si="3"/>
        <v>1.0204081632653061</v>
      </c>
      <c r="AB37" s="382">
        <f t="shared" si="4"/>
        <v>1</v>
      </c>
      <c r="AC37" s="382">
        <f t="shared" si="5"/>
        <v>1</v>
      </c>
    </row>
    <row r="38" spans="1:29" s="122" customFormat="1" ht="15">
      <c r="A38" s="221"/>
      <c r="B38" s="166" t="s">
        <v>2168</v>
      </c>
      <c r="C38" s="219" t="s">
        <v>2169</v>
      </c>
      <c r="D38" s="168">
        <v>100</v>
      </c>
      <c r="E38" s="219" t="s">
        <v>2170</v>
      </c>
      <c r="F38" s="206">
        <f>SUMIF(113:113,E38,114:114)-SUMIF(113:113,C38,114:114)+100</f>
        <v>96</v>
      </c>
      <c r="G38" s="219" t="s">
        <v>2171</v>
      </c>
      <c r="H38" s="177">
        <f>SUMIF(113:113,G38,114:114)-SUMIF(113:113,C38,114:114)+100</f>
        <v>92</v>
      </c>
      <c r="I38" s="219" t="s">
        <v>2169</v>
      </c>
      <c r="J38" s="177">
        <f>SUMIF(113:113,I38,114:114)-SUMIF(113:113,C38,114:114)+100</f>
        <v>100</v>
      </c>
      <c r="K38" s="310">
        <v>4</v>
      </c>
      <c r="L38" s="306"/>
      <c r="M38" s="307"/>
      <c r="N38" s="307"/>
      <c r="O38" s="307"/>
      <c r="P38" s="3222"/>
      <c r="Q38" s="375" t="str">
        <f t="shared" si="9"/>
        <v>写字楼等级</v>
      </c>
      <c r="R38" s="372" t="s">
        <v>910</v>
      </c>
      <c r="S38" s="373">
        <f t="shared" si="10"/>
        <v>96</v>
      </c>
      <c r="T38" s="372" t="s">
        <v>910</v>
      </c>
      <c r="U38" s="373">
        <f t="shared" si="11"/>
        <v>92</v>
      </c>
      <c r="V38" s="372" t="s">
        <v>910</v>
      </c>
      <c r="W38" s="373">
        <f t="shared" si="12"/>
        <v>100</v>
      </c>
      <c r="X38" s="374"/>
      <c r="Y38" s="3222"/>
      <c r="Z38" s="392" t="str">
        <f t="shared" si="13"/>
        <v>写字楼等级</v>
      </c>
      <c r="AA38" s="391">
        <f t="shared" si="3"/>
        <v>1.0416666666666667</v>
      </c>
      <c r="AB38" s="391">
        <f t="shared" si="4"/>
        <v>1.0869565217391304</v>
      </c>
      <c r="AC38" s="391">
        <f t="shared" si="5"/>
        <v>1</v>
      </c>
    </row>
    <row r="39" spans="1:29" ht="15">
      <c r="A39" s="218"/>
      <c r="B39" s="166" t="s">
        <v>2035</v>
      </c>
      <c r="C39" s="219" t="s">
        <v>2036</v>
      </c>
      <c r="D39" s="177">
        <v>100</v>
      </c>
      <c r="E39" s="219" t="s">
        <v>2172</v>
      </c>
      <c r="F39" s="206">
        <f>SUMIF(115:115,E39,116:116)-SUMIF(115:115,C39,116:116)+100</f>
        <v>97</v>
      </c>
      <c r="G39" s="219" t="s">
        <v>2036</v>
      </c>
      <c r="H39" s="177">
        <f>SUMIF(115:115,G39,116:116)-SUMIF(115:115,C39,116:116)+100</f>
        <v>100</v>
      </c>
      <c r="I39" s="219" t="s">
        <v>2172</v>
      </c>
      <c r="J39" s="177">
        <f>SUMIF(115:115,I39,116:116)-SUMIF(115:115,C39,116:116)+100</f>
        <v>97</v>
      </c>
      <c r="K39" s="310">
        <v>3</v>
      </c>
      <c r="L39" s="317"/>
      <c r="M39" s="304"/>
      <c r="N39" s="304"/>
      <c r="O39" s="304"/>
      <c r="P39" s="3222" t="s">
        <v>932</v>
      </c>
      <c r="Q39" s="309" t="str">
        <f t="shared" si="9"/>
        <v>物业管理</v>
      </c>
      <c r="R39" s="376" t="s">
        <v>910</v>
      </c>
      <c r="S39" s="377">
        <f t="shared" si="10"/>
        <v>97</v>
      </c>
      <c r="T39" s="376" t="s">
        <v>910</v>
      </c>
      <c r="U39" s="377">
        <f t="shared" si="11"/>
        <v>100</v>
      </c>
      <c r="V39" s="376" t="s">
        <v>910</v>
      </c>
      <c r="W39" s="377">
        <f t="shared" si="12"/>
        <v>97</v>
      </c>
      <c r="X39" s="371"/>
      <c r="Y39" s="3222" t="s">
        <v>932</v>
      </c>
      <c r="Z39" s="370" t="str">
        <f t="shared" si="13"/>
        <v>物业管理</v>
      </c>
      <c r="AA39" s="382">
        <f t="shared" si="3"/>
        <v>1.0309278350515463</v>
      </c>
      <c r="AB39" s="382">
        <f t="shared" si="4"/>
        <v>1</v>
      </c>
      <c r="AC39" s="382">
        <f t="shared" si="5"/>
        <v>1.0309278350515463</v>
      </c>
    </row>
    <row r="40" spans="1:29" ht="15">
      <c r="A40" s="218"/>
      <c r="B40" s="481" t="s">
        <v>2037</v>
      </c>
      <c r="C40" s="219" t="s">
        <v>2127</v>
      </c>
      <c r="D40" s="177">
        <v>100</v>
      </c>
      <c r="E40" s="219" t="s">
        <v>2128</v>
      </c>
      <c r="F40" s="206">
        <f>SUMIF(117:117,E40,118:118)-SUMIF(117:117,C40,118:118)+100</f>
        <v>99</v>
      </c>
      <c r="G40" s="219" t="s">
        <v>2129</v>
      </c>
      <c r="H40" s="177">
        <f>SUMIF(117:117,G40,118:118)-SUMIF(117:117,C40,118:118)+100</f>
        <v>98</v>
      </c>
      <c r="I40" s="219" t="s">
        <v>2130</v>
      </c>
      <c r="J40" s="177">
        <f>SUMIF(117:117,I40,118:118)-SUMIF(117:117,C40,118:118)+100</f>
        <v>97</v>
      </c>
      <c r="K40" s="310">
        <v>1</v>
      </c>
      <c r="L40" s="317"/>
      <c r="M40" s="304"/>
      <c r="N40" s="304"/>
      <c r="O40" s="304"/>
      <c r="P40" s="3222"/>
      <c r="Q40" s="309" t="str">
        <f t="shared" si="9"/>
        <v>市政基础设施</v>
      </c>
      <c r="R40" s="376" t="s">
        <v>910</v>
      </c>
      <c r="S40" s="377">
        <f t="shared" si="10"/>
        <v>99</v>
      </c>
      <c r="T40" s="376" t="s">
        <v>910</v>
      </c>
      <c r="U40" s="377">
        <f t="shared" si="11"/>
        <v>98</v>
      </c>
      <c r="V40" s="376" t="s">
        <v>910</v>
      </c>
      <c r="W40" s="377">
        <f t="shared" si="12"/>
        <v>97</v>
      </c>
      <c r="X40" s="371"/>
      <c r="Y40" s="3222"/>
      <c r="Z40" s="370" t="str">
        <f t="shared" si="13"/>
        <v>市政基础设施</v>
      </c>
      <c r="AA40" s="382">
        <f t="shared" si="3"/>
        <v>1.0101010101010102</v>
      </c>
      <c r="AB40" s="382">
        <f t="shared" si="4"/>
        <v>1.0204081632653061</v>
      </c>
      <c r="AC40" s="382">
        <f t="shared" si="5"/>
        <v>1.0309278350515463</v>
      </c>
    </row>
    <row r="41" spans="1:29" ht="15">
      <c r="A41" s="218"/>
      <c r="B41" s="166" t="s">
        <v>2134</v>
      </c>
      <c r="C41" s="205" t="s">
        <v>2135</v>
      </c>
      <c r="D41" s="177">
        <v>100</v>
      </c>
      <c r="E41" s="205" t="s">
        <v>2135</v>
      </c>
      <c r="F41" s="206">
        <f>SUMIF(119:119,E41,120:120)-SUMIF(119:119,C41,120:120)+100</f>
        <v>100</v>
      </c>
      <c r="G41" s="205" t="s">
        <v>2136</v>
      </c>
      <c r="H41" s="177">
        <f>SUMIF(119:119,G41,120:120)-SUMIF(119:119,C41,120:120)+100</f>
        <v>101.5</v>
      </c>
      <c r="I41" s="205" t="s">
        <v>2135</v>
      </c>
      <c r="J41" s="177">
        <f>SUMIF(119:119,I41,120:120)-SUMIF(119:119,C41,120:120)+100</f>
        <v>100</v>
      </c>
      <c r="K41" s="310">
        <v>1.5</v>
      </c>
      <c r="L41" s="317"/>
      <c r="M41" s="304"/>
      <c r="N41" s="304"/>
      <c r="O41" s="304"/>
      <c r="P41" s="3222"/>
      <c r="Q41" s="309" t="str">
        <f t="shared" si="9"/>
        <v>层高</v>
      </c>
      <c r="R41" s="376" t="s">
        <v>910</v>
      </c>
      <c r="S41" s="377">
        <f t="shared" si="10"/>
        <v>100</v>
      </c>
      <c r="T41" s="376" t="s">
        <v>910</v>
      </c>
      <c r="U41" s="377">
        <f t="shared" si="11"/>
        <v>101.5</v>
      </c>
      <c r="V41" s="376" t="s">
        <v>910</v>
      </c>
      <c r="W41" s="377">
        <f t="shared" si="12"/>
        <v>100</v>
      </c>
      <c r="X41" s="371"/>
      <c r="Y41" s="3222"/>
      <c r="Z41" s="370" t="str">
        <f t="shared" si="13"/>
        <v>层高</v>
      </c>
      <c r="AA41" s="382">
        <f t="shared" si="3"/>
        <v>1</v>
      </c>
      <c r="AB41" s="382">
        <f t="shared" si="4"/>
        <v>0.98522167487684731</v>
      </c>
      <c r="AC41" s="382">
        <f t="shared" si="5"/>
        <v>1</v>
      </c>
    </row>
    <row r="42" spans="1:29" s="124" customFormat="1" ht="15">
      <c r="A42" s="214"/>
      <c r="B42" s="327" t="s">
        <v>2173</v>
      </c>
      <c r="C42" s="176" t="s">
        <v>2174</v>
      </c>
      <c r="D42" s="177">
        <v>100</v>
      </c>
      <c r="E42" s="176" t="s">
        <v>2175</v>
      </c>
      <c r="F42" s="206">
        <f>SUMIF(121:121,E42,122:122)-SUMIF(121:121,C42,122:122)+100</f>
        <v>105</v>
      </c>
      <c r="G42" s="176" t="s">
        <v>2176</v>
      </c>
      <c r="H42" s="177">
        <f>SUMIF(121:121,G42,122:122)-SUMIF(121:121,C42,122:122)+100</f>
        <v>103</v>
      </c>
      <c r="I42" s="176" t="s">
        <v>2177</v>
      </c>
      <c r="J42" s="177">
        <f>SUMIF(121:121,I42,122:122)-SUMIF(121:121,C42,122:122)+100</f>
        <v>98</v>
      </c>
      <c r="K42" s="314"/>
      <c r="L42" s="315"/>
      <c r="M42" s="321"/>
      <c r="N42" s="321"/>
      <c r="O42" s="321"/>
      <c r="P42" s="3222"/>
      <c r="Q42" s="378" t="str">
        <f t="shared" si="9"/>
        <v>单套建筑面积</v>
      </c>
      <c r="R42" s="379" t="s">
        <v>910</v>
      </c>
      <c r="S42" s="380">
        <f t="shared" si="10"/>
        <v>105</v>
      </c>
      <c r="T42" s="379" t="s">
        <v>910</v>
      </c>
      <c r="U42" s="380">
        <f t="shared" si="11"/>
        <v>103</v>
      </c>
      <c r="V42" s="379" t="s">
        <v>910</v>
      </c>
      <c r="W42" s="380">
        <f t="shared" si="12"/>
        <v>98</v>
      </c>
      <c r="X42" s="381"/>
      <c r="Y42" s="3222"/>
      <c r="Z42" s="393" t="str">
        <f t="shared" si="13"/>
        <v>单套建筑面积</v>
      </c>
      <c r="AA42" s="382">
        <f t="shared" si="3"/>
        <v>0.95238095238095233</v>
      </c>
      <c r="AB42" s="382">
        <f t="shared" si="4"/>
        <v>0.970873786407767</v>
      </c>
      <c r="AC42" s="382">
        <f t="shared" si="5"/>
        <v>1.0204081632653061</v>
      </c>
    </row>
    <row r="43" spans="1:29" ht="15">
      <c r="A43" s="218"/>
      <c r="B43" s="166" t="s">
        <v>2041</v>
      </c>
      <c r="C43" s="219" t="s">
        <v>2033</v>
      </c>
      <c r="D43" s="177">
        <v>100</v>
      </c>
      <c r="E43" s="219" t="s">
        <v>2125</v>
      </c>
      <c r="F43" s="206">
        <f>SUMIF(123:123,E43,124:124)-SUMIF(123:123,C43,124:124)+100</f>
        <v>97</v>
      </c>
      <c r="G43" s="219" t="s">
        <v>2126</v>
      </c>
      <c r="H43" s="177">
        <f>SUMIF(123:123,G43,124:124)-SUMIF(123:123,C43,124:124)+100</f>
        <v>94</v>
      </c>
      <c r="I43" s="219" t="s">
        <v>2042</v>
      </c>
      <c r="J43" s="177">
        <f>SUMIF(123:123,I43,124:124)-SUMIF(123:123,C43,124:124)+100</f>
        <v>91</v>
      </c>
      <c r="K43" s="310">
        <v>3</v>
      </c>
      <c r="L43" s="317"/>
      <c r="M43" s="304"/>
      <c r="N43" s="304"/>
      <c r="O43" s="304"/>
      <c r="P43" s="3222"/>
      <c r="Q43" s="309" t="str">
        <f t="shared" si="9"/>
        <v>内部装修</v>
      </c>
      <c r="R43" s="376" t="s">
        <v>910</v>
      </c>
      <c r="S43" s="377">
        <f t="shared" si="10"/>
        <v>97</v>
      </c>
      <c r="T43" s="376" t="s">
        <v>910</v>
      </c>
      <c r="U43" s="377">
        <f t="shared" si="11"/>
        <v>94</v>
      </c>
      <c r="V43" s="376" t="s">
        <v>910</v>
      </c>
      <c r="W43" s="377">
        <f t="shared" si="12"/>
        <v>91</v>
      </c>
      <c r="X43" s="371"/>
      <c r="Y43" s="3222"/>
      <c r="Z43" s="370" t="str">
        <f t="shared" si="13"/>
        <v>内部装修</v>
      </c>
      <c r="AA43" s="382">
        <f t="shared" si="3"/>
        <v>1.0309278350515463</v>
      </c>
      <c r="AB43" s="382">
        <f t="shared" si="4"/>
        <v>1.0638297872340425</v>
      </c>
      <c r="AC43" s="382">
        <f t="shared" si="5"/>
        <v>1.098901098901099</v>
      </c>
    </row>
    <row r="44" spans="1:29" ht="27">
      <c r="A44" s="218"/>
      <c r="B44" s="166" t="s">
        <v>155</v>
      </c>
      <c r="C44" s="219" t="s">
        <v>1016</v>
      </c>
      <c r="D44" s="177">
        <v>100</v>
      </c>
      <c r="E44" s="515" t="s">
        <v>1011</v>
      </c>
      <c r="F44" s="206">
        <f>SUMIF(125:125,E44,126:126)-SUMIF(125:125,C44,126:126)+100</f>
        <v>98</v>
      </c>
      <c r="G44" s="515" t="s">
        <v>1018</v>
      </c>
      <c r="H44" s="177">
        <f>SUMIF(125:125,G44,126:126)-SUMIF(125:125,C44,126:126)+100</f>
        <v>102</v>
      </c>
      <c r="I44" s="515" t="s">
        <v>1013</v>
      </c>
      <c r="J44" s="177">
        <f>SUMIF(125:125,I44,126:126)-SUMIF(125:125,C44,126:126)+100</f>
        <v>94</v>
      </c>
      <c r="K44" s="310">
        <v>2</v>
      </c>
      <c r="L44" s="317"/>
      <c r="M44" s="304"/>
      <c r="N44" s="304"/>
      <c r="O44" s="304"/>
      <c r="P44" s="3222"/>
      <c r="Q44" s="309" t="str">
        <f t="shared" si="9"/>
        <v>内部装修维护情况</v>
      </c>
      <c r="R44" s="376" t="s">
        <v>910</v>
      </c>
      <c r="S44" s="377">
        <f t="shared" si="10"/>
        <v>98</v>
      </c>
      <c r="T44" s="376" t="s">
        <v>910</v>
      </c>
      <c r="U44" s="377">
        <f t="shared" si="11"/>
        <v>102</v>
      </c>
      <c r="V44" s="376" t="s">
        <v>910</v>
      </c>
      <c r="W44" s="377">
        <f t="shared" si="12"/>
        <v>94</v>
      </c>
      <c r="X44" s="371"/>
      <c r="Y44" s="3222"/>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22"/>
      <c r="Q45" s="375">
        <f t="shared" si="9"/>
        <v>111</v>
      </c>
      <c r="R45" s="372" t="s">
        <v>910</v>
      </c>
      <c r="S45" s="373">
        <f t="shared" si="10"/>
        <v>101</v>
      </c>
      <c r="T45" s="372" t="s">
        <v>910</v>
      </c>
      <c r="U45" s="373">
        <f t="shared" si="11"/>
        <v>102</v>
      </c>
      <c r="V45" s="372" t="s">
        <v>910</v>
      </c>
      <c r="W45" s="373">
        <f t="shared" si="12"/>
        <v>103</v>
      </c>
      <c r="X45" s="374"/>
      <c r="Y45" s="3222"/>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22"/>
      <c r="Q46" s="309">
        <f t="shared" si="9"/>
        <v>111</v>
      </c>
      <c r="R46" s="376" t="s">
        <v>910</v>
      </c>
      <c r="S46" s="377">
        <f t="shared" si="10"/>
        <v>101</v>
      </c>
      <c r="T46" s="376" t="s">
        <v>910</v>
      </c>
      <c r="U46" s="377">
        <f t="shared" si="11"/>
        <v>102</v>
      </c>
      <c r="V46" s="376" t="s">
        <v>910</v>
      </c>
      <c r="W46" s="377">
        <f t="shared" si="12"/>
        <v>103</v>
      </c>
      <c r="X46" s="371"/>
      <c r="Y46" s="3222"/>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288"/>
      <c r="Q47" s="309">
        <f t="shared" si="9"/>
        <v>111</v>
      </c>
      <c r="R47" s="376" t="s">
        <v>910</v>
      </c>
      <c r="S47" s="377">
        <f t="shared" si="10"/>
        <v>98</v>
      </c>
      <c r="T47" s="376" t="s">
        <v>910</v>
      </c>
      <c r="U47" s="377">
        <f t="shared" si="11"/>
        <v>96</v>
      </c>
      <c r="V47" s="376" t="s">
        <v>910</v>
      </c>
      <c r="W47" s="377">
        <f t="shared" si="12"/>
        <v>94</v>
      </c>
      <c r="X47" s="371"/>
      <c r="Y47" s="3288"/>
      <c r="Z47" s="370">
        <f t="shared" si="13"/>
        <v>111</v>
      </c>
      <c r="AA47" s="382">
        <f t="shared" si="3"/>
        <v>1.0204081632653061</v>
      </c>
      <c r="AB47" s="382">
        <f t="shared" si="4"/>
        <v>1.0416666666666667</v>
      </c>
      <c r="AC47" s="382">
        <f t="shared" si="5"/>
        <v>1.0638297872340425</v>
      </c>
    </row>
    <row r="48" spans="1:29" ht="15">
      <c r="A48" s="228" t="s">
        <v>2043</v>
      </c>
      <c r="B48" s="229"/>
      <c r="C48" s="230" t="s">
        <v>67</v>
      </c>
      <c r="D48" s="231"/>
      <c r="E48" s="232">
        <v>30000</v>
      </c>
      <c r="F48" s="233"/>
      <c r="G48" s="234">
        <v>35000</v>
      </c>
      <c r="H48" s="235"/>
      <c r="I48" s="232">
        <v>32000</v>
      </c>
      <c r="J48" s="235"/>
      <c r="K48" s="323"/>
      <c r="L48" s="324"/>
      <c r="M48" s="304"/>
      <c r="N48" s="304"/>
      <c r="O48" s="304"/>
      <c r="P48" s="3225" t="str">
        <f>A48</f>
        <v>成交单价（元/平方米）</v>
      </c>
      <c r="Q48" s="3218"/>
      <c r="R48" s="3287">
        <f>E48</f>
        <v>30000</v>
      </c>
      <c r="S48" s="3287"/>
      <c r="T48" s="3287">
        <f>G48</f>
        <v>35000</v>
      </c>
      <c r="U48" s="3287"/>
      <c r="V48" s="3287">
        <f>I48</f>
        <v>32000</v>
      </c>
      <c r="W48" s="3287"/>
      <c r="X48" s="255"/>
      <c r="Y48" s="394"/>
      <c r="Z48" s="255"/>
      <c r="AA48" s="255"/>
      <c r="AB48" s="255"/>
      <c r="AC48" s="255"/>
    </row>
    <row r="49" spans="1:29" ht="15">
      <c r="A49" s="236" t="s">
        <v>943</v>
      </c>
      <c r="B49" s="237"/>
      <c r="C49" s="238">
        <f>R50</f>
        <v>56401</v>
      </c>
      <c r="D49" s="239"/>
      <c r="E49" s="240">
        <f>R49</f>
        <v>48920</v>
      </c>
      <c r="F49" s="240"/>
      <c r="G49" s="238">
        <f>T49</f>
        <v>51760</v>
      </c>
      <c r="H49" s="239"/>
      <c r="I49" s="240">
        <f>V49</f>
        <v>68523</v>
      </c>
      <c r="J49" s="239"/>
      <c r="K49" s="325"/>
      <c r="L49" s="324"/>
      <c r="M49" s="304"/>
      <c r="N49" s="304"/>
      <c r="O49" s="304"/>
      <c r="P49" s="3225" t="str">
        <f>A49</f>
        <v>比较价值（元/平方米）</v>
      </c>
      <c r="Q49" s="3218"/>
      <c r="R49" s="3287">
        <f>IF(F1="售价",ROUND(PRODUCT(R48,AA7:AA47),0),ROUND(PRODUCT(R48,AA7:AA47),1))</f>
        <v>48920</v>
      </c>
      <c r="S49" s="3287"/>
      <c r="T49" s="3287">
        <f>IF(F1="售价",ROUND(PRODUCT(T48,AB7:AB47),0),ROUND(PRODUCT(T48,AB7:AB47),1))</f>
        <v>51760</v>
      </c>
      <c r="U49" s="3287"/>
      <c r="V49" s="3287">
        <f>IF(F1="售价",ROUND(PRODUCT(V48,AC7:AC47),0),ROUND(PRODUCT(V48,AC7:AC47),1))</f>
        <v>68523</v>
      </c>
      <c r="W49" s="3287"/>
      <c r="X49" s="255"/>
      <c r="Y49" s="255"/>
      <c r="Z49" s="255"/>
      <c r="AA49" s="255"/>
      <c r="AB49" s="255"/>
      <c r="AC49" s="255"/>
    </row>
    <row r="50" spans="1:29" ht="15">
      <c r="A50" s="241" t="s">
        <v>944</v>
      </c>
      <c r="B50" s="242"/>
      <c r="C50" s="243">
        <f>R50</f>
        <v>56401</v>
      </c>
      <c r="D50" s="243"/>
      <c r="E50" s="243"/>
      <c r="F50" s="243"/>
      <c r="G50" s="243"/>
      <c r="H50" s="243"/>
      <c r="I50" s="243"/>
      <c r="J50" s="243"/>
      <c r="K50" s="326"/>
      <c r="L50" s="324"/>
      <c r="M50" s="304"/>
      <c r="N50" s="304"/>
      <c r="O50" s="304"/>
      <c r="P50" s="3313" t="str">
        <f>A50</f>
        <v>估价对象XX用房的比较价值（楼面单价，元/平方米）</v>
      </c>
      <c r="Q50" s="3225"/>
      <c r="R50" s="3289">
        <f>IF(F1="售价",ROUND(AVERAGE(R49:V49),0),ROUND(AVERAGE(R49:V49),1))</f>
        <v>56401</v>
      </c>
      <c r="S50" s="3289"/>
      <c r="T50" s="3289"/>
      <c r="U50" s="3289"/>
      <c r="V50" s="3289"/>
      <c r="W50" s="3289"/>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945</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946</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947</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969</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908</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982</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911</v>
      </c>
      <c r="B62" s="263"/>
      <c r="C62" s="271" t="s">
        <v>912</v>
      </c>
      <c r="D62" s="272" t="s">
        <v>983</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984</v>
      </c>
      <c r="B64" s="275" t="s">
        <v>915</v>
      </c>
      <c r="C64" s="276" t="str">
        <f>C9</f>
        <v>办公</v>
      </c>
      <c r="D64" s="277" t="s">
        <v>2044</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918</v>
      </c>
      <c r="C66" s="282" t="s">
        <v>2045</v>
      </c>
      <c r="D66" s="282" t="s">
        <v>2046</v>
      </c>
      <c r="E66" s="282" t="s">
        <v>2047</v>
      </c>
      <c r="F66" s="282" t="s">
        <v>2048</v>
      </c>
      <c r="G66" s="282" t="s">
        <v>2049</v>
      </c>
      <c r="H66" s="282" t="s">
        <v>2050</v>
      </c>
      <c r="I66" s="282" t="s">
        <v>2051</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968</v>
      </c>
      <c r="D67" s="284" t="s">
        <v>968</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919</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922</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929</v>
      </c>
      <c r="C87" s="289" t="s">
        <v>990</v>
      </c>
      <c r="D87" s="289" t="s">
        <v>991</v>
      </c>
      <c r="E87" s="289" t="s">
        <v>992</v>
      </c>
      <c r="F87" s="289" t="s">
        <v>993</v>
      </c>
      <c r="G87" s="289" t="s">
        <v>994</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2178</v>
      </c>
      <c r="D89" s="289" t="s">
        <v>2179</v>
      </c>
      <c r="E89" s="289" t="s">
        <v>2180</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2057</v>
      </c>
      <c r="D91" s="289" t="s">
        <v>2055</v>
      </c>
      <c r="E91" s="289" t="s">
        <v>2061</v>
      </c>
      <c r="F91" s="289" t="s">
        <v>2062</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933</v>
      </c>
      <c r="B101" s="275" t="s">
        <v>2025</v>
      </c>
      <c r="C101" s="277" t="s">
        <v>2181</v>
      </c>
      <c r="D101" s="277" t="s">
        <v>2164</v>
      </c>
      <c r="E101" s="277" t="s">
        <v>2182</v>
      </c>
      <c r="F101" s="277" t="s">
        <v>2165</v>
      </c>
      <c r="G101" s="277" t="s">
        <v>2166</v>
      </c>
      <c r="H101" s="277" t="s">
        <v>2167</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2027</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2028</v>
      </c>
      <c r="C106" s="289" t="s">
        <v>2072</v>
      </c>
      <c r="D106" s="289" t="s">
        <v>2073</v>
      </c>
      <c r="E106" s="398" t="s">
        <v>2074</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2032</v>
      </c>
      <c r="C108" s="289" t="s">
        <v>2077</v>
      </c>
      <c r="D108" s="289" t="s">
        <v>2078</v>
      </c>
      <c r="E108" s="289" t="s">
        <v>2079</v>
      </c>
      <c r="F108" s="398" t="s">
        <v>2042</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2034</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2168</v>
      </c>
      <c r="C113" s="289" t="s">
        <v>2183</v>
      </c>
      <c r="D113" s="289" t="s">
        <v>2184</v>
      </c>
      <c r="E113" s="289" t="s">
        <v>2185</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2035</v>
      </c>
      <c r="C115" s="289" t="s">
        <v>2080</v>
      </c>
      <c r="D115" s="289" t="s">
        <v>2081</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2037</v>
      </c>
      <c r="C117" s="289" t="s">
        <v>1029</v>
      </c>
      <c r="D117" s="289" t="s">
        <v>1026</v>
      </c>
      <c r="E117" s="289" t="s">
        <v>2082</v>
      </c>
      <c r="F117" s="289" t="s">
        <v>1028</v>
      </c>
      <c r="G117" s="289" t="s">
        <v>1027</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2186</v>
      </c>
      <c r="C119" s="398" t="s">
        <v>2136</v>
      </c>
      <c r="D119" s="398" t="s">
        <v>2135</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2137</v>
      </c>
      <c r="C121" s="289" t="s">
        <v>2174</v>
      </c>
      <c r="D121" s="289" t="s">
        <v>2175</v>
      </c>
      <c r="E121" s="289" t="s">
        <v>2176</v>
      </c>
      <c r="F121" s="398" t="s">
        <v>2177</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2041</v>
      </c>
      <c r="C123" s="289" t="s">
        <v>2077</v>
      </c>
      <c r="D123" s="289" t="s">
        <v>2078</v>
      </c>
      <c r="E123" s="289" t="s">
        <v>2079</v>
      </c>
      <c r="F123" s="398" t="s">
        <v>2042</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2013</v>
      </c>
      <c r="B1" s="467" t="s">
        <v>1014</v>
      </c>
      <c r="C1" s="132" t="s">
        <v>2015</v>
      </c>
      <c r="D1" s="133" t="s">
        <v>319</v>
      </c>
      <c r="E1" s="134"/>
      <c r="F1" s="135" t="s">
        <v>2016</v>
      </c>
      <c r="G1" s="136" t="s">
        <v>2017</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797</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1818</v>
      </c>
      <c r="B3" s="143">
        <f>C43</f>
        <v>123550</v>
      </c>
      <c r="C3" s="144" t="s">
        <v>2018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06" t="s">
        <v>896</v>
      </c>
      <c r="D4" s="3207"/>
      <c r="E4" s="3250" t="s">
        <v>897</v>
      </c>
      <c r="F4" s="3251"/>
      <c r="G4" s="3206" t="s">
        <v>898</v>
      </c>
      <c r="H4" s="3207"/>
      <c r="I4" s="3206" t="s">
        <v>899</v>
      </c>
      <c r="J4" s="3207"/>
      <c r="K4" s="302" t="s">
        <v>900</v>
      </c>
      <c r="L4" s="303"/>
      <c r="M4" s="304"/>
      <c r="N4" s="304"/>
      <c r="O4" s="304"/>
      <c r="P4" s="3235" t="s">
        <v>901</v>
      </c>
      <c r="Q4" s="3236"/>
      <c r="R4" s="3241" t="s">
        <v>897</v>
      </c>
      <c r="S4" s="3242"/>
      <c r="T4" s="3241" t="s">
        <v>898</v>
      </c>
      <c r="U4" s="3242"/>
      <c r="V4" s="3227" t="s">
        <v>899</v>
      </c>
      <c r="W4" s="3227"/>
      <c r="X4" s="371"/>
      <c r="Y4" s="3241" t="s">
        <v>901</v>
      </c>
      <c r="Z4" s="3242"/>
      <c r="AA4" s="3228" t="s">
        <v>897</v>
      </c>
      <c r="AB4" s="3229" t="s">
        <v>898</v>
      </c>
      <c r="AC4" s="3228" t="s">
        <v>899</v>
      </c>
    </row>
    <row r="5" spans="1:29" ht="15">
      <c r="A5" s="148"/>
      <c r="B5" s="149"/>
      <c r="C5" s="3208" t="s">
        <v>902</v>
      </c>
      <c r="D5" s="3209"/>
      <c r="E5" s="3252" t="s">
        <v>903</v>
      </c>
      <c r="F5" s="3253"/>
      <c r="G5" s="3208" t="s">
        <v>904</v>
      </c>
      <c r="H5" s="3209"/>
      <c r="I5" s="3208" t="s">
        <v>905</v>
      </c>
      <c r="J5" s="3209"/>
      <c r="K5" s="302"/>
      <c r="L5" s="303"/>
      <c r="M5" s="304"/>
      <c r="N5" s="304"/>
      <c r="O5" s="304"/>
      <c r="P5" s="3237"/>
      <c r="Q5" s="3238"/>
      <c r="R5" s="3243"/>
      <c r="S5" s="3244"/>
      <c r="T5" s="3243"/>
      <c r="U5" s="3244"/>
      <c r="V5" s="3227"/>
      <c r="W5" s="3227"/>
      <c r="X5" s="371"/>
      <c r="Y5" s="3243"/>
      <c r="Z5" s="3244"/>
      <c r="AA5" s="3229"/>
      <c r="AB5" s="3229"/>
      <c r="AC5" s="3229"/>
    </row>
    <row r="6" spans="1:29" ht="15">
      <c r="A6" s="150"/>
      <c r="B6" s="151"/>
      <c r="C6" s="3254" t="s">
        <v>906</v>
      </c>
      <c r="D6" s="3214"/>
      <c r="E6" s="3255" t="s">
        <v>906</v>
      </c>
      <c r="F6" s="3256"/>
      <c r="G6" s="3254" t="s">
        <v>906</v>
      </c>
      <c r="H6" s="3214"/>
      <c r="I6" s="3254" t="s">
        <v>906</v>
      </c>
      <c r="J6" s="3214"/>
      <c r="K6" s="302" t="s">
        <v>907</v>
      </c>
      <c r="L6" s="303"/>
      <c r="M6" s="304"/>
      <c r="N6" s="304"/>
      <c r="O6" s="304"/>
      <c r="P6" s="3239"/>
      <c r="Q6" s="3240"/>
      <c r="R6" s="3243"/>
      <c r="S6" s="3244"/>
      <c r="T6" s="3245"/>
      <c r="U6" s="3246"/>
      <c r="V6" s="3227"/>
      <c r="W6" s="3227"/>
      <c r="X6" s="371"/>
      <c r="Y6" s="3245"/>
      <c r="Z6" s="3246"/>
      <c r="AA6" s="3230"/>
      <c r="AB6" s="3230"/>
      <c r="AC6" s="3230"/>
    </row>
    <row r="7" spans="1:29" s="122" customFormat="1" ht="15">
      <c r="A7" s="152" t="s">
        <v>908</v>
      </c>
      <c r="B7" s="153"/>
      <c r="C7" s="154">
        <f>'数据-取费表'!B2</f>
        <v>43041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48" t="s">
        <v>909</v>
      </c>
      <c r="Q7" s="3257"/>
      <c r="R7" s="372" t="s">
        <v>910</v>
      </c>
      <c r="S7" s="373">
        <f t="shared" ref="S7:S15" si="0">F7</f>
        <v>97.5</v>
      </c>
      <c r="T7" s="372" t="s">
        <v>910</v>
      </c>
      <c r="U7" s="373">
        <f t="shared" ref="U7:U15" si="1">H7</f>
        <v>96</v>
      </c>
      <c r="V7" s="372" t="s">
        <v>910</v>
      </c>
      <c r="W7" s="373">
        <f t="shared" ref="W7:W15" si="2">J7</f>
        <v>97</v>
      </c>
      <c r="X7" s="374"/>
      <c r="Y7" s="3248" t="s">
        <v>909</v>
      </c>
      <c r="Z7" s="3249"/>
      <c r="AA7" s="391">
        <f>D7/F7</f>
        <v>1.0256410256410255</v>
      </c>
      <c r="AB7" s="391">
        <f>D7/H7</f>
        <v>1.0416666666666667</v>
      </c>
      <c r="AC7" s="391">
        <f>D7/J7</f>
        <v>1.0309278350515463</v>
      </c>
    </row>
    <row r="8" spans="1:29" s="122" customFormat="1" ht="15">
      <c r="A8" s="152" t="s">
        <v>911</v>
      </c>
      <c r="B8" s="153"/>
      <c r="C8" s="159" t="s">
        <v>912</v>
      </c>
      <c r="D8" s="155">
        <v>100</v>
      </c>
      <c r="E8" s="159" t="s">
        <v>912</v>
      </c>
      <c r="F8" s="157">
        <f>SUMIF(55:55,E8,56:56)-SUMIF(55:55,C8,56:56)+100</f>
        <v>100</v>
      </c>
      <c r="G8" s="159" t="s">
        <v>983</v>
      </c>
      <c r="H8" s="155">
        <f>SUMIF(55:55,G8,56:56)-SUMIF(55:55,C8,56:56)+100</f>
        <v>98</v>
      </c>
      <c r="I8" s="159" t="s">
        <v>912</v>
      </c>
      <c r="J8" s="155">
        <f>SUMIF(55:55,I8,56:56)-SUMIF(55:55,C8,56:56)+100</f>
        <v>100</v>
      </c>
      <c r="K8" s="305"/>
      <c r="L8" s="306"/>
      <c r="M8" s="307"/>
      <c r="N8" s="307"/>
      <c r="O8" s="307"/>
      <c r="P8" s="3248" t="s">
        <v>913</v>
      </c>
      <c r="Q8" s="3249"/>
      <c r="R8" s="372" t="s">
        <v>910</v>
      </c>
      <c r="S8" s="373">
        <f t="shared" si="0"/>
        <v>100</v>
      </c>
      <c r="T8" s="372" t="s">
        <v>910</v>
      </c>
      <c r="U8" s="373">
        <f t="shared" si="1"/>
        <v>98</v>
      </c>
      <c r="V8" s="372" t="s">
        <v>910</v>
      </c>
      <c r="W8" s="373">
        <f t="shared" si="2"/>
        <v>100</v>
      </c>
      <c r="X8" s="374"/>
      <c r="Y8" s="3248" t="s">
        <v>913</v>
      </c>
      <c r="Z8" s="3249"/>
      <c r="AA8" s="391">
        <f t="shared" ref="AA8:AA40" si="3">D8/F8</f>
        <v>1</v>
      </c>
      <c r="AB8" s="391">
        <f t="shared" ref="AB8:AB40" si="4">D8/H8</f>
        <v>1.0204081632653061</v>
      </c>
      <c r="AC8" s="391">
        <f t="shared" ref="AC8:AC40" si="5">D8/J8</f>
        <v>1</v>
      </c>
    </row>
    <row r="9" spans="1:29" s="122" customFormat="1">
      <c r="A9" s="160" t="s">
        <v>914</v>
      </c>
      <c r="B9" s="161" t="s">
        <v>915</v>
      </c>
      <c r="C9" s="162" t="s">
        <v>200</v>
      </c>
      <c r="D9" s="163">
        <v>100</v>
      </c>
      <c r="E9" s="164" t="s">
        <v>200</v>
      </c>
      <c r="F9" s="163">
        <f>SUMIF(57:57,E9,58:58)-SUMIF(57:57,C9,58:58)+100</f>
        <v>100</v>
      </c>
      <c r="G9" s="427" t="s">
        <v>200</v>
      </c>
      <c r="H9" s="163">
        <f>SUMIF(57:57,G9,58:58)-SUMIF(57:57,C9,58:58)+100</f>
        <v>100</v>
      </c>
      <c r="I9" s="427" t="s">
        <v>1015</v>
      </c>
      <c r="J9" s="163">
        <f>SUMIF(57:57,I9,58:58)-SUMIF(57:57,C9,58:58)+100</f>
        <v>105</v>
      </c>
      <c r="K9" s="305"/>
      <c r="L9" s="306"/>
      <c r="M9" s="307"/>
      <c r="N9" s="307"/>
      <c r="O9" s="308"/>
      <c r="P9" s="3218" t="s">
        <v>916</v>
      </c>
      <c r="Q9" s="375" t="str">
        <f t="shared" ref="Q9:Q15" si="6">B9</f>
        <v>用途</v>
      </c>
      <c r="R9" s="372" t="s">
        <v>910</v>
      </c>
      <c r="S9" s="373">
        <f t="shared" si="0"/>
        <v>100</v>
      </c>
      <c r="T9" s="372" t="s">
        <v>910</v>
      </c>
      <c r="U9" s="373">
        <f t="shared" si="1"/>
        <v>100</v>
      </c>
      <c r="V9" s="372" t="s">
        <v>910</v>
      </c>
      <c r="W9" s="373">
        <f t="shared" si="2"/>
        <v>105</v>
      </c>
      <c r="X9" s="374"/>
      <c r="Y9" s="3201" t="s">
        <v>917</v>
      </c>
      <c r="Z9" s="392" t="str">
        <f t="shared" ref="Z9:Z15" si="7">Q9</f>
        <v>用途</v>
      </c>
      <c r="AA9" s="391">
        <f t="shared" si="3"/>
        <v>1</v>
      </c>
      <c r="AB9" s="391">
        <f t="shared" si="4"/>
        <v>1</v>
      </c>
      <c r="AC9" s="391">
        <f t="shared" si="5"/>
        <v>0.95238095238095233</v>
      </c>
    </row>
    <row r="10" spans="1:29" s="123" customFormat="1" ht="27">
      <c r="A10" s="165"/>
      <c r="B10" s="166" t="s">
        <v>918</v>
      </c>
      <c r="C10" s="167" t="s">
        <v>2158</v>
      </c>
      <c r="D10" s="168">
        <v>100</v>
      </c>
      <c r="E10" s="167" t="s">
        <v>2106</v>
      </c>
      <c r="F10" s="168">
        <f>SUMIF(59:59,E10,60:60)-SUMIF(59:59,C10,60:60)+100</f>
        <v>98</v>
      </c>
      <c r="G10" s="169" t="s">
        <v>2107</v>
      </c>
      <c r="H10" s="168">
        <f>SUMIF(59:59,G10,60:60)-SUMIF(59:59,C10,60:60)+100</f>
        <v>96</v>
      </c>
      <c r="I10" s="167" t="s">
        <v>2108</v>
      </c>
      <c r="J10" s="168">
        <f>SUMIF(59:59,I10,60:60)-SUMIF(59:59,C10,60:60)+100</f>
        <v>94</v>
      </c>
      <c r="K10" s="310">
        <v>2</v>
      </c>
      <c r="L10" s="311"/>
      <c r="M10" s="312"/>
      <c r="N10" s="312"/>
      <c r="O10" s="313"/>
      <c r="P10" s="3218"/>
      <c r="Q10" s="375" t="str">
        <f t="shared" si="6"/>
        <v>土地使用年限（年）</v>
      </c>
      <c r="R10" s="372" t="s">
        <v>910</v>
      </c>
      <c r="S10" s="373">
        <f t="shared" si="0"/>
        <v>98</v>
      </c>
      <c r="T10" s="372" t="s">
        <v>910</v>
      </c>
      <c r="U10" s="373">
        <f t="shared" si="1"/>
        <v>96</v>
      </c>
      <c r="V10" s="372" t="s">
        <v>910</v>
      </c>
      <c r="W10" s="373">
        <f t="shared" si="2"/>
        <v>94</v>
      </c>
      <c r="X10" s="374"/>
      <c r="Y10" s="3201"/>
      <c r="Z10" s="392" t="str">
        <f t="shared" si="7"/>
        <v>土地使用年限（年）</v>
      </c>
      <c r="AA10" s="391">
        <f t="shared" si="3"/>
        <v>1.0204081632653061</v>
      </c>
      <c r="AB10" s="391">
        <f t="shared" si="4"/>
        <v>1.0416666666666667</v>
      </c>
      <c r="AC10" s="391">
        <f t="shared" si="5"/>
        <v>1.0638297872340425</v>
      </c>
    </row>
    <row r="11" spans="1:29" ht="15">
      <c r="A11" s="170"/>
      <c r="B11" s="166" t="s">
        <v>919</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18"/>
      <c r="Q11" s="375" t="str">
        <f t="shared" si="6"/>
        <v>容积率</v>
      </c>
      <c r="R11" s="372" t="s">
        <v>910</v>
      </c>
      <c r="S11" s="373">
        <f t="shared" si="0"/>
        <v>97</v>
      </c>
      <c r="T11" s="372" t="s">
        <v>910</v>
      </c>
      <c r="U11" s="373">
        <f t="shared" si="1"/>
        <v>94</v>
      </c>
      <c r="V11" s="372" t="s">
        <v>910</v>
      </c>
      <c r="W11" s="373">
        <f t="shared" si="2"/>
        <v>91</v>
      </c>
      <c r="X11" s="374"/>
      <c r="Y11" s="3201"/>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18"/>
      <c r="Q12" s="375">
        <f t="shared" si="6"/>
        <v>111</v>
      </c>
      <c r="R12" s="372" t="s">
        <v>910</v>
      </c>
      <c r="S12" s="373">
        <f t="shared" si="0"/>
        <v>95</v>
      </c>
      <c r="T12" s="372" t="s">
        <v>910</v>
      </c>
      <c r="U12" s="373">
        <f t="shared" si="1"/>
        <v>90</v>
      </c>
      <c r="V12" s="372" t="s">
        <v>910</v>
      </c>
      <c r="W12" s="373">
        <f t="shared" si="2"/>
        <v>85</v>
      </c>
      <c r="X12" s="374"/>
      <c r="Y12" s="3201"/>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18"/>
      <c r="Q13" s="375">
        <f t="shared" si="6"/>
        <v>111</v>
      </c>
      <c r="R13" s="372" t="s">
        <v>910</v>
      </c>
      <c r="S13" s="373">
        <f t="shared" si="0"/>
        <v>95</v>
      </c>
      <c r="T13" s="372" t="s">
        <v>910</v>
      </c>
      <c r="U13" s="373">
        <f t="shared" si="1"/>
        <v>90</v>
      </c>
      <c r="V13" s="372" t="s">
        <v>910</v>
      </c>
      <c r="W13" s="373">
        <f t="shared" si="2"/>
        <v>85</v>
      </c>
      <c r="X13" s="374"/>
      <c r="Y13" s="3201"/>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18"/>
      <c r="Q14" s="375">
        <f t="shared" si="6"/>
        <v>111</v>
      </c>
      <c r="R14" s="372" t="s">
        <v>910</v>
      </c>
      <c r="S14" s="373">
        <f t="shared" si="0"/>
        <v>98</v>
      </c>
      <c r="T14" s="372" t="s">
        <v>910</v>
      </c>
      <c r="U14" s="373">
        <f t="shared" si="1"/>
        <v>96</v>
      </c>
      <c r="V14" s="372" t="s">
        <v>910</v>
      </c>
      <c r="W14" s="373">
        <f t="shared" si="2"/>
        <v>94</v>
      </c>
      <c r="X14" s="374"/>
      <c r="Y14" s="3201"/>
      <c r="Z14" s="392">
        <f t="shared" si="7"/>
        <v>111</v>
      </c>
      <c r="AA14" s="391">
        <f t="shared" si="3"/>
        <v>1.0204081632653061</v>
      </c>
      <c r="AB14" s="391">
        <f t="shared" si="4"/>
        <v>1.0416666666666667</v>
      </c>
      <c r="AC14" s="391">
        <f t="shared" si="5"/>
        <v>1.0638297872340425</v>
      </c>
    </row>
    <row r="15" spans="1:29" ht="71.25">
      <c r="A15" s="178" t="s">
        <v>922</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19" t="s">
        <v>923</v>
      </c>
      <c r="Q15" s="309" t="str">
        <f t="shared" si="6"/>
        <v>产业集聚程度</v>
      </c>
      <c r="R15" s="376" t="s">
        <v>910</v>
      </c>
      <c r="S15" s="377">
        <f t="shared" si="0"/>
        <v>100</v>
      </c>
      <c r="T15" s="376" t="s">
        <v>910</v>
      </c>
      <c r="U15" s="377">
        <f t="shared" si="1"/>
        <v>100</v>
      </c>
      <c r="V15" s="376" t="s">
        <v>910</v>
      </c>
      <c r="W15" s="377">
        <f t="shared" si="2"/>
        <v>100</v>
      </c>
      <c r="X15" s="371"/>
      <c r="Y15" s="3219" t="s">
        <v>923</v>
      </c>
      <c r="Z15" s="370" t="str">
        <f t="shared" si="7"/>
        <v>产业集聚程度</v>
      </c>
      <c r="AA15" s="382">
        <f t="shared" si="3"/>
        <v>1</v>
      </c>
      <c r="AB15" s="382">
        <f t="shared" si="4"/>
        <v>1</v>
      </c>
      <c r="AC15" s="382">
        <f t="shared" si="5"/>
        <v>1</v>
      </c>
    </row>
    <row r="16" spans="1:29" ht="15">
      <c r="A16" s="170"/>
      <c r="B16" s="185"/>
      <c r="C16" s="186" t="s">
        <v>1016</v>
      </c>
      <c r="D16" s="187"/>
      <c r="E16" s="186" t="s">
        <v>1016</v>
      </c>
      <c r="F16" s="188"/>
      <c r="G16" s="186" t="s">
        <v>1016</v>
      </c>
      <c r="H16" s="189"/>
      <c r="I16" s="186" t="s">
        <v>1016</v>
      </c>
      <c r="J16" s="187"/>
      <c r="K16" s="319"/>
      <c r="L16" s="317"/>
      <c r="M16" s="304"/>
      <c r="N16" s="304"/>
      <c r="O16" s="316"/>
      <c r="P16" s="3220"/>
      <c r="Q16" s="309"/>
      <c r="R16" s="376"/>
      <c r="S16" s="377"/>
      <c r="T16" s="376"/>
      <c r="U16" s="377"/>
      <c r="V16" s="376"/>
      <c r="W16" s="377"/>
      <c r="X16" s="371"/>
      <c r="Y16" s="3220"/>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20"/>
      <c r="Q17" s="309" t="str">
        <f>B17</f>
        <v>交通便捷度</v>
      </c>
      <c r="R17" s="376" t="s">
        <v>910</v>
      </c>
      <c r="S17" s="377">
        <f>F17</f>
        <v>97</v>
      </c>
      <c r="T17" s="376" t="s">
        <v>910</v>
      </c>
      <c r="U17" s="377">
        <f>H17</f>
        <v>106</v>
      </c>
      <c r="V17" s="376" t="s">
        <v>910</v>
      </c>
      <c r="W17" s="377">
        <f>J17</f>
        <v>97</v>
      </c>
      <c r="X17" s="371"/>
      <c r="Y17" s="3220"/>
      <c r="Z17" s="370" t="str">
        <f>Q17</f>
        <v>交通便捷度</v>
      </c>
      <c r="AA17" s="382">
        <f t="shared" si="3"/>
        <v>1.0309278350515463</v>
      </c>
      <c r="AB17" s="382">
        <f t="shared" si="4"/>
        <v>0.94339622641509435</v>
      </c>
      <c r="AC17" s="382">
        <f t="shared" si="5"/>
        <v>1.0309278350515463</v>
      </c>
    </row>
    <row r="18" spans="1:29" ht="15">
      <c r="A18" s="170"/>
      <c r="B18" s="204"/>
      <c r="C18" s="197" t="s">
        <v>1011</v>
      </c>
      <c r="D18" s="189"/>
      <c r="E18" s="472" t="s">
        <v>1012</v>
      </c>
      <c r="F18" s="200"/>
      <c r="G18" s="473" t="s">
        <v>1018</v>
      </c>
      <c r="H18" s="187"/>
      <c r="I18" s="472" t="s">
        <v>1012</v>
      </c>
      <c r="J18" s="187"/>
      <c r="K18" s="319"/>
      <c r="L18" s="317"/>
      <c r="M18" s="304"/>
      <c r="N18" s="304"/>
      <c r="O18" s="316"/>
      <c r="P18" s="3220"/>
      <c r="Q18" s="309"/>
      <c r="R18" s="376"/>
      <c r="S18" s="377"/>
      <c r="T18" s="376"/>
      <c r="U18" s="377"/>
      <c r="V18" s="376"/>
      <c r="W18" s="377"/>
      <c r="X18" s="371"/>
      <c r="Y18" s="3220"/>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20"/>
      <c r="Q19" s="309" t="str">
        <f>B19</f>
        <v>公共配套设施</v>
      </c>
      <c r="R19" s="376" t="s">
        <v>910</v>
      </c>
      <c r="S19" s="377">
        <f>F19</f>
        <v>101</v>
      </c>
      <c r="T19" s="376" t="s">
        <v>910</v>
      </c>
      <c r="U19" s="377">
        <f>H19</f>
        <v>103</v>
      </c>
      <c r="V19" s="376" t="s">
        <v>910</v>
      </c>
      <c r="W19" s="377">
        <f>J19</f>
        <v>100</v>
      </c>
      <c r="X19" s="371"/>
      <c r="Y19" s="3220"/>
      <c r="Z19" s="370" t="str">
        <f>Q19</f>
        <v>公共配套设施</v>
      </c>
      <c r="AA19" s="382">
        <f t="shared" si="3"/>
        <v>0.99009900990099009</v>
      </c>
      <c r="AB19" s="382">
        <f t="shared" si="4"/>
        <v>0.970873786407767</v>
      </c>
      <c r="AC19" s="382">
        <f t="shared" si="5"/>
        <v>1</v>
      </c>
    </row>
    <row r="20" spans="1:29" ht="15">
      <c r="A20" s="170"/>
      <c r="B20" s="196"/>
      <c r="C20" s="186" t="s">
        <v>1012</v>
      </c>
      <c r="D20" s="187"/>
      <c r="E20" s="474" t="s">
        <v>1011</v>
      </c>
      <c r="F20" s="188"/>
      <c r="G20" s="475" t="s">
        <v>1018</v>
      </c>
      <c r="H20" s="187"/>
      <c r="I20" s="474" t="s">
        <v>1012</v>
      </c>
      <c r="J20" s="187"/>
      <c r="K20" s="319"/>
      <c r="L20" s="317"/>
      <c r="M20" s="304"/>
      <c r="N20" s="304"/>
      <c r="O20" s="316"/>
      <c r="P20" s="3220"/>
      <c r="Q20" s="309"/>
      <c r="R20" s="376"/>
      <c r="S20" s="377"/>
      <c r="T20" s="376"/>
      <c r="U20" s="377"/>
      <c r="V20" s="376"/>
      <c r="W20" s="377"/>
      <c r="X20" s="371"/>
      <c r="Y20" s="3220"/>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20"/>
      <c r="Q21" s="309" t="str">
        <f>B21</f>
        <v>基础设施水平</v>
      </c>
      <c r="R21" s="376" t="s">
        <v>910</v>
      </c>
      <c r="S21" s="377">
        <f>F21</f>
        <v>99</v>
      </c>
      <c r="T21" s="376" t="s">
        <v>910</v>
      </c>
      <c r="U21" s="377">
        <f>H21</f>
        <v>98</v>
      </c>
      <c r="V21" s="376" t="s">
        <v>910</v>
      </c>
      <c r="W21" s="377">
        <f>J21</f>
        <v>97</v>
      </c>
      <c r="X21" s="371"/>
      <c r="Y21" s="3220"/>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20"/>
      <c r="Q22" s="309"/>
      <c r="R22" s="376"/>
      <c r="S22" s="377"/>
      <c r="T22" s="376"/>
      <c r="U22" s="377"/>
      <c r="V22" s="376"/>
      <c r="W22" s="377"/>
      <c r="X22" s="371"/>
      <c r="Y22" s="3220"/>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20"/>
      <c r="Q23" s="309" t="str">
        <f>B23</f>
        <v>环境质量</v>
      </c>
      <c r="R23" s="376" t="s">
        <v>910</v>
      </c>
      <c r="S23" s="377">
        <f>F23</f>
        <v>96</v>
      </c>
      <c r="T23" s="376" t="s">
        <v>910</v>
      </c>
      <c r="U23" s="377">
        <f>H23</f>
        <v>98</v>
      </c>
      <c r="V23" s="376" t="s">
        <v>910</v>
      </c>
      <c r="W23" s="377">
        <f>J23</f>
        <v>94</v>
      </c>
      <c r="X23" s="371"/>
      <c r="Y23" s="3220"/>
      <c r="Z23" s="370" t="str">
        <f>Q23</f>
        <v>环境质量</v>
      </c>
      <c r="AA23" s="382">
        <f t="shared" si="3"/>
        <v>1.0416666666666667</v>
      </c>
      <c r="AB23" s="382">
        <f t="shared" si="4"/>
        <v>1.0204081632653061</v>
      </c>
      <c r="AC23" s="382">
        <f t="shared" si="5"/>
        <v>1.0638297872340425</v>
      </c>
    </row>
    <row r="24" spans="1:29" ht="15">
      <c r="A24" s="170"/>
      <c r="B24" s="476"/>
      <c r="C24" s="186" t="s">
        <v>1018</v>
      </c>
      <c r="D24" s="187"/>
      <c r="E24" s="474" t="s">
        <v>1011</v>
      </c>
      <c r="F24" s="188"/>
      <c r="G24" s="475" t="s">
        <v>1016</v>
      </c>
      <c r="H24" s="187"/>
      <c r="I24" s="474" t="s">
        <v>1012</v>
      </c>
      <c r="J24" s="187"/>
      <c r="K24" s="319"/>
      <c r="L24" s="317"/>
      <c r="M24" s="304"/>
      <c r="N24" s="304"/>
      <c r="O24" s="316"/>
      <c r="P24" s="3220"/>
      <c r="Q24" s="309"/>
      <c r="R24" s="376"/>
      <c r="S24" s="377"/>
      <c r="T24" s="376"/>
      <c r="U24" s="377"/>
      <c r="V24" s="376"/>
      <c r="W24" s="377"/>
      <c r="X24" s="371"/>
      <c r="Y24" s="3220"/>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20"/>
      <c r="Q25" s="309">
        <f>B25</f>
        <v>111</v>
      </c>
      <c r="R25" s="376" t="s">
        <v>910</v>
      </c>
      <c r="S25" s="377">
        <f>F25</f>
        <v>95</v>
      </c>
      <c r="T25" s="376" t="s">
        <v>910</v>
      </c>
      <c r="U25" s="377">
        <f>H25</f>
        <v>90</v>
      </c>
      <c r="V25" s="376" t="s">
        <v>910</v>
      </c>
      <c r="W25" s="377">
        <f>J25</f>
        <v>85</v>
      </c>
      <c r="X25" s="371"/>
      <c r="Y25" s="3220"/>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20"/>
      <c r="Q26" s="309">
        <f t="shared" ref="Q26:Q40" si="8">B26</f>
        <v>111</v>
      </c>
      <c r="R26" s="376" t="s">
        <v>910</v>
      </c>
      <c r="S26" s="377">
        <f>F26</f>
        <v>95</v>
      </c>
      <c r="T26" s="376" t="s">
        <v>910</v>
      </c>
      <c r="U26" s="377">
        <f>H26</f>
        <v>90</v>
      </c>
      <c r="V26" s="376" t="s">
        <v>910</v>
      </c>
      <c r="W26" s="377">
        <f>J26</f>
        <v>85</v>
      </c>
      <c r="X26" s="371"/>
      <c r="Y26" s="3220"/>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20"/>
      <c r="Q27" s="375">
        <f t="shared" si="8"/>
        <v>111</v>
      </c>
      <c r="R27" s="372" t="s">
        <v>910</v>
      </c>
      <c r="S27" s="373">
        <f>F27</f>
        <v>95</v>
      </c>
      <c r="T27" s="372" t="s">
        <v>910</v>
      </c>
      <c r="U27" s="373">
        <f>H27</f>
        <v>90</v>
      </c>
      <c r="V27" s="372" t="s">
        <v>910</v>
      </c>
      <c r="W27" s="373">
        <f>J27</f>
        <v>85</v>
      </c>
      <c r="X27" s="374"/>
      <c r="Y27" s="3220"/>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20"/>
      <c r="Q28" s="309">
        <f t="shared" si="8"/>
        <v>111</v>
      </c>
      <c r="R28" s="376" t="s">
        <v>910</v>
      </c>
      <c r="S28" s="377">
        <f t="shared" ref="S28:S40" si="9">F28</f>
        <v>98</v>
      </c>
      <c r="T28" s="376" t="s">
        <v>910</v>
      </c>
      <c r="U28" s="377">
        <f t="shared" ref="U28:U40" si="10">H28</f>
        <v>96</v>
      </c>
      <c r="V28" s="376" t="s">
        <v>910</v>
      </c>
      <c r="W28" s="377">
        <f t="shared" ref="W28:W40" si="11">J28</f>
        <v>94</v>
      </c>
      <c r="X28" s="371"/>
      <c r="Y28" s="3220"/>
      <c r="Z28" s="370">
        <f t="shared" ref="Z28:Z40" si="12">Q28</f>
        <v>111</v>
      </c>
      <c r="AA28" s="382">
        <f t="shared" si="3"/>
        <v>1.0204081632653061</v>
      </c>
      <c r="AB28" s="382">
        <f t="shared" si="4"/>
        <v>1.0416666666666667</v>
      </c>
      <c r="AC28" s="382">
        <f t="shared" si="5"/>
        <v>1.0638297872340425</v>
      </c>
    </row>
    <row r="29" spans="1:29" ht="15">
      <c r="A29" s="178" t="s">
        <v>933</v>
      </c>
      <c r="B29" s="161" t="s">
        <v>2025</v>
      </c>
      <c r="C29" s="211" t="s">
        <v>2187</v>
      </c>
      <c r="D29" s="212">
        <v>100</v>
      </c>
      <c r="E29" s="211" t="s">
        <v>2188</v>
      </c>
      <c r="F29" s="206">
        <f>SUMIF(88:88,E29,89:89)-SUMIF(88:88,C29,89:89)+100</f>
        <v>97</v>
      </c>
      <c r="G29" s="211" t="s">
        <v>2187</v>
      </c>
      <c r="H29" s="177">
        <f>SUMIF(88:88,G29,89:89)-SUMIF(88:88,C29,89:89)+100</f>
        <v>100</v>
      </c>
      <c r="I29" s="211" t="s">
        <v>2188</v>
      </c>
      <c r="J29" s="212">
        <f>SUMIF(88:88,I29,89:89)-SUMIF(88:88,C29,89:89)+100</f>
        <v>97</v>
      </c>
      <c r="K29" s="310">
        <v>3</v>
      </c>
      <c r="L29" s="317"/>
      <c r="M29" s="304"/>
      <c r="N29" s="304"/>
      <c r="O29" s="316"/>
      <c r="P29" s="3221" t="s">
        <v>932</v>
      </c>
      <c r="Q29" s="309" t="str">
        <f t="shared" si="8"/>
        <v>建筑类型</v>
      </c>
      <c r="R29" s="376" t="s">
        <v>910</v>
      </c>
      <c r="S29" s="377">
        <f t="shared" si="9"/>
        <v>97</v>
      </c>
      <c r="T29" s="376" t="s">
        <v>910</v>
      </c>
      <c r="U29" s="377">
        <f t="shared" si="10"/>
        <v>100</v>
      </c>
      <c r="V29" s="376" t="s">
        <v>910</v>
      </c>
      <c r="W29" s="377">
        <f t="shared" si="11"/>
        <v>97</v>
      </c>
      <c r="X29" s="371"/>
      <c r="Y29" s="3222" t="s">
        <v>932</v>
      </c>
      <c r="Z29" s="370" t="str">
        <f t="shared" si="12"/>
        <v>建筑类型</v>
      </c>
      <c r="AA29" s="382">
        <f t="shared" si="3"/>
        <v>1.0309278350515463</v>
      </c>
      <c r="AB29" s="382">
        <f t="shared" si="4"/>
        <v>1</v>
      </c>
      <c r="AC29" s="382">
        <f t="shared" si="5"/>
        <v>1.0309278350515463</v>
      </c>
    </row>
    <row r="30" spans="1:29" s="124" customFormat="1" ht="15">
      <c r="A30" s="214"/>
      <c r="B30" s="166" t="s">
        <v>2027</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22"/>
      <c r="Q30" s="378" t="str">
        <f t="shared" si="8"/>
        <v>项目建筑规模</v>
      </c>
      <c r="R30" s="379" t="s">
        <v>910</v>
      </c>
      <c r="S30" s="380">
        <f t="shared" si="9"/>
        <v>92</v>
      </c>
      <c r="T30" s="379" t="s">
        <v>910</v>
      </c>
      <c r="U30" s="380">
        <f t="shared" si="10"/>
        <v>94</v>
      </c>
      <c r="V30" s="379" t="s">
        <v>910</v>
      </c>
      <c r="W30" s="380">
        <f t="shared" si="11"/>
        <v>96</v>
      </c>
      <c r="X30" s="381"/>
      <c r="Y30" s="3222"/>
      <c r="Z30" s="393" t="str">
        <f t="shared" si="12"/>
        <v>项目建筑规模</v>
      </c>
      <c r="AA30" s="382">
        <f t="shared" si="3"/>
        <v>1.0869565217391304</v>
      </c>
      <c r="AB30" s="382">
        <f t="shared" si="4"/>
        <v>1.0638297872340425</v>
      </c>
      <c r="AC30" s="382">
        <f t="shared" si="5"/>
        <v>1.0416666666666667</v>
      </c>
    </row>
    <row r="31" spans="1:29" ht="15">
      <c r="A31" s="218"/>
      <c r="B31" s="166" t="s">
        <v>2028</v>
      </c>
      <c r="C31" s="219" t="s">
        <v>2124</v>
      </c>
      <c r="D31" s="177">
        <v>100</v>
      </c>
      <c r="E31" s="219" t="s">
        <v>2029</v>
      </c>
      <c r="F31" s="206">
        <f>SUMIF(93:93,E31,94:94)-SUMIF(93:93,C31,94:94)+100</f>
        <v>97</v>
      </c>
      <c r="G31" s="219" t="s">
        <v>2074</v>
      </c>
      <c r="H31" s="177">
        <f>SUMIF(93:93,G31,94:94)-SUMIF(93:93,C31,94:94)+100</f>
        <v>94</v>
      </c>
      <c r="I31" s="219" t="s">
        <v>2124</v>
      </c>
      <c r="J31" s="177">
        <f>SUMIF(93:93,I31,94:94)-SUMIF(93:93,C31,94:94)+100</f>
        <v>100</v>
      </c>
      <c r="K31" s="310">
        <v>3</v>
      </c>
      <c r="L31" s="317"/>
      <c r="M31" s="304"/>
      <c r="N31" s="304"/>
      <c r="O31" s="316"/>
      <c r="P31" s="3222"/>
      <c r="Q31" s="309" t="str">
        <f t="shared" si="8"/>
        <v>建筑结构</v>
      </c>
      <c r="R31" s="376" t="s">
        <v>910</v>
      </c>
      <c r="S31" s="377">
        <f t="shared" si="9"/>
        <v>97</v>
      </c>
      <c r="T31" s="376" t="s">
        <v>910</v>
      </c>
      <c r="U31" s="377">
        <f t="shared" si="10"/>
        <v>94</v>
      </c>
      <c r="V31" s="376" t="s">
        <v>910</v>
      </c>
      <c r="W31" s="377">
        <f t="shared" si="11"/>
        <v>100</v>
      </c>
      <c r="X31" s="371"/>
      <c r="Y31" s="3222"/>
      <c r="Z31" s="370" t="str">
        <f t="shared" si="12"/>
        <v>建筑结构</v>
      </c>
      <c r="AA31" s="382">
        <f t="shared" si="3"/>
        <v>1.0309278350515463</v>
      </c>
      <c r="AB31" s="382">
        <f t="shared" si="4"/>
        <v>1.0638297872340425</v>
      </c>
      <c r="AC31" s="382">
        <f t="shared" si="5"/>
        <v>1</v>
      </c>
    </row>
    <row r="32" spans="1:29" ht="15">
      <c r="A32" s="218"/>
      <c r="B32" s="166" t="s">
        <v>2032</v>
      </c>
      <c r="C32" s="219" t="s">
        <v>2125</v>
      </c>
      <c r="D32" s="177">
        <v>100</v>
      </c>
      <c r="E32" s="219" t="s">
        <v>2042</v>
      </c>
      <c r="F32" s="206">
        <f>SUMIF(95:95,E32,96:96)-SUMIF(95:95,C32,96:96)+100</f>
        <v>94</v>
      </c>
      <c r="G32" s="219" t="s">
        <v>2126</v>
      </c>
      <c r="H32" s="177">
        <f>SUMIF(95:95,G32,96:96)-SUMIF(95:95,C32,96:96)+100</f>
        <v>97</v>
      </c>
      <c r="I32" s="219" t="s">
        <v>2033</v>
      </c>
      <c r="J32" s="177">
        <f>SUMIF(95:95,I32,96:96)-SUMIF(95:95,C32,96:96)+100</f>
        <v>103</v>
      </c>
      <c r="K32" s="310">
        <v>3</v>
      </c>
      <c r="L32" s="317"/>
      <c r="M32" s="304"/>
      <c r="N32" s="304"/>
      <c r="O32" s="316"/>
      <c r="P32" s="3222"/>
      <c r="Q32" s="309" t="str">
        <f t="shared" si="8"/>
        <v>公共部分装修</v>
      </c>
      <c r="R32" s="376" t="s">
        <v>910</v>
      </c>
      <c r="S32" s="377">
        <f t="shared" si="9"/>
        <v>94</v>
      </c>
      <c r="T32" s="376" t="s">
        <v>910</v>
      </c>
      <c r="U32" s="377">
        <f t="shared" si="10"/>
        <v>97</v>
      </c>
      <c r="V32" s="376" t="s">
        <v>910</v>
      </c>
      <c r="W32" s="377">
        <f t="shared" si="11"/>
        <v>103</v>
      </c>
      <c r="X32" s="371"/>
      <c r="Y32" s="3222"/>
      <c r="Z32" s="370" t="str">
        <f t="shared" si="12"/>
        <v>公共部分装修</v>
      </c>
      <c r="AA32" s="382">
        <f t="shared" si="3"/>
        <v>1.0638297872340425</v>
      </c>
      <c r="AB32" s="382">
        <f t="shared" si="4"/>
        <v>1.0309278350515463</v>
      </c>
      <c r="AC32" s="382">
        <f t="shared" si="5"/>
        <v>0.970873786407767</v>
      </c>
    </row>
    <row r="33" spans="1:29" ht="15">
      <c r="A33" s="218"/>
      <c r="B33" s="166" t="s">
        <v>2034</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22"/>
      <c r="Q33" s="309" t="str">
        <f t="shared" si="8"/>
        <v>成新度</v>
      </c>
      <c r="R33" s="376" t="s">
        <v>910</v>
      </c>
      <c r="S33" s="377">
        <f t="shared" si="9"/>
        <v>98</v>
      </c>
      <c r="T33" s="376" t="s">
        <v>910</v>
      </c>
      <c r="U33" s="377">
        <f t="shared" si="10"/>
        <v>100</v>
      </c>
      <c r="V33" s="376" t="s">
        <v>910</v>
      </c>
      <c r="W33" s="377">
        <f t="shared" si="11"/>
        <v>96</v>
      </c>
      <c r="X33" s="371"/>
      <c r="Y33" s="3222"/>
      <c r="Z33" s="370" t="str">
        <f t="shared" si="12"/>
        <v>成新度</v>
      </c>
      <c r="AA33" s="382">
        <f t="shared" si="3"/>
        <v>1.0204081632653061</v>
      </c>
      <c r="AB33" s="382">
        <f t="shared" si="4"/>
        <v>1</v>
      </c>
      <c r="AC33" s="382">
        <f t="shared" si="5"/>
        <v>1.0416666666666667</v>
      </c>
    </row>
    <row r="34" spans="1:29" s="122" customFormat="1" ht="15">
      <c r="A34" s="221"/>
      <c r="B34" s="166" t="s">
        <v>2035</v>
      </c>
      <c r="C34" s="219" t="s">
        <v>2036</v>
      </c>
      <c r="D34" s="168">
        <v>100</v>
      </c>
      <c r="E34" s="219" t="s">
        <v>2172</v>
      </c>
      <c r="F34" s="206">
        <f>SUMIF(100:100,E34,101:101)-SUMIF(100:100,C34,101:101)+100</f>
        <v>97</v>
      </c>
      <c r="G34" s="219" t="s">
        <v>2036</v>
      </c>
      <c r="H34" s="177">
        <f>SUMIF(100:100,G34,101:101)-SUMIF(100:100,C34,101:101)+100</f>
        <v>100</v>
      </c>
      <c r="I34" s="219" t="s">
        <v>2172</v>
      </c>
      <c r="J34" s="177">
        <f>SUMIF(100:100,I34,101:101)-SUMIF(100:100,C34,101:101)+100</f>
        <v>97</v>
      </c>
      <c r="K34" s="310">
        <v>3</v>
      </c>
      <c r="L34" s="306"/>
      <c r="M34" s="307"/>
      <c r="N34" s="307"/>
      <c r="O34" s="308"/>
      <c r="P34" s="3222"/>
      <c r="Q34" s="375" t="str">
        <f t="shared" si="8"/>
        <v>物业管理</v>
      </c>
      <c r="R34" s="372" t="s">
        <v>910</v>
      </c>
      <c r="S34" s="373">
        <f t="shared" si="9"/>
        <v>97</v>
      </c>
      <c r="T34" s="372" t="s">
        <v>910</v>
      </c>
      <c r="U34" s="373">
        <f t="shared" si="10"/>
        <v>100</v>
      </c>
      <c r="V34" s="372" t="s">
        <v>910</v>
      </c>
      <c r="W34" s="373">
        <f t="shared" si="11"/>
        <v>97</v>
      </c>
      <c r="X34" s="374"/>
      <c r="Y34" s="3222"/>
      <c r="Z34" s="392" t="str">
        <f t="shared" si="12"/>
        <v>物业管理</v>
      </c>
      <c r="AA34" s="391">
        <f t="shared" si="3"/>
        <v>1.0309278350515463</v>
      </c>
      <c r="AB34" s="391">
        <f t="shared" si="4"/>
        <v>1</v>
      </c>
      <c r="AC34" s="391">
        <f t="shared" si="5"/>
        <v>1.0309278350515463</v>
      </c>
    </row>
    <row r="35" spans="1:29" ht="15">
      <c r="A35" s="218"/>
      <c r="B35" s="481" t="s">
        <v>2037</v>
      </c>
      <c r="C35" s="219" t="s">
        <v>2128</v>
      </c>
      <c r="D35" s="177">
        <v>100</v>
      </c>
      <c r="E35" s="219" t="s">
        <v>2129</v>
      </c>
      <c r="F35" s="206">
        <f>SUMIF(102:102,E35,103:103)-SUMIF(102:102,C35,103:103)+100</f>
        <v>98</v>
      </c>
      <c r="G35" s="219" t="s">
        <v>2130</v>
      </c>
      <c r="H35" s="177">
        <f>SUMIF(102:102,G35,103:103)-SUMIF(102:102,C35,103:103)+100</f>
        <v>96</v>
      </c>
      <c r="I35" s="219" t="s">
        <v>2127</v>
      </c>
      <c r="J35" s="177">
        <f>SUMIF(102:102,I35,103:103)-SUMIF(102:102,C35,103:103)+100</f>
        <v>102</v>
      </c>
      <c r="K35" s="310">
        <v>2</v>
      </c>
      <c r="L35" s="317"/>
      <c r="M35" s="304"/>
      <c r="N35" s="304"/>
      <c r="O35" s="316"/>
      <c r="P35" s="3222" t="s">
        <v>932</v>
      </c>
      <c r="Q35" s="309" t="str">
        <f t="shared" si="8"/>
        <v>市政基础设施</v>
      </c>
      <c r="R35" s="376" t="s">
        <v>910</v>
      </c>
      <c r="S35" s="377">
        <f t="shared" si="9"/>
        <v>98</v>
      </c>
      <c r="T35" s="376" t="s">
        <v>910</v>
      </c>
      <c r="U35" s="377">
        <f t="shared" si="10"/>
        <v>96</v>
      </c>
      <c r="V35" s="376" t="s">
        <v>910</v>
      </c>
      <c r="W35" s="377">
        <f t="shared" si="11"/>
        <v>102</v>
      </c>
      <c r="X35" s="371"/>
      <c r="Y35" s="3222" t="s">
        <v>932</v>
      </c>
      <c r="Z35" s="370" t="str">
        <f t="shared" si="12"/>
        <v>市政基础设施</v>
      </c>
      <c r="AA35" s="382">
        <f t="shared" si="3"/>
        <v>1.0204081632653061</v>
      </c>
      <c r="AB35" s="382">
        <f t="shared" si="4"/>
        <v>1.0416666666666667</v>
      </c>
      <c r="AC35" s="382">
        <f t="shared" si="5"/>
        <v>0.98039215686274506</v>
      </c>
    </row>
    <row r="36" spans="1:29" ht="15">
      <c r="A36" s="218"/>
      <c r="B36" s="166" t="s">
        <v>2041</v>
      </c>
      <c r="C36" s="219" t="s">
        <v>2125</v>
      </c>
      <c r="D36" s="177">
        <v>100</v>
      </c>
      <c r="E36" s="219" t="s">
        <v>2033</v>
      </c>
      <c r="F36" s="206">
        <f>SUMIF(104:104,E36,105:105)-SUMIF(104:104,C36,105:105)+100</f>
        <v>101</v>
      </c>
      <c r="G36" s="219" t="s">
        <v>2189</v>
      </c>
      <c r="H36" s="177">
        <f>SUMIF(104:104,G36,105:105)-SUMIF(104:104,C36,105:105)+100</f>
        <v>99</v>
      </c>
      <c r="I36" s="219" t="s">
        <v>2042</v>
      </c>
      <c r="J36" s="177">
        <f>SUMIF(104:104,I36,105:105)-SUMIF(104:104,C36,105:105)+100</f>
        <v>98</v>
      </c>
      <c r="K36" s="310">
        <v>1</v>
      </c>
      <c r="L36" s="317"/>
      <c r="M36" s="304"/>
      <c r="N36" s="304"/>
      <c r="O36" s="316"/>
      <c r="P36" s="3222"/>
      <c r="Q36" s="309" t="str">
        <f t="shared" si="8"/>
        <v>内部装修</v>
      </c>
      <c r="R36" s="376" t="s">
        <v>910</v>
      </c>
      <c r="S36" s="377">
        <f t="shared" si="9"/>
        <v>101</v>
      </c>
      <c r="T36" s="376" t="s">
        <v>910</v>
      </c>
      <c r="U36" s="377">
        <f t="shared" si="10"/>
        <v>99</v>
      </c>
      <c r="V36" s="376" t="s">
        <v>910</v>
      </c>
      <c r="W36" s="377">
        <f t="shared" si="11"/>
        <v>98</v>
      </c>
      <c r="X36" s="371"/>
      <c r="Y36" s="3222"/>
      <c r="Z36" s="370" t="str">
        <f t="shared" si="12"/>
        <v>内部装修</v>
      </c>
      <c r="AA36" s="382">
        <f t="shared" si="3"/>
        <v>0.99009900990099009</v>
      </c>
      <c r="AB36" s="382">
        <f t="shared" si="4"/>
        <v>1.0101010101010102</v>
      </c>
      <c r="AC36" s="382">
        <f t="shared" si="5"/>
        <v>1.0204081632653061</v>
      </c>
    </row>
    <row r="37" spans="1:29" ht="15">
      <c r="A37" s="218"/>
      <c r="B37" s="166" t="s">
        <v>2190</v>
      </c>
      <c r="C37" s="205" t="s">
        <v>1018</v>
      </c>
      <c r="D37" s="177">
        <v>100</v>
      </c>
      <c r="E37" s="205" t="s">
        <v>1016</v>
      </c>
      <c r="F37" s="206">
        <f>SUMIF(106:106,E37,107:107)-SUMIF(106:106,C37,107:107)+100</f>
        <v>98.5</v>
      </c>
      <c r="G37" s="205" t="s">
        <v>1011</v>
      </c>
      <c r="H37" s="177">
        <f>SUMIF(106:106,G37,107:107)-SUMIF(106:106,C37,107:107)+100</f>
        <v>97</v>
      </c>
      <c r="I37" s="205" t="s">
        <v>1012</v>
      </c>
      <c r="J37" s="177">
        <f>SUMIF(106:106,I37,107:107)-SUMIF(106:106,C37,107:107)+100</f>
        <v>95.5</v>
      </c>
      <c r="K37" s="310">
        <v>1.5</v>
      </c>
      <c r="L37" s="317"/>
      <c r="M37" s="304"/>
      <c r="N37" s="304"/>
      <c r="O37" s="316"/>
      <c r="P37" s="3222"/>
      <c r="Q37" s="309" t="str">
        <f t="shared" si="8"/>
        <v>内部装修状况</v>
      </c>
      <c r="R37" s="376" t="s">
        <v>910</v>
      </c>
      <c r="S37" s="377">
        <f t="shared" si="9"/>
        <v>98.5</v>
      </c>
      <c r="T37" s="376" t="s">
        <v>910</v>
      </c>
      <c r="U37" s="377">
        <f t="shared" si="10"/>
        <v>97</v>
      </c>
      <c r="V37" s="376" t="s">
        <v>910</v>
      </c>
      <c r="W37" s="377">
        <f t="shared" si="11"/>
        <v>95.5</v>
      </c>
      <c r="X37" s="371"/>
      <c r="Y37" s="3222"/>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22"/>
      <c r="Q38" s="378">
        <f t="shared" si="8"/>
        <v>111</v>
      </c>
      <c r="R38" s="379" t="s">
        <v>910</v>
      </c>
      <c r="S38" s="380">
        <f t="shared" si="9"/>
        <v>95</v>
      </c>
      <c r="T38" s="379" t="s">
        <v>910</v>
      </c>
      <c r="U38" s="380">
        <f t="shared" si="10"/>
        <v>90</v>
      </c>
      <c r="V38" s="379" t="s">
        <v>910</v>
      </c>
      <c r="W38" s="380">
        <f t="shared" si="11"/>
        <v>85</v>
      </c>
      <c r="X38" s="381"/>
      <c r="Y38" s="3222"/>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22"/>
      <c r="Q39" s="309">
        <f t="shared" si="8"/>
        <v>111</v>
      </c>
      <c r="R39" s="376" t="s">
        <v>910</v>
      </c>
      <c r="S39" s="377">
        <f t="shared" si="9"/>
        <v>95</v>
      </c>
      <c r="T39" s="376" t="s">
        <v>910</v>
      </c>
      <c r="U39" s="377">
        <f t="shared" si="10"/>
        <v>90</v>
      </c>
      <c r="V39" s="376" t="s">
        <v>910</v>
      </c>
      <c r="W39" s="377">
        <f t="shared" si="11"/>
        <v>85</v>
      </c>
      <c r="X39" s="371"/>
      <c r="Y39" s="3222"/>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288"/>
      <c r="Q40" s="309">
        <f t="shared" si="8"/>
        <v>111</v>
      </c>
      <c r="R40" s="376" t="s">
        <v>910</v>
      </c>
      <c r="S40" s="377">
        <f t="shared" si="9"/>
        <v>98</v>
      </c>
      <c r="T40" s="376" t="s">
        <v>910</v>
      </c>
      <c r="U40" s="377">
        <f t="shared" si="10"/>
        <v>96</v>
      </c>
      <c r="V40" s="376" t="s">
        <v>910</v>
      </c>
      <c r="W40" s="377">
        <f t="shared" si="11"/>
        <v>94</v>
      </c>
      <c r="X40" s="371"/>
      <c r="Y40" s="3288"/>
      <c r="Z40" s="370">
        <f t="shared" si="12"/>
        <v>111</v>
      </c>
      <c r="AA40" s="382">
        <f t="shared" si="3"/>
        <v>1.0204081632653061</v>
      </c>
      <c r="AB40" s="382">
        <f t="shared" si="4"/>
        <v>1.0416666666666667</v>
      </c>
      <c r="AC40" s="382">
        <f t="shared" si="5"/>
        <v>1.0638297872340425</v>
      </c>
    </row>
    <row r="41" spans="1:29" ht="15">
      <c r="A41" s="228" t="s">
        <v>2043</v>
      </c>
      <c r="B41" s="229"/>
      <c r="C41" s="230" t="s">
        <v>67</v>
      </c>
      <c r="D41" s="231"/>
      <c r="E41" s="232">
        <v>30000</v>
      </c>
      <c r="F41" s="233"/>
      <c r="G41" s="234">
        <v>35000</v>
      </c>
      <c r="H41" s="235"/>
      <c r="I41" s="232">
        <v>32000</v>
      </c>
      <c r="J41" s="235"/>
      <c r="K41" s="323"/>
      <c r="L41" s="324"/>
      <c r="M41" s="244"/>
      <c r="N41" s="304"/>
      <c r="O41" s="244"/>
      <c r="P41" s="3218" t="str">
        <f>A41</f>
        <v>成交单价（元/平方米）</v>
      </c>
      <c r="Q41" s="3218"/>
      <c r="R41" s="3287">
        <f>E41</f>
        <v>30000</v>
      </c>
      <c r="S41" s="3287"/>
      <c r="T41" s="3287">
        <f>G41</f>
        <v>35000</v>
      </c>
      <c r="U41" s="3287"/>
      <c r="V41" s="3287">
        <f>I41</f>
        <v>32000</v>
      </c>
      <c r="W41" s="3287"/>
      <c r="X41" s="255"/>
      <c r="Y41" s="394"/>
      <c r="Z41" s="255"/>
      <c r="AA41" s="255"/>
      <c r="AB41" s="255"/>
      <c r="AC41" s="255"/>
    </row>
    <row r="42" spans="1:29" ht="15">
      <c r="A42" s="236" t="s">
        <v>943</v>
      </c>
      <c r="B42" s="237"/>
      <c r="C42" s="238">
        <f>R43</f>
        <v>123550</v>
      </c>
      <c r="D42" s="239"/>
      <c r="E42" s="240">
        <f>R42</f>
        <v>70135</v>
      </c>
      <c r="F42" s="240"/>
      <c r="G42" s="238">
        <f>T42</f>
        <v>117587</v>
      </c>
      <c r="H42" s="239"/>
      <c r="I42" s="240">
        <f>V42</f>
        <v>182928</v>
      </c>
      <c r="J42" s="239"/>
      <c r="K42" s="325"/>
      <c r="L42" s="324"/>
      <c r="M42" s="244"/>
      <c r="N42" s="304"/>
      <c r="O42" s="244"/>
      <c r="P42" s="3218" t="str">
        <f>A42</f>
        <v>比较价值（元/平方米）</v>
      </c>
      <c r="Q42" s="3218"/>
      <c r="R42" s="3287">
        <f>IF(F1="售价",ROUND(PRODUCT(R41,AA7:AA40),0),ROUND(PRODUCT(R41,AA7:AA40),1))</f>
        <v>70135</v>
      </c>
      <c r="S42" s="3287"/>
      <c r="T42" s="3287">
        <f>IF(F1="售价",ROUND(PRODUCT(T41,AB7:AB40),0),ROUND(PRODUCT(T41,AB7:AB40),1))</f>
        <v>117587</v>
      </c>
      <c r="U42" s="3287"/>
      <c r="V42" s="3287">
        <f>IF(F1="售价",ROUND(PRODUCT(V41,AC7:AC40),0),ROUND(PRODUCT(V41,AC7:AC40),1))</f>
        <v>182928</v>
      </c>
      <c r="W42" s="3287"/>
      <c r="X42" s="255"/>
      <c r="Y42" s="255"/>
      <c r="Z42" s="255"/>
      <c r="AA42" s="255"/>
      <c r="AB42" s="255"/>
      <c r="AC42" s="255"/>
    </row>
    <row r="43" spans="1:29" ht="15">
      <c r="A43" s="241" t="s">
        <v>944</v>
      </c>
      <c r="B43" s="242"/>
      <c r="C43" s="243">
        <f>R43</f>
        <v>123550</v>
      </c>
      <c r="D43" s="243"/>
      <c r="E43" s="243"/>
      <c r="F43" s="243"/>
      <c r="G43" s="243"/>
      <c r="H43" s="243"/>
      <c r="I43" s="243"/>
      <c r="J43" s="243"/>
      <c r="K43" s="326"/>
      <c r="L43" s="324"/>
      <c r="M43" s="244"/>
      <c r="N43" s="244"/>
      <c r="O43" s="244"/>
      <c r="P43" s="3224" t="str">
        <f>A43</f>
        <v>估价对象XX用房的比较价值（楼面单价，元/平方米）</v>
      </c>
      <c r="Q43" s="3225"/>
      <c r="R43" s="3289">
        <f>IF(F1="售价",ROUND(AVERAGE(R42:V42),0),ROUND(AVERAGE(R42:V42),1))</f>
        <v>123550</v>
      </c>
      <c r="S43" s="3289"/>
      <c r="T43" s="3289"/>
      <c r="U43" s="3289"/>
      <c r="V43" s="3289"/>
      <c r="W43" s="3289"/>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945</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946</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947</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969</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908</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982</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911</v>
      </c>
      <c r="B55" s="263"/>
      <c r="C55" s="271" t="s">
        <v>912</v>
      </c>
      <c r="D55" s="272" t="s">
        <v>983</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984</v>
      </c>
      <c r="B57" s="275" t="s">
        <v>915</v>
      </c>
      <c r="C57" s="276" t="str">
        <f>C9</f>
        <v>工业</v>
      </c>
      <c r="D57" s="277" t="s">
        <v>1040</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918</v>
      </c>
      <c r="C59" s="282" t="s">
        <v>2045</v>
      </c>
      <c r="D59" s="282" t="s">
        <v>2046</v>
      </c>
      <c r="E59" s="282" t="s">
        <v>2047</v>
      </c>
      <c r="F59" s="282" t="s">
        <v>2048</v>
      </c>
      <c r="G59" s="282" t="s">
        <v>2049</v>
      </c>
      <c r="H59" s="282" t="s">
        <v>2050</v>
      </c>
      <c r="I59" s="282" t="s">
        <v>2051</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968</v>
      </c>
      <c r="D60" s="284" t="s">
        <v>968</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919</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922</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933</v>
      </c>
      <c r="B88" s="275" t="s">
        <v>2025</v>
      </c>
      <c r="C88" s="277" t="s">
        <v>2187</v>
      </c>
      <c r="D88" s="277" t="s">
        <v>2188</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2027</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2028</v>
      </c>
      <c r="C93" s="289" t="s">
        <v>2072</v>
      </c>
      <c r="D93" s="289" t="s">
        <v>2073</v>
      </c>
      <c r="E93" s="398" t="s">
        <v>2074</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2032</v>
      </c>
      <c r="C95" s="289" t="s">
        <v>2077</v>
      </c>
      <c r="D95" s="289" t="s">
        <v>2078</v>
      </c>
      <c r="E95" s="289" t="s">
        <v>2079</v>
      </c>
      <c r="F95" s="398" t="s">
        <v>2042</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2034</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2035</v>
      </c>
      <c r="C100" s="289" t="s">
        <v>2080</v>
      </c>
      <c r="D100" s="289" t="s">
        <v>2081</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2037</v>
      </c>
      <c r="C102" s="289" t="s">
        <v>1029</v>
      </c>
      <c r="D102" s="289" t="s">
        <v>1026</v>
      </c>
      <c r="E102" s="289" t="s">
        <v>2082</v>
      </c>
      <c r="F102" s="289" t="s">
        <v>1028</v>
      </c>
      <c r="G102" s="289" t="s">
        <v>1027</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2041</v>
      </c>
      <c r="C104" s="289" t="s">
        <v>2077</v>
      </c>
      <c r="D104" s="289" t="s">
        <v>2078</v>
      </c>
      <c r="E104" s="289" t="s">
        <v>2191</v>
      </c>
      <c r="F104" s="289" t="s">
        <v>2192</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2193</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2013</v>
      </c>
      <c r="B1" s="131" t="s">
        <v>2014</v>
      </c>
      <c r="C1" s="132" t="s">
        <v>2015</v>
      </c>
      <c r="D1" s="133" t="s">
        <v>420</v>
      </c>
      <c r="E1" s="134"/>
      <c r="F1" s="135" t="s">
        <v>2016</v>
      </c>
      <c r="G1" s="136" t="s">
        <v>2017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1818</v>
      </c>
      <c r="B3" s="143" t="e">
        <f>IF(B37="元/平方米",C39,ROUND(B2*10000/D3,0))</f>
        <v>#DIV/0!</v>
      </c>
      <c r="C3" s="144" t="s">
        <v>2018</v>
      </c>
      <c r="D3" s="145">
        <f>SUMIF('数据-汇总表'!$C19:$C33,D1,'数据-汇总表'!$E19:$E33)</f>
        <v>0</v>
      </c>
      <c r="E3" s="424" t="s">
        <v>2194</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06" t="s">
        <v>896</v>
      </c>
      <c r="D4" s="3207"/>
      <c r="E4" s="3206" t="s">
        <v>897</v>
      </c>
      <c r="F4" s="3207"/>
      <c r="G4" s="3206" t="s">
        <v>898</v>
      </c>
      <c r="H4" s="3207"/>
      <c r="I4" s="3206" t="s">
        <v>899</v>
      </c>
      <c r="J4" s="3207"/>
      <c r="K4" s="302" t="s">
        <v>900</v>
      </c>
      <c r="L4" s="303"/>
      <c r="M4" s="304"/>
      <c r="N4" s="304"/>
      <c r="O4" s="304"/>
      <c r="P4" s="3235" t="s">
        <v>901</v>
      </c>
      <c r="Q4" s="3236"/>
      <c r="R4" s="3241" t="s">
        <v>897</v>
      </c>
      <c r="S4" s="3242"/>
      <c r="T4" s="3241" t="s">
        <v>898</v>
      </c>
      <c r="U4" s="3242"/>
      <c r="V4" s="3227" t="s">
        <v>899</v>
      </c>
      <c r="W4" s="3227"/>
      <c r="X4" s="371"/>
      <c r="Y4" s="3241" t="s">
        <v>901</v>
      </c>
      <c r="Z4" s="3242"/>
      <c r="AA4" s="3228" t="s">
        <v>897</v>
      </c>
      <c r="AB4" s="3229" t="s">
        <v>898</v>
      </c>
      <c r="AC4" s="3228" t="s">
        <v>899</v>
      </c>
    </row>
    <row r="5" spans="1:29" ht="15">
      <c r="A5" s="148"/>
      <c r="B5" s="149"/>
      <c r="C5" s="3208" t="s">
        <v>902</v>
      </c>
      <c r="D5" s="3209"/>
      <c r="E5" s="3285" t="s">
        <v>2273</v>
      </c>
      <c r="F5" s="3253"/>
      <c r="G5" s="3210" t="s">
        <v>2276</v>
      </c>
      <c r="H5" s="3209"/>
      <c r="I5" s="3210" t="s">
        <v>2279</v>
      </c>
      <c r="J5" s="3209"/>
      <c r="K5" s="302"/>
      <c r="L5" s="303"/>
      <c r="M5" s="304"/>
      <c r="N5" s="304"/>
      <c r="O5" s="304"/>
      <c r="P5" s="3237"/>
      <c r="Q5" s="3238"/>
      <c r="R5" s="3243"/>
      <c r="S5" s="3244"/>
      <c r="T5" s="3243"/>
      <c r="U5" s="3244"/>
      <c r="V5" s="3227"/>
      <c r="W5" s="3227"/>
      <c r="X5" s="371"/>
      <c r="Y5" s="3243"/>
      <c r="Z5" s="3244"/>
      <c r="AA5" s="3229"/>
      <c r="AB5" s="3229"/>
      <c r="AC5" s="3229"/>
    </row>
    <row r="6" spans="1:29" ht="15">
      <c r="A6" s="150"/>
      <c r="B6" s="151"/>
      <c r="C6" s="3254" t="s">
        <v>906</v>
      </c>
      <c r="D6" s="3214"/>
      <c r="E6" s="3286" t="s">
        <v>2274</v>
      </c>
      <c r="F6" s="3256"/>
      <c r="G6" s="3213" t="s">
        <v>2277</v>
      </c>
      <c r="H6" s="3214"/>
      <c r="I6" s="3213" t="s">
        <v>2278</v>
      </c>
      <c r="J6" s="3214"/>
      <c r="K6" s="302" t="s">
        <v>907</v>
      </c>
      <c r="L6" s="303"/>
      <c r="M6" s="304"/>
      <c r="N6" s="304"/>
      <c r="O6" s="304"/>
      <c r="P6" s="3239"/>
      <c r="Q6" s="3240"/>
      <c r="R6" s="3243"/>
      <c r="S6" s="3244"/>
      <c r="T6" s="3245"/>
      <c r="U6" s="3246"/>
      <c r="V6" s="3227"/>
      <c r="W6" s="3227"/>
      <c r="X6" s="371"/>
      <c r="Y6" s="3245"/>
      <c r="Z6" s="3246"/>
      <c r="AA6" s="3230"/>
      <c r="AB6" s="3230"/>
      <c r="AC6" s="3230"/>
    </row>
    <row r="7" spans="1:29" s="122" customFormat="1" ht="15">
      <c r="A7" s="152" t="s">
        <v>908</v>
      </c>
      <c r="B7" s="153"/>
      <c r="C7" s="154">
        <f>'数据-取费表'!B2</f>
        <v>43041</v>
      </c>
      <c r="D7" s="155">
        <v>100</v>
      </c>
      <c r="E7" s="156">
        <f>C7</f>
        <v>43041</v>
      </c>
      <c r="F7" s="157">
        <f>SUMIF(48:48,YEAR(E7)&amp;"-"&amp;MONTH(E7),49:49)</f>
        <v>0</v>
      </c>
      <c r="G7" s="158">
        <f>C7</f>
        <v>43041</v>
      </c>
      <c r="H7" s="155">
        <f>SUMIF(48:48,YEAR(G7)&amp;"-"&amp;MONTH(G7),49:49)</f>
        <v>0</v>
      </c>
      <c r="I7" s="158">
        <f>C7</f>
        <v>43041</v>
      </c>
      <c r="J7" s="155">
        <f>SUMIF(48:48,YEAR(I7)&amp;"-"&amp;MONTH(I7),49:49)</f>
        <v>0</v>
      </c>
      <c r="K7" s="305"/>
      <c r="L7" s="306"/>
      <c r="M7" s="307"/>
      <c r="N7" s="307"/>
      <c r="O7" s="307"/>
      <c r="P7" s="3248" t="s">
        <v>909</v>
      </c>
      <c r="Q7" s="3257"/>
      <c r="R7" s="372" t="s">
        <v>910</v>
      </c>
      <c r="S7" s="373">
        <f t="shared" ref="S7:S14" si="0">F7</f>
        <v>0</v>
      </c>
      <c r="T7" s="372" t="s">
        <v>910</v>
      </c>
      <c r="U7" s="373">
        <f t="shared" ref="U7:U14" si="1">H7</f>
        <v>0</v>
      </c>
      <c r="V7" s="372" t="s">
        <v>910</v>
      </c>
      <c r="W7" s="373">
        <f t="shared" ref="W7:W14" si="2">J7</f>
        <v>0</v>
      </c>
      <c r="X7" s="374"/>
      <c r="Y7" s="3248" t="s">
        <v>909</v>
      </c>
      <c r="Z7" s="3249"/>
      <c r="AA7" s="391" t="e">
        <f>D7/F7</f>
        <v>#DIV/0!</v>
      </c>
      <c r="AB7" s="391" t="e">
        <f>D7/H7</f>
        <v>#DIV/0!</v>
      </c>
      <c r="AC7" s="391" t="e">
        <f>D7/J7</f>
        <v>#DIV/0!</v>
      </c>
    </row>
    <row r="8" spans="1:29" s="122" customFormat="1" ht="15">
      <c r="A8" s="152" t="s">
        <v>911</v>
      </c>
      <c r="B8" s="153"/>
      <c r="C8" s="159" t="s">
        <v>912</v>
      </c>
      <c r="D8" s="155">
        <v>100</v>
      </c>
      <c r="E8" s="159" t="s">
        <v>912</v>
      </c>
      <c r="F8" s="157">
        <f>SUMIF(51:51,E8,52:52)-SUMIF(51:51,C8,52:52)+100</f>
        <v>100</v>
      </c>
      <c r="G8" s="159" t="s">
        <v>912</v>
      </c>
      <c r="H8" s="155">
        <f>SUMIF(51:51,G8,52:52)-SUMIF(51:51,C8,52:52)+100</f>
        <v>100</v>
      </c>
      <c r="I8" s="159" t="s">
        <v>912</v>
      </c>
      <c r="J8" s="155">
        <f>SUMIF(51:51,I8,52:52)-SUMIF(51:51,C8,52:52)+100</f>
        <v>100</v>
      </c>
      <c r="K8" s="305"/>
      <c r="L8" s="306"/>
      <c r="M8" s="307"/>
      <c r="N8" s="307"/>
      <c r="O8" s="307"/>
      <c r="P8" s="3248" t="s">
        <v>913</v>
      </c>
      <c r="Q8" s="3249"/>
      <c r="R8" s="372" t="s">
        <v>910</v>
      </c>
      <c r="S8" s="373">
        <f t="shared" si="0"/>
        <v>100</v>
      </c>
      <c r="T8" s="372" t="s">
        <v>910</v>
      </c>
      <c r="U8" s="373">
        <f t="shared" si="1"/>
        <v>100</v>
      </c>
      <c r="V8" s="372" t="s">
        <v>910</v>
      </c>
      <c r="W8" s="373">
        <f t="shared" si="2"/>
        <v>100</v>
      </c>
      <c r="X8" s="374"/>
      <c r="Y8" s="3248" t="s">
        <v>913</v>
      </c>
      <c r="Z8" s="3249"/>
      <c r="AA8" s="391">
        <f t="shared" ref="AA8:AA36" si="3">D8/F8</f>
        <v>1</v>
      </c>
      <c r="AB8" s="391">
        <f t="shared" ref="AB8:AB36" si="4">D8/H8</f>
        <v>1</v>
      </c>
      <c r="AC8" s="391">
        <f t="shared" ref="AC8:AC36" si="5">D8/J8</f>
        <v>1</v>
      </c>
    </row>
    <row r="9" spans="1:29" s="122" customFormat="1">
      <c r="A9" s="425" t="s">
        <v>914</v>
      </c>
      <c r="B9" s="426" t="s">
        <v>915</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18" t="s">
        <v>916</v>
      </c>
      <c r="Q9" s="375" t="str">
        <f t="shared" ref="Q9:Q14" si="6">B9</f>
        <v>用途</v>
      </c>
      <c r="R9" s="372" t="s">
        <v>910</v>
      </c>
      <c r="S9" s="373">
        <f t="shared" si="0"/>
        <v>100</v>
      </c>
      <c r="T9" s="372" t="s">
        <v>910</v>
      </c>
      <c r="U9" s="373">
        <f t="shared" si="1"/>
        <v>100</v>
      </c>
      <c r="V9" s="372" t="s">
        <v>910</v>
      </c>
      <c r="W9" s="373">
        <f t="shared" si="2"/>
        <v>100</v>
      </c>
      <c r="X9" s="374"/>
      <c r="Y9" s="3201" t="s">
        <v>917</v>
      </c>
      <c r="Z9" s="392" t="str">
        <f t="shared" ref="Z9:Z14" si="7">Q9</f>
        <v>用途</v>
      </c>
      <c r="AA9" s="391">
        <f t="shared" si="3"/>
        <v>1</v>
      </c>
      <c r="AB9" s="391">
        <f t="shared" si="4"/>
        <v>1</v>
      </c>
      <c r="AC9" s="391">
        <f t="shared" si="5"/>
        <v>1</v>
      </c>
    </row>
    <row r="10" spans="1:29" s="123" customFormat="1" ht="27">
      <c r="A10" s="428"/>
      <c r="B10" s="429" t="s">
        <v>918</v>
      </c>
      <c r="C10" s="167" t="s">
        <v>2158</v>
      </c>
      <c r="D10" s="168">
        <v>100</v>
      </c>
      <c r="E10" s="167" t="s">
        <v>2106</v>
      </c>
      <c r="F10" s="168">
        <f>SUMIF(55:55,E10,56:56)-SUMIF(55:55,C10,56:56)+100</f>
        <v>97</v>
      </c>
      <c r="G10" s="169" t="s">
        <v>2107</v>
      </c>
      <c r="H10" s="168">
        <f>SUMIF(55:55,G10,56:56)-SUMIF(55:55,C10,56:56)+100</f>
        <v>94</v>
      </c>
      <c r="I10" s="167" t="s">
        <v>2108</v>
      </c>
      <c r="J10" s="168">
        <f>SUMIF(55:55,I10,56:56)-SUMIF(55:55,C10,56:56)+100</f>
        <v>91</v>
      </c>
      <c r="K10" s="310">
        <v>3</v>
      </c>
      <c r="L10" s="311"/>
      <c r="M10" s="312"/>
      <c r="N10" s="312"/>
      <c r="O10" s="313"/>
      <c r="P10" s="3218"/>
      <c r="Q10" s="375" t="str">
        <f t="shared" si="6"/>
        <v>土地使用年限（年）</v>
      </c>
      <c r="R10" s="372" t="s">
        <v>910</v>
      </c>
      <c r="S10" s="373">
        <f t="shared" si="0"/>
        <v>97</v>
      </c>
      <c r="T10" s="372" t="s">
        <v>910</v>
      </c>
      <c r="U10" s="373">
        <f t="shared" si="1"/>
        <v>94</v>
      </c>
      <c r="V10" s="372" t="s">
        <v>910</v>
      </c>
      <c r="W10" s="373">
        <f t="shared" si="2"/>
        <v>91</v>
      </c>
      <c r="X10" s="374"/>
      <c r="Y10" s="3201"/>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18"/>
      <c r="Q11" s="375">
        <f t="shared" si="6"/>
        <v>111</v>
      </c>
      <c r="R11" s="372" t="s">
        <v>910</v>
      </c>
      <c r="S11" s="373">
        <f t="shared" si="0"/>
        <v>100</v>
      </c>
      <c r="T11" s="372" t="s">
        <v>910</v>
      </c>
      <c r="U11" s="373">
        <f t="shared" si="1"/>
        <v>100</v>
      </c>
      <c r="V11" s="372" t="s">
        <v>910</v>
      </c>
      <c r="W11" s="373">
        <f t="shared" si="2"/>
        <v>100</v>
      </c>
      <c r="X11" s="374"/>
      <c r="Y11" s="3201"/>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18"/>
      <c r="Q12" s="375">
        <f t="shared" si="6"/>
        <v>111</v>
      </c>
      <c r="R12" s="372" t="s">
        <v>910</v>
      </c>
      <c r="S12" s="373">
        <f t="shared" si="0"/>
        <v>100</v>
      </c>
      <c r="T12" s="372" t="s">
        <v>910</v>
      </c>
      <c r="U12" s="373">
        <f t="shared" si="1"/>
        <v>100</v>
      </c>
      <c r="V12" s="372" t="s">
        <v>910</v>
      </c>
      <c r="W12" s="373">
        <f t="shared" si="2"/>
        <v>100</v>
      </c>
      <c r="X12" s="374"/>
      <c r="Y12" s="3201"/>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18"/>
      <c r="Q13" s="375">
        <f t="shared" si="6"/>
        <v>111</v>
      </c>
      <c r="R13" s="372" t="s">
        <v>910</v>
      </c>
      <c r="S13" s="373">
        <f t="shared" si="0"/>
        <v>100</v>
      </c>
      <c r="T13" s="372" t="s">
        <v>910</v>
      </c>
      <c r="U13" s="373">
        <f t="shared" si="1"/>
        <v>100</v>
      </c>
      <c r="V13" s="372" t="s">
        <v>910</v>
      </c>
      <c r="W13" s="373">
        <f t="shared" si="2"/>
        <v>100</v>
      </c>
      <c r="X13" s="374"/>
      <c r="Y13" s="3201"/>
      <c r="Z13" s="392">
        <f t="shared" si="7"/>
        <v>111</v>
      </c>
      <c r="AA13" s="391">
        <f t="shared" si="3"/>
        <v>1</v>
      </c>
      <c r="AB13" s="391">
        <f t="shared" si="4"/>
        <v>1</v>
      </c>
      <c r="AC13" s="391">
        <f t="shared" si="5"/>
        <v>1</v>
      </c>
    </row>
    <row r="14" spans="1:29" ht="199.5">
      <c r="A14" s="146" t="s">
        <v>922</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19" t="s">
        <v>923</v>
      </c>
      <c r="Q14" s="309" t="str">
        <f t="shared" si="6"/>
        <v>交通便捷度</v>
      </c>
      <c r="R14" s="376" t="s">
        <v>910</v>
      </c>
      <c r="S14" s="377">
        <f t="shared" si="0"/>
        <v>100</v>
      </c>
      <c r="T14" s="376" t="s">
        <v>910</v>
      </c>
      <c r="U14" s="377">
        <f t="shared" si="1"/>
        <v>100</v>
      </c>
      <c r="V14" s="376" t="s">
        <v>910</v>
      </c>
      <c r="W14" s="377">
        <f t="shared" si="2"/>
        <v>100</v>
      </c>
      <c r="X14" s="371"/>
      <c r="Y14" s="3219" t="s">
        <v>923</v>
      </c>
      <c r="Z14" s="370" t="str">
        <f t="shared" si="7"/>
        <v>交通便捷度</v>
      </c>
      <c r="AA14" s="382">
        <f t="shared" si="3"/>
        <v>1</v>
      </c>
      <c r="AB14" s="382">
        <f t="shared" si="4"/>
        <v>1</v>
      </c>
      <c r="AC14" s="382">
        <f t="shared" si="5"/>
        <v>1</v>
      </c>
    </row>
    <row r="15" spans="1:29" ht="15">
      <c r="A15" s="148"/>
      <c r="B15" s="435"/>
      <c r="C15" s="186" t="s">
        <v>925</v>
      </c>
      <c r="D15" s="187"/>
      <c r="E15" s="186" t="s">
        <v>925</v>
      </c>
      <c r="F15" s="188"/>
      <c r="G15" s="186" t="s">
        <v>925</v>
      </c>
      <c r="H15" s="189"/>
      <c r="I15" s="186" t="s">
        <v>925</v>
      </c>
      <c r="J15" s="187"/>
      <c r="K15" s="319"/>
      <c r="L15" s="317"/>
      <c r="M15" s="304"/>
      <c r="N15" s="304"/>
      <c r="O15" s="316"/>
      <c r="P15" s="3220"/>
      <c r="Q15" s="309"/>
      <c r="R15" s="376"/>
      <c r="S15" s="377"/>
      <c r="T15" s="376"/>
      <c r="U15" s="377"/>
      <c r="V15" s="376"/>
      <c r="W15" s="377"/>
      <c r="X15" s="371"/>
      <c r="Y15" s="3220"/>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20"/>
      <c r="Q16" s="309" t="str">
        <f>B16</f>
        <v>公共配套设施</v>
      </c>
      <c r="R16" s="376" t="s">
        <v>910</v>
      </c>
      <c r="S16" s="377">
        <f>F16</f>
        <v>98</v>
      </c>
      <c r="T16" s="376" t="s">
        <v>910</v>
      </c>
      <c r="U16" s="377">
        <f>H16</f>
        <v>96</v>
      </c>
      <c r="V16" s="376" t="s">
        <v>910</v>
      </c>
      <c r="W16" s="377">
        <f>J16</f>
        <v>98</v>
      </c>
      <c r="X16" s="371"/>
      <c r="Y16" s="3220"/>
      <c r="Z16" s="370" t="str">
        <f>Q16</f>
        <v>公共配套设施</v>
      </c>
      <c r="AA16" s="382">
        <f t="shared" si="3"/>
        <v>1.0204081632653061</v>
      </c>
      <c r="AB16" s="382">
        <f t="shared" si="4"/>
        <v>1.0416666666666667</v>
      </c>
      <c r="AC16" s="382">
        <f t="shared" si="5"/>
        <v>1.0204081632653061</v>
      </c>
    </row>
    <row r="17" spans="1:29" ht="15">
      <c r="A17" s="148"/>
      <c r="B17" s="196"/>
      <c r="C17" s="197" t="s">
        <v>925</v>
      </c>
      <c r="D17" s="187"/>
      <c r="E17" s="186" t="s">
        <v>1016</v>
      </c>
      <c r="F17" s="188"/>
      <c r="G17" s="186" t="s">
        <v>926</v>
      </c>
      <c r="H17" s="187"/>
      <c r="I17" s="186" t="s">
        <v>1016</v>
      </c>
      <c r="J17" s="187"/>
      <c r="K17" s="319"/>
      <c r="L17" s="317"/>
      <c r="M17" s="304"/>
      <c r="N17" s="304"/>
      <c r="O17" s="316"/>
      <c r="P17" s="3220"/>
      <c r="Q17" s="309"/>
      <c r="R17" s="376"/>
      <c r="S17" s="377"/>
      <c r="T17" s="376"/>
      <c r="U17" s="377"/>
      <c r="V17" s="376"/>
      <c r="W17" s="377"/>
      <c r="X17" s="371"/>
      <c r="Y17" s="3220"/>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20"/>
      <c r="Q18" s="309" t="str">
        <f>B18</f>
        <v>基础设施水平</v>
      </c>
      <c r="R18" s="376" t="s">
        <v>910</v>
      </c>
      <c r="S18" s="377">
        <f>F18</f>
        <v>100</v>
      </c>
      <c r="T18" s="376" t="s">
        <v>910</v>
      </c>
      <c r="U18" s="377">
        <f>H18</f>
        <v>100</v>
      </c>
      <c r="V18" s="376" t="s">
        <v>910</v>
      </c>
      <c r="W18" s="377">
        <f>J18</f>
        <v>100</v>
      </c>
      <c r="X18" s="371"/>
      <c r="Y18" s="3220"/>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20"/>
      <c r="Q19" s="309"/>
      <c r="R19" s="376"/>
      <c r="S19" s="377"/>
      <c r="T19" s="376"/>
      <c r="U19" s="377"/>
      <c r="V19" s="376"/>
      <c r="W19" s="377"/>
      <c r="X19" s="371"/>
      <c r="Y19" s="3220"/>
      <c r="Z19" s="370"/>
      <c r="AA19" s="382">
        <v>1</v>
      </c>
      <c r="AB19" s="382">
        <v>1</v>
      </c>
      <c r="AC19" s="382">
        <v>1</v>
      </c>
    </row>
    <row r="20" spans="1:29" ht="213.75">
      <c r="A20" s="148"/>
      <c r="B20" s="436" t="s">
        <v>2020</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20"/>
      <c r="Q20" s="309" t="str">
        <f>B20</f>
        <v>自然及人文环境</v>
      </c>
      <c r="R20" s="376" t="s">
        <v>910</v>
      </c>
      <c r="S20" s="377">
        <f>F20</f>
        <v>98</v>
      </c>
      <c r="T20" s="376" t="s">
        <v>910</v>
      </c>
      <c r="U20" s="377">
        <f>H20</f>
        <v>96</v>
      </c>
      <c r="V20" s="376" t="s">
        <v>910</v>
      </c>
      <c r="W20" s="377">
        <f>J20</f>
        <v>98</v>
      </c>
      <c r="X20" s="371"/>
      <c r="Y20" s="3220"/>
      <c r="Z20" s="370" t="str">
        <f>Q20</f>
        <v>自然及人文环境</v>
      </c>
      <c r="AA20" s="382">
        <f t="shared" si="3"/>
        <v>1.0204081632653061</v>
      </c>
      <c r="AB20" s="382">
        <f t="shared" si="4"/>
        <v>1.0416666666666667</v>
      </c>
      <c r="AC20" s="382">
        <f t="shared" si="5"/>
        <v>1.0204081632653061</v>
      </c>
    </row>
    <row r="21" spans="1:29" ht="15">
      <c r="A21" s="148"/>
      <c r="B21" s="196"/>
      <c r="C21" s="186" t="s">
        <v>925</v>
      </c>
      <c r="D21" s="187"/>
      <c r="E21" s="186" t="s">
        <v>924</v>
      </c>
      <c r="F21" s="188"/>
      <c r="G21" s="186" t="s">
        <v>1011</v>
      </c>
      <c r="H21" s="187"/>
      <c r="I21" s="186" t="s">
        <v>924</v>
      </c>
      <c r="J21" s="187"/>
      <c r="K21" s="319"/>
      <c r="L21" s="317"/>
      <c r="M21" s="304"/>
      <c r="N21" s="304"/>
      <c r="O21" s="316"/>
      <c r="P21" s="3220"/>
      <c r="Q21" s="309"/>
      <c r="R21" s="376"/>
      <c r="S21" s="377"/>
      <c r="T21" s="376"/>
      <c r="U21" s="377"/>
      <c r="V21" s="376"/>
      <c r="W21" s="377"/>
      <c r="X21" s="371"/>
      <c r="Y21" s="3220"/>
      <c r="Z21" s="370"/>
      <c r="AA21" s="382">
        <v>1</v>
      </c>
      <c r="AB21" s="382">
        <v>1</v>
      </c>
      <c r="AC21" s="382">
        <v>1</v>
      </c>
    </row>
    <row r="22" spans="1:29" ht="15">
      <c r="A22" s="148"/>
      <c r="B22" s="436" t="s">
        <v>2115</v>
      </c>
      <c r="C22" s="205" t="s">
        <v>2118</v>
      </c>
      <c r="D22" s="189">
        <v>100</v>
      </c>
      <c r="E22" s="205" t="s">
        <v>2283</v>
      </c>
      <c r="F22" s="206">
        <f>SUMIF(71:71,E22,72:72)-SUMIF(71:71,C22,72:72)+100</f>
        <v>100</v>
      </c>
      <c r="G22" s="205" t="s">
        <v>2283</v>
      </c>
      <c r="H22" s="177">
        <f>SUMIF(71:71,G22,72:72)-SUMIF(71:71,C22,72:72)+100</f>
        <v>100</v>
      </c>
      <c r="I22" s="205" t="s">
        <v>2118</v>
      </c>
      <c r="J22" s="177">
        <f>SUMIF(71:71,I22,72:72)-SUMIF(71:71,C22,72:72)+100</f>
        <v>100</v>
      </c>
      <c r="K22" s="310">
        <v>2</v>
      </c>
      <c r="L22" s="317"/>
      <c r="M22" s="304"/>
      <c r="N22" s="304"/>
      <c r="O22" s="316"/>
      <c r="P22" s="3220"/>
      <c r="Q22" s="309" t="str">
        <f>B22</f>
        <v>楼层</v>
      </c>
      <c r="R22" s="376" t="s">
        <v>910</v>
      </c>
      <c r="S22" s="377">
        <f>F22</f>
        <v>100</v>
      </c>
      <c r="T22" s="376" t="s">
        <v>910</v>
      </c>
      <c r="U22" s="377">
        <f>H22</f>
        <v>100</v>
      </c>
      <c r="V22" s="376" t="s">
        <v>910</v>
      </c>
      <c r="W22" s="377">
        <f>J22</f>
        <v>100</v>
      </c>
      <c r="X22" s="371"/>
      <c r="Y22" s="3220"/>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20"/>
      <c r="Q23" s="309">
        <f>B23</f>
        <v>111</v>
      </c>
      <c r="R23" s="376" t="s">
        <v>910</v>
      </c>
      <c r="S23" s="377">
        <f>F23</f>
        <v>100</v>
      </c>
      <c r="T23" s="376" t="s">
        <v>910</v>
      </c>
      <c r="U23" s="377">
        <f>H23</f>
        <v>100</v>
      </c>
      <c r="V23" s="376" t="s">
        <v>910</v>
      </c>
      <c r="W23" s="377">
        <f>J23</f>
        <v>100</v>
      </c>
      <c r="X23" s="371"/>
      <c r="Y23" s="3220"/>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20"/>
      <c r="Q24" s="309">
        <f t="shared" ref="Q24:Q36" si="8">B24</f>
        <v>111</v>
      </c>
      <c r="R24" s="376" t="s">
        <v>910</v>
      </c>
      <c r="S24" s="377">
        <f>F24</f>
        <v>100</v>
      </c>
      <c r="T24" s="376" t="s">
        <v>910</v>
      </c>
      <c r="U24" s="377">
        <f>H24</f>
        <v>100</v>
      </c>
      <c r="V24" s="376" t="s">
        <v>910</v>
      </c>
      <c r="W24" s="377">
        <f>J24</f>
        <v>100</v>
      </c>
      <c r="X24" s="371"/>
      <c r="Y24" s="3220"/>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20"/>
      <c r="Q25" s="375">
        <f t="shared" si="8"/>
        <v>111</v>
      </c>
      <c r="R25" s="372" t="s">
        <v>910</v>
      </c>
      <c r="S25" s="373">
        <f>F25</f>
        <v>100</v>
      </c>
      <c r="T25" s="372" t="s">
        <v>910</v>
      </c>
      <c r="U25" s="373">
        <f>H25</f>
        <v>100</v>
      </c>
      <c r="V25" s="372" t="s">
        <v>910</v>
      </c>
      <c r="W25" s="373">
        <f>J25</f>
        <v>100</v>
      </c>
      <c r="X25" s="374"/>
      <c r="Y25" s="3220"/>
      <c r="Z25" s="392">
        <f>Q25</f>
        <v>111</v>
      </c>
      <c r="AA25" s="382">
        <f t="shared" si="3"/>
        <v>1</v>
      </c>
      <c r="AB25" s="382">
        <f t="shared" si="4"/>
        <v>1</v>
      </c>
      <c r="AC25" s="382">
        <f t="shared" si="5"/>
        <v>1</v>
      </c>
    </row>
    <row r="26" spans="1:29" ht="15">
      <c r="A26" s="443" t="s">
        <v>933</v>
      </c>
      <c r="B26" s="444" t="s">
        <v>2196</v>
      </c>
      <c r="C26" s="445" t="str">
        <f>B1</f>
        <v>住宅</v>
      </c>
      <c r="D26" s="187">
        <v>100</v>
      </c>
      <c r="E26" s="186" t="s">
        <v>292</v>
      </c>
      <c r="F26" s="188">
        <f>SUMIF(79:79,E26,80:80)-SUMIF(79:79,C26,80:80)+100</f>
        <v>100</v>
      </c>
      <c r="G26" s="186" t="s">
        <v>292</v>
      </c>
      <c r="H26" s="187">
        <f>SUMIF(79:79,G26,80:80)-SUMIF(79:79,C26,80:80)+100</f>
        <v>100</v>
      </c>
      <c r="I26" s="186" t="s">
        <v>2199</v>
      </c>
      <c r="J26" s="187">
        <f>SUMIF(79:79,I26,80:80)-SUMIF(79:79,C26,80:80)+100</f>
        <v>100</v>
      </c>
      <c r="K26" s="310">
        <v>3</v>
      </c>
      <c r="L26" s="317"/>
      <c r="M26" s="304"/>
      <c r="N26" s="304"/>
      <c r="O26" s="316"/>
      <c r="P26" s="3221" t="s">
        <v>932</v>
      </c>
      <c r="Q26" s="309" t="str">
        <f t="shared" si="8"/>
        <v>配套类型</v>
      </c>
      <c r="R26" s="376" t="s">
        <v>910</v>
      </c>
      <c r="S26" s="377">
        <f t="shared" ref="S26:S36" si="9">F26</f>
        <v>100</v>
      </c>
      <c r="T26" s="376" t="s">
        <v>910</v>
      </c>
      <c r="U26" s="377">
        <f t="shared" ref="U26:U36" si="10">H26</f>
        <v>100</v>
      </c>
      <c r="V26" s="376" t="s">
        <v>910</v>
      </c>
      <c r="W26" s="377">
        <f t="shared" ref="W26:W36" si="11">J26</f>
        <v>100</v>
      </c>
      <c r="X26" s="371"/>
      <c r="Y26" s="3222" t="s">
        <v>932</v>
      </c>
      <c r="Z26" s="370" t="str">
        <f t="shared" ref="Z26:Z36" si="12">Q26</f>
        <v>配套类型</v>
      </c>
      <c r="AA26" s="382">
        <f t="shared" si="3"/>
        <v>1</v>
      </c>
      <c r="AB26" s="382">
        <f t="shared" si="4"/>
        <v>1</v>
      </c>
      <c r="AC26" s="382">
        <f t="shared" si="5"/>
        <v>1</v>
      </c>
    </row>
    <row r="27" spans="1:29" s="124" customFormat="1" ht="15" hidden="1">
      <c r="A27" s="446"/>
      <c r="B27" s="447" t="s">
        <v>2200</v>
      </c>
      <c r="C27" s="448" t="s">
        <v>2280</v>
      </c>
      <c r="D27" s="168">
        <v>100</v>
      </c>
      <c r="E27" s="448" t="s">
        <v>2280</v>
      </c>
      <c r="F27" s="206">
        <f>SUMIF(81:81,E27,82:82)-SUMIF(81:81,C27,82:82)+100</f>
        <v>100</v>
      </c>
      <c r="G27" s="448" t="s">
        <v>2280</v>
      </c>
      <c r="H27" s="177">
        <f>SUMIF(81:81,G27,82:82)-SUMIF(81:81,C27,82:82)+100</f>
        <v>100</v>
      </c>
      <c r="I27" s="448" t="s">
        <v>2280</v>
      </c>
      <c r="J27" s="177">
        <f>SUMIF(81:81,I27,82:82)-SUMIF(81:81,C27,82:82)+100</f>
        <v>100</v>
      </c>
      <c r="K27" s="314"/>
      <c r="L27" s="315"/>
      <c r="M27" s="321"/>
      <c r="N27" s="321"/>
      <c r="O27" s="322"/>
      <c r="P27" s="3222"/>
      <c r="Q27" s="378" t="str">
        <f t="shared" si="8"/>
        <v>项目停车位配比</v>
      </c>
      <c r="R27" s="379" t="s">
        <v>910</v>
      </c>
      <c r="S27" s="380">
        <f t="shared" si="9"/>
        <v>100</v>
      </c>
      <c r="T27" s="379" t="s">
        <v>910</v>
      </c>
      <c r="U27" s="380">
        <f t="shared" si="10"/>
        <v>100</v>
      </c>
      <c r="V27" s="379" t="s">
        <v>910</v>
      </c>
      <c r="W27" s="380">
        <f t="shared" si="11"/>
        <v>100</v>
      </c>
      <c r="X27" s="381"/>
      <c r="Y27" s="3222"/>
      <c r="Z27" s="393" t="str">
        <f t="shared" si="12"/>
        <v>项目停车位配比</v>
      </c>
      <c r="AA27" s="382">
        <f t="shared" si="3"/>
        <v>1</v>
      </c>
      <c r="AB27" s="382">
        <f t="shared" si="4"/>
        <v>1</v>
      </c>
      <c r="AC27" s="382">
        <f t="shared" si="5"/>
        <v>1</v>
      </c>
    </row>
    <row r="28" spans="1:29" ht="15">
      <c r="A28" s="449"/>
      <c r="B28" s="447" t="s">
        <v>2032</v>
      </c>
      <c r="C28" s="219" t="s">
        <v>2125</v>
      </c>
      <c r="D28" s="177">
        <v>100</v>
      </c>
      <c r="E28" s="219" t="s">
        <v>2125</v>
      </c>
      <c r="F28" s="206">
        <f>SUMIF(83:83,E28,84:84)-SUMIF(83:83,C28,84:84)+100</f>
        <v>100</v>
      </c>
      <c r="G28" s="219" t="s">
        <v>2189</v>
      </c>
      <c r="H28" s="177">
        <f>SUMIF(83:83,G28,84:84)-SUMIF(83:83,C28,84:84)+100</f>
        <v>97</v>
      </c>
      <c r="I28" s="219" t="s">
        <v>2125</v>
      </c>
      <c r="J28" s="177">
        <f>SUMIF(83:83,I28,84:84)-SUMIF(83:83,C28,84:84)+100</f>
        <v>100</v>
      </c>
      <c r="K28" s="310">
        <v>3</v>
      </c>
      <c r="L28" s="317"/>
      <c r="M28" s="304"/>
      <c r="N28" s="304"/>
      <c r="O28" s="316"/>
      <c r="P28" s="3222"/>
      <c r="Q28" s="309" t="str">
        <f t="shared" si="8"/>
        <v>公共部分装修</v>
      </c>
      <c r="R28" s="376" t="s">
        <v>910</v>
      </c>
      <c r="S28" s="377">
        <f t="shared" si="9"/>
        <v>100</v>
      </c>
      <c r="T28" s="376" t="s">
        <v>910</v>
      </c>
      <c r="U28" s="377">
        <f t="shared" si="10"/>
        <v>97</v>
      </c>
      <c r="V28" s="376" t="s">
        <v>910</v>
      </c>
      <c r="W28" s="377">
        <f t="shared" si="11"/>
        <v>100</v>
      </c>
      <c r="X28" s="371"/>
      <c r="Y28" s="3222"/>
      <c r="Z28" s="370" t="str">
        <f t="shared" si="12"/>
        <v>公共部分装修</v>
      </c>
      <c r="AA28" s="382">
        <f t="shared" si="3"/>
        <v>1</v>
      </c>
      <c r="AB28" s="382">
        <f t="shared" si="4"/>
        <v>1.0309278350515463</v>
      </c>
      <c r="AC28" s="382">
        <f t="shared" si="5"/>
        <v>1</v>
      </c>
    </row>
    <row r="29" spans="1:29" ht="15">
      <c r="A29" s="449"/>
      <c r="B29" s="447" t="s">
        <v>2203</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22"/>
      <c r="Q29" s="309" t="str">
        <f t="shared" si="8"/>
        <v>成新率</v>
      </c>
      <c r="R29" s="376" t="s">
        <v>910</v>
      </c>
      <c r="S29" s="377">
        <f t="shared" si="9"/>
        <v>100</v>
      </c>
      <c r="T29" s="376" t="s">
        <v>910</v>
      </c>
      <c r="U29" s="377">
        <f t="shared" si="10"/>
        <v>100</v>
      </c>
      <c r="V29" s="376" t="s">
        <v>910</v>
      </c>
      <c r="W29" s="377">
        <f t="shared" si="11"/>
        <v>100</v>
      </c>
      <c r="X29" s="371"/>
      <c r="Y29" s="3222"/>
      <c r="Z29" s="370" t="str">
        <f t="shared" si="12"/>
        <v>成新率</v>
      </c>
      <c r="AA29" s="382">
        <f t="shared" si="3"/>
        <v>1</v>
      </c>
      <c r="AB29" s="382">
        <f t="shared" si="4"/>
        <v>1</v>
      </c>
      <c r="AC29" s="382">
        <f t="shared" si="5"/>
        <v>1</v>
      </c>
    </row>
    <row r="30" spans="1:29" ht="15">
      <c r="A30" s="449"/>
      <c r="B30" s="447" t="s">
        <v>2204</v>
      </c>
      <c r="C30" s="220" t="s">
        <v>2183</v>
      </c>
      <c r="D30" s="177">
        <v>100</v>
      </c>
      <c r="E30" s="220" t="s">
        <v>2281</v>
      </c>
      <c r="F30" s="206">
        <f>SUMIF(88:88,E30,89:89)-SUMIF(88:88,C30,89:89)+100</f>
        <v>100</v>
      </c>
      <c r="G30" s="220" t="s">
        <v>2281</v>
      </c>
      <c r="H30" s="177">
        <f>SUMIF(88:88,E30,89:89)-SUMIF(88:88,C30,89:89)+100</f>
        <v>100</v>
      </c>
      <c r="I30" s="220" t="s">
        <v>2183</v>
      </c>
      <c r="J30" s="177">
        <f>SUMIF(88:88,E30,89:89)-SUMIF(88:88,C30,89:89)+100</f>
        <v>100</v>
      </c>
      <c r="K30" s="310">
        <v>3</v>
      </c>
      <c r="L30" s="317"/>
      <c r="M30" s="304"/>
      <c r="N30" s="304"/>
      <c r="O30" s="316"/>
      <c r="P30" s="3222"/>
      <c r="Q30" s="309" t="str">
        <f t="shared" si="8"/>
        <v>物业等级</v>
      </c>
      <c r="R30" s="376" t="s">
        <v>910</v>
      </c>
      <c r="S30" s="377">
        <f t="shared" si="9"/>
        <v>100</v>
      </c>
      <c r="T30" s="376" t="s">
        <v>910</v>
      </c>
      <c r="U30" s="377">
        <f t="shared" si="10"/>
        <v>100</v>
      </c>
      <c r="V30" s="376" t="s">
        <v>910</v>
      </c>
      <c r="W30" s="377">
        <f t="shared" si="11"/>
        <v>100</v>
      </c>
      <c r="X30" s="371"/>
      <c r="Y30" s="3222"/>
      <c r="Z30" s="370" t="str">
        <f t="shared" si="12"/>
        <v>物业等级</v>
      </c>
      <c r="AA30" s="382">
        <f t="shared" si="3"/>
        <v>1</v>
      </c>
      <c r="AB30" s="382">
        <f t="shared" si="4"/>
        <v>1</v>
      </c>
      <c r="AC30" s="382">
        <f t="shared" si="5"/>
        <v>1</v>
      </c>
    </row>
    <row r="31" spans="1:29" s="122" customFormat="1" ht="15">
      <c r="A31" s="450"/>
      <c r="B31" s="447" t="s">
        <v>2205</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22"/>
      <c r="Q31" s="375" t="str">
        <f t="shared" si="8"/>
        <v>停车位面积</v>
      </c>
      <c r="R31" s="372" t="s">
        <v>910</v>
      </c>
      <c r="S31" s="373">
        <f t="shared" si="9"/>
        <v>100</v>
      </c>
      <c r="T31" s="372" t="s">
        <v>910</v>
      </c>
      <c r="U31" s="373">
        <f t="shared" si="10"/>
        <v>100</v>
      </c>
      <c r="V31" s="372" t="s">
        <v>910</v>
      </c>
      <c r="W31" s="373">
        <f t="shared" si="11"/>
        <v>100</v>
      </c>
      <c r="X31" s="374"/>
      <c r="Y31" s="3222"/>
      <c r="Z31" s="392" t="str">
        <f t="shared" si="12"/>
        <v>停车位面积</v>
      </c>
      <c r="AA31" s="391">
        <f t="shared" si="3"/>
        <v>1</v>
      </c>
      <c r="AB31" s="391">
        <f t="shared" si="4"/>
        <v>1</v>
      </c>
      <c r="AC31" s="391">
        <f t="shared" si="5"/>
        <v>1</v>
      </c>
    </row>
    <row r="32" spans="1:29" ht="15">
      <c r="A32" s="449"/>
      <c r="B32" s="447" t="s">
        <v>2206</v>
      </c>
      <c r="C32" s="219" t="s">
        <v>2207</v>
      </c>
      <c r="D32" s="177">
        <v>100</v>
      </c>
      <c r="E32" s="219" t="s">
        <v>2207</v>
      </c>
      <c r="F32" s="206">
        <f>SUMIF(93:93,E32,94:94)-SUMIF(93:93,C32,94:94)+100</f>
        <v>100</v>
      </c>
      <c r="G32" s="219" t="s">
        <v>2207</v>
      </c>
      <c r="H32" s="177">
        <f>SUMIF(93:93,G32,94:94)-SUMIF(93:93,C32,94:94)+100</f>
        <v>100</v>
      </c>
      <c r="I32" s="219" t="s">
        <v>2282</v>
      </c>
      <c r="J32" s="177">
        <f>SUMIF(93:93,I32,94:94)-SUMIF(93:93,C32,94:94)+100</f>
        <v>100</v>
      </c>
      <c r="K32" s="310">
        <v>5</v>
      </c>
      <c r="L32" s="317"/>
      <c r="M32" s="304"/>
      <c r="N32" s="304"/>
      <c r="O32" s="316"/>
      <c r="P32" s="3222" t="s">
        <v>932</v>
      </c>
      <c r="Q32" s="309" t="str">
        <f t="shared" si="8"/>
        <v>车位类型</v>
      </c>
      <c r="R32" s="376" t="s">
        <v>910</v>
      </c>
      <c r="S32" s="377">
        <f t="shared" si="9"/>
        <v>100</v>
      </c>
      <c r="T32" s="376" t="s">
        <v>910</v>
      </c>
      <c r="U32" s="377">
        <f t="shared" si="10"/>
        <v>100</v>
      </c>
      <c r="V32" s="376" t="s">
        <v>910</v>
      </c>
      <c r="W32" s="377">
        <f t="shared" si="11"/>
        <v>100</v>
      </c>
      <c r="X32" s="371"/>
      <c r="Y32" s="3222" t="s">
        <v>932</v>
      </c>
      <c r="Z32" s="370" t="str">
        <f t="shared" si="12"/>
        <v>车位类型</v>
      </c>
      <c r="AA32" s="382">
        <f t="shared" si="3"/>
        <v>1</v>
      </c>
      <c r="AB32" s="382">
        <f t="shared" si="4"/>
        <v>1</v>
      </c>
      <c r="AC32" s="382">
        <f t="shared" si="5"/>
        <v>1</v>
      </c>
    </row>
    <row r="33" spans="1:29" ht="15">
      <c r="A33" s="449"/>
      <c r="B33" s="447" t="s">
        <v>2208</v>
      </c>
      <c r="C33" s="219" t="s">
        <v>2209</v>
      </c>
      <c r="D33" s="177">
        <v>100</v>
      </c>
      <c r="E33" s="219" t="s">
        <v>377</v>
      </c>
      <c r="F33" s="206">
        <f>SUMIF(95:95,E33,96:96)-SUMIF(95:95,C33,96:96)+100</f>
        <v>100</v>
      </c>
      <c r="G33" s="219" t="s">
        <v>2209</v>
      </c>
      <c r="H33" s="177">
        <f>SUMIF(95:95,G33,96:96)-SUMIF(95:95,C33,96:96)+100</f>
        <v>100</v>
      </c>
      <c r="I33" s="219" t="s">
        <v>377</v>
      </c>
      <c r="J33" s="177">
        <f>SUMIF(95:95,I33,96:96)-SUMIF(95:95,C33,96:96)+100</f>
        <v>100</v>
      </c>
      <c r="K33" s="310">
        <v>1</v>
      </c>
      <c r="L33" s="317"/>
      <c r="M33" s="304"/>
      <c r="N33" s="304"/>
      <c r="O33" s="316"/>
      <c r="P33" s="3222"/>
      <c r="Q33" s="309" t="str">
        <f t="shared" si="8"/>
        <v>是否直接入户</v>
      </c>
      <c r="R33" s="376" t="s">
        <v>910</v>
      </c>
      <c r="S33" s="377">
        <f t="shared" si="9"/>
        <v>100</v>
      </c>
      <c r="T33" s="376" t="s">
        <v>910</v>
      </c>
      <c r="U33" s="377">
        <f t="shared" si="10"/>
        <v>100</v>
      </c>
      <c r="V33" s="376" t="s">
        <v>910</v>
      </c>
      <c r="W33" s="377">
        <f t="shared" si="11"/>
        <v>100</v>
      </c>
      <c r="X33" s="371"/>
      <c r="Y33" s="3222"/>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22"/>
      <c r="Q34" s="309">
        <f t="shared" si="8"/>
        <v>111</v>
      </c>
      <c r="R34" s="376" t="s">
        <v>910</v>
      </c>
      <c r="S34" s="377">
        <f t="shared" si="9"/>
        <v>100</v>
      </c>
      <c r="T34" s="376" t="s">
        <v>910</v>
      </c>
      <c r="U34" s="377">
        <f t="shared" si="10"/>
        <v>100</v>
      </c>
      <c r="V34" s="376" t="s">
        <v>910</v>
      </c>
      <c r="W34" s="377">
        <f t="shared" si="11"/>
        <v>100</v>
      </c>
      <c r="X34" s="371"/>
      <c r="Y34" s="3222"/>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22"/>
      <c r="Q35" s="378">
        <f t="shared" si="8"/>
        <v>111</v>
      </c>
      <c r="R35" s="379" t="s">
        <v>910</v>
      </c>
      <c r="S35" s="380">
        <f t="shared" si="9"/>
        <v>100</v>
      </c>
      <c r="T35" s="379" t="s">
        <v>910</v>
      </c>
      <c r="U35" s="380">
        <f t="shared" si="10"/>
        <v>100</v>
      </c>
      <c r="V35" s="379" t="s">
        <v>910</v>
      </c>
      <c r="W35" s="380">
        <f t="shared" si="11"/>
        <v>100</v>
      </c>
      <c r="X35" s="381"/>
      <c r="Y35" s="3222"/>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22"/>
      <c r="Q36" s="309">
        <f t="shared" si="8"/>
        <v>111</v>
      </c>
      <c r="R36" s="376" t="s">
        <v>910</v>
      </c>
      <c r="S36" s="377">
        <f t="shared" si="9"/>
        <v>100</v>
      </c>
      <c r="T36" s="376" t="s">
        <v>910</v>
      </c>
      <c r="U36" s="377">
        <f t="shared" si="10"/>
        <v>100</v>
      </c>
      <c r="V36" s="376" t="s">
        <v>910</v>
      </c>
      <c r="W36" s="377">
        <f t="shared" si="11"/>
        <v>100</v>
      </c>
      <c r="X36" s="371"/>
      <c r="Y36" s="3222"/>
      <c r="Z36" s="370">
        <f t="shared" si="12"/>
        <v>111</v>
      </c>
      <c r="AA36" s="382">
        <f t="shared" si="3"/>
        <v>1</v>
      </c>
      <c r="AB36" s="382">
        <f t="shared" si="4"/>
        <v>1</v>
      </c>
      <c r="AC36" s="382">
        <f t="shared" si="5"/>
        <v>1</v>
      </c>
    </row>
    <row r="37" spans="1:29" ht="15">
      <c r="A37" s="452" t="s">
        <v>2211</v>
      </c>
      <c r="B37" s="453" t="s">
        <v>1048</v>
      </c>
      <c r="C37" s="230" t="s">
        <v>67</v>
      </c>
      <c r="D37" s="231"/>
      <c r="E37" s="232">
        <v>120000</v>
      </c>
      <c r="F37" s="233"/>
      <c r="G37" s="234">
        <v>125000</v>
      </c>
      <c r="H37" s="235"/>
      <c r="I37" s="232">
        <v>120000</v>
      </c>
      <c r="J37" s="235"/>
      <c r="K37" s="323"/>
      <c r="L37" s="324"/>
      <c r="M37" s="244"/>
      <c r="N37" s="304"/>
      <c r="O37" s="244"/>
      <c r="P37" s="3218" t="str">
        <f>A37</f>
        <v>成交单价</v>
      </c>
      <c r="Q37" s="3218"/>
      <c r="R37" s="3287">
        <f>E37</f>
        <v>120000</v>
      </c>
      <c r="S37" s="3287"/>
      <c r="T37" s="3287">
        <f>G37</f>
        <v>125000</v>
      </c>
      <c r="U37" s="3287"/>
      <c r="V37" s="3287">
        <f>I37</f>
        <v>120000</v>
      </c>
      <c r="W37" s="3287"/>
      <c r="X37" s="255"/>
      <c r="Y37" s="394"/>
      <c r="Z37" s="255"/>
      <c r="AA37" s="255"/>
      <c r="AB37" s="255"/>
      <c r="AC37" s="255"/>
    </row>
    <row r="38" spans="1:29" ht="15">
      <c r="A38" s="454" t="s">
        <v>2212</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18" t="str">
        <f>A38</f>
        <v>比准价格</v>
      </c>
      <c r="Q38" s="3218"/>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255"/>
      <c r="Y38" s="255"/>
      <c r="Z38" s="255"/>
      <c r="AA38" s="255"/>
      <c r="AB38" s="255"/>
      <c r="AC38" s="255"/>
    </row>
    <row r="39" spans="1:29" ht="15">
      <c r="A39" s="241" t="s">
        <v>944</v>
      </c>
      <c r="B39" s="242"/>
      <c r="C39" s="243" t="e">
        <f>R39</f>
        <v>#DIV/0!</v>
      </c>
      <c r="D39" s="243"/>
      <c r="E39" s="243"/>
      <c r="F39" s="243"/>
      <c r="G39" s="243"/>
      <c r="H39" s="243"/>
      <c r="I39" s="243"/>
      <c r="J39" s="243"/>
      <c r="K39" s="326"/>
      <c r="L39" s="324"/>
      <c r="M39" s="244"/>
      <c r="N39" s="244"/>
      <c r="O39" s="244"/>
      <c r="P39" s="3224" t="str">
        <f>A39</f>
        <v>估价对象XX用房的比较价值（楼面单价，元/平方米）</v>
      </c>
      <c r="Q39" s="3225"/>
      <c r="R39" s="3289" t="e">
        <f>IF(F1="售价",ROUND(AVERAGE(R38:V38),0),ROUND(AVERAGE(R38:V38),1))</f>
        <v>#DIV/0!</v>
      </c>
      <c r="S39" s="3289"/>
      <c r="T39" s="3289"/>
      <c r="U39" s="3289"/>
      <c r="V39" s="3289"/>
      <c r="W39" s="3289"/>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945</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946</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947</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969</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908</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982</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911</v>
      </c>
      <c r="B51" s="263"/>
      <c r="C51" s="271" t="s">
        <v>912</v>
      </c>
      <c r="D51" s="272" t="s">
        <v>983</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984</v>
      </c>
      <c r="B53" s="275" t="s">
        <v>915</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918</v>
      </c>
      <c r="C55" s="282" t="s">
        <v>2045</v>
      </c>
      <c r="D55" s="282" t="s">
        <v>2046</v>
      </c>
      <c r="E55" s="282" t="s">
        <v>2047</v>
      </c>
      <c r="F55" s="282" t="s">
        <v>2048</v>
      </c>
      <c r="G55" s="282" t="s">
        <v>2049</v>
      </c>
      <c r="H55" s="282" t="s">
        <v>2050</v>
      </c>
      <c r="I55" s="282" t="s">
        <v>2051</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968</v>
      </c>
      <c r="D56" s="284" t="s">
        <v>968</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922</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2020</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2115</v>
      </c>
      <c r="C71" s="289" t="s">
        <v>2151</v>
      </c>
      <c r="D71" s="289" t="s">
        <v>2213</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933</v>
      </c>
      <c r="B79" s="275" t="s">
        <v>2214</v>
      </c>
      <c r="C79" s="276" t="str">
        <f>C26</f>
        <v>住宅</v>
      </c>
      <c r="D79" s="277" t="s">
        <v>2197</v>
      </c>
      <c r="E79" s="277" t="s">
        <v>2198</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2200</v>
      </c>
      <c r="C81" s="459" t="s">
        <v>2201</v>
      </c>
      <c r="D81" s="459" t="s">
        <v>2215</v>
      </c>
      <c r="E81" s="459" t="s">
        <v>2216</v>
      </c>
      <c r="F81" s="459" t="s">
        <v>2202</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2032</v>
      </c>
      <c r="C83" s="289" t="s">
        <v>2078</v>
      </c>
      <c r="D83" s="289" t="s">
        <v>2191</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2203</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2204</v>
      </c>
      <c r="C88" s="277" t="s">
        <v>2169</v>
      </c>
      <c r="D88" s="277" t="s">
        <v>2170</v>
      </c>
      <c r="E88" s="277" t="s">
        <v>2171</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2205</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2206</v>
      </c>
      <c r="C93" s="289" t="s">
        <v>2217</v>
      </c>
      <c r="D93" s="289" t="s">
        <v>2218</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2208</v>
      </c>
      <c r="C95" s="277" t="s">
        <v>2209</v>
      </c>
      <c r="D95" s="277" t="s">
        <v>2210</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2013</v>
      </c>
      <c r="B1" s="131" t="s">
        <v>2014</v>
      </c>
      <c r="C1" s="132" t="s">
        <v>2015</v>
      </c>
      <c r="D1" s="133" t="s">
        <v>2219</v>
      </c>
      <c r="E1" s="134"/>
      <c r="F1" s="135" t="s">
        <v>2016</v>
      </c>
      <c r="G1" s="136" t="s">
        <v>2017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1818</v>
      </c>
      <c r="B3" s="143">
        <f>C37</f>
        <v>57884</v>
      </c>
      <c r="C3" s="144" t="s">
        <v>2018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06" t="s">
        <v>896</v>
      </c>
      <c r="D4" s="3207"/>
      <c r="E4" s="3250" t="s">
        <v>897</v>
      </c>
      <c r="F4" s="3251"/>
      <c r="G4" s="3206" t="s">
        <v>898</v>
      </c>
      <c r="H4" s="3207"/>
      <c r="I4" s="3206" t="s">
        <v>899</v>
      </c>
      <c r="J4" s="3207"/>
      <c r="K4" s="302" t="s">
        <v>900</v>
      </c>
      <c r="L4" s="303"/>
      <c r="M4" s="304"/>
      <c r="N4" s="304"/>
      <c r="O4" s="304"/>
      <c r="P4" s="3235" t="s">
        <v>901</v>
      </c>
      <c r="Q4" s="3236"/>
      <c r="R4" s="3241" t="s">
        <v>897</v>
      </c>
      <c r="S4" s="3242"/>
      <c r="T4" s="3241" t="s">
        <v>898</v>
      </c>
      <c r="U4" s="3242"/>
      <c r="V4" s="3227" t="s">
        <v>899</v>
      </c>
      <c r="W4" s="3227"/>
      <c r="X4" s="371"/>
      <c r="Y4" s="3241" t="s">
        <v>901</v>
      </c>
      <c r="Z4" s="3242"/>
      <c r="AA4" s="3228" t="s">
        <v>897</v>
      </c>
      <c r="AB4" s="3229" t="s">
        <v>898</v>
      </c>
      <c r="AC4" s="3228" t="s">
        <v>899</v>
      </c>
    </row>
    <row r="5" spans="1:29" ht="15">
      <c r="A5" s="148"/>
      <c r="B5" s="149"/>
      <c r="C5" s="3208" t="s">
        <v>902</v>
      </c>
      <c r="D5" s="3209"/>
      <c r="E5" s="3252" t="s">
        <v>903</v>
      </c>
      <c r="F5" s="3253"/>
      <c r="G5" s="3208" t="s">
        <v>904</v>
      </c>
      <c r="H5" s="3209"/>
      <c r="I5" s="3208" t="s">
        <v>905</v>
      </c>
      <c r="J5" s="3209"/>
      <c r="K5" s="302"/>
      <c r="L5" s="303"/>
      <c r="M5" s="304"/>
      <c r="N5" s="304"/>
      <c r="O5" s="304"/>
      <c r="P5" s="3237"/>
      <c r="Q5" s="3238"/>
      <c r="R5" s="3243"/>
      <c r="S5" s="3244"/>
      <c r="T5" s="3243"/>
      <c r="U5" s="3244"/>
      <c r="V5" s="3227"/>
      <c r="W5" s="3227"/>
      <c r="X5" s="371"/>
      <c r="Y5" s="3243"/>
      <c r="Z5" s="3244"/>
      <c r="AA5" s="3229"/>
      <c r="AB5" s="3229"/>
      <c r="AC5" s="3229"/>
    </row>
    <row r="6" spans="1:29" ht="15">
      <c r="A6" s="150"/>
      <c r="B6" s="151"/>
      <c r="C6" s="3254" t="s">
        <v>906</v>
      </c>
      <c r="D6" s="3214"/>
      <c r="E6" s="3255" t="s">
        <v>906</v>
      </c>
      <c r="F6" s="3256"/>
      <c r="G6" s="3254" t="s">
        <v>906</v>
      </c>
      <c r="H6" s="3214"/>
      <c r="I6" s="3254" t="s">
        <v>906</v>
      </c>
      <c r="J6" s="3214"/>
      <c r="K6" s="302" t="s">
        <v>907</v>
      </c>
      <c r="L6" s="303"/>
      <c r="M6" s="304"/>
      <c r="N6" s="304"/>
      <c r="O6" s="304"/>
      <c r="P6" s="3239"/>
      <c r="Q6" s="3240"/>
      <c r="R6" s="3243"/>
      <c r="S6" s="3244"/>
      <c r="T6" s="3245"/>
      <c r="U6" s="3246"/>
      <c r="V6" s="3227"/>
      <c r="W6" s="3227"/>
      <c r="X6" s="371"/>
      <c r="Y6" s="3245"/>
      <c r="Z6" s="3246"/>
      <c r="AA6" s="3230"/>
      <c r="AB6" s="3230"/>
      <c r="AC6" s="3230"/>
    </row>
    <row r="7" spans="1:29" s="122" customFormat="1" ht="15">
      <c r="A7" s="152" t="s">
        <v>908</v>
      </c>
      <c r="B7" s="153"/>
      <c r="C7" s="154">
        <f>'数据-取费表'!B2</f>
        <v>43041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48" t="s">
        <v>909</v>
      </c>
      <c r="Q7" s="3257"/>
      <c r="R7" s="372" t="s">
        <v>910</v>
      </c>
      <c r="S7" s="373">
        <f t="shared" ref="S7:S14" si="0">F7</f>
        <v>97.5</v>
      </c>
      <c r="T7" s="372" t="s">
        <v>910</v>
      </c>
      <c r="U7" s="373">
        <f t="shared" ref="U7:U14" si="1">H7</f>
        <v>96</v>
      </c>
      <c r="V7" s="372" t="s">
        <v>910</v>
      </c>
      <c r="W7" s="373">
        <f t="shared" ref="W7:W14" si="2">J7</f>
        <v>97</v>
      </c>
      <c r="X7" s="374"/>
      <c r="Y7" s="3248" t="s">
        <v>909</v>
      </c>
      <c r="Z7" s="3249"/>
      <c r="AA7" s="391">
        <f>D7/F7</f>
        <v>1.0256410256410255</v>
      </c>
      <c r="AB7" s="391">
        <f>D7/H7</f>
        <v>1.0416666666666667</v>
      </c>
      <c r="AC7" s="391">
        <f>D7/J7</f>
        <v>1.0309278350515463</v>
      </c>
    </row>
    <row r="8" spans="1:29" s="122" customFormat="1" ht="15">
      <c r="A8" s="152" t="s">
        <v>911</v>
      </c>
      <c r="B8" s="153"/>
      <c r="C8" s="159" t="s">
        <v>912</v>
      </c>
      <c r="D8" s="155">
        <v>100</v>
      </c>
      <c r="E8" s="159" t="s">
        <v>983</v>
      </c>
      <c r="F8" s="157">
        <f>SUMIF(49:49,E8,50:50)-SUMIF(49:49,C8,50:50)+100</f>
        <v>95</v>
      </c>
      <c r="G8" s="159" t="s">
        <v>912</v>
      </c>
      <c r="H8" s="155">
        <f>SUMIF(49:49,G8,50:50)-SUMIF(49:49,C8,50:50)+100</f>
        <v>100</v>
      </c>
      <c r="I8" s="159" t="s">
        <v>912</v>
      </c>
      <c r="J8" s="155">
        <f>SUMIF(49:49,I8,50:50)-SUMIF(49:49,C8,50:50)+100</f>
        <v>100</v>
      </c>
      <c r="K8" s="305"/>
      <c r="L8" s="306"/>
      <c r="M8" s="307"/>
      <c r="N8" s="307"/>
      <c r="O8" s="307"/>
      <c r="P8" s="3248" t="s">
        <v>913</v>
      </c>
      <c r="Q8" s="3249"/>
      <c r="R8" s="372" t="s">
        <v>910</v>
      </c>
      <c r="S8" s="373">
        <f t="shared" si="0"/>
        <v>95</v>
      </c>
      <c r="T8" s="372" t="s">
        <v>910</v>
      </c>
      <c r="U8" s="373">
        <f t="shared" si="1"/>
        <v>100</v>
      </c>
      <c r="V8" s="372" t="s">
        <v>910</v>
      </c>
      <c r="W8" s="373">
        <f t="shared" si="2"/>
        <v>100</v>
      </c>
      <c r="X8" s="374"/>
      <c r="Y8" s="3248" t="s">
        <v>913</v>
      </c>
      <c r="Z8" s="3249"/>
      <c r="AA8" s="391">
        <f t="shared" ref="AA8:AA34" si="3">D8/F8</f>
        <v>1.0526315789473684</v>
      </c>
      <c r="AB8" s="391">
        <f t="shared" ref="AB8:AB34" si="4">D8/H8</f>
        <v>1</v>
      </c>
      <c r="AC8" s="391">
        <f t="shared" ref="AC8:AC34" si="5">D8/J8</f>
        <v>1</v>
      </c>
    </row>
    <row r="9" spans="1:29" s="122" customFormat="1">
      <c r="A9" s="160" t="s">
        <v>914</v>
      </c>
      <c r="B9" s="161" t="s">
        <v>915</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18" t="s">
        <v>916</v>
      </c>
      <c r="Q9" s="375" t="str">
        <f t="shared" ref="Q9:Q14" si="6">B9</f>
        <v>用途</v>
      </c>
      <c r="R9" s="372" t="s">
        <v>910</v>
      </c>
      <c r="S9" s="373">
        <f t="shared" si="0"/>
        <v>100</v>
      </c>
      <c r="T9" s="372" t="s">
        <v>910</v>
      </c>
      <c r="U9" s="373">
        <f t="shared" si="1"/>
        <v>100</v>
      </c>
      <c r="V9" s="372" t="s">
        <v>910</v>
      </c>
      <c r="W9" s="373">
        <f t="shared" si="2"/>
        <v>100</v>
      </c>
      <c r="X9" s="374"/>
      <c r="Y9" s="3201" t="s">
        <v>917</v>
      </c>
      <c r="Z9" s="392" t="str">
        <f t="shared" ref="Z9:Z14" si="7">Q9</f>
        <v>用途</v>
      </c>
      <c r="AA9" s="391">
        <f t="shared" si="3"/>
        <v>1</v>
      </c>
      <c r="AB9" s="391">
        <f t="shared" si="4"/>
        <v>1</v>
      </c>
      <c r="AC9" s="391">
        <f t="shared" si="5"/>
        <v>1</v>
      </c>
    </row>
    <row r="10" spans="1:29" s="123" customFormat="1" ht="27">
      <c r="A10" s="165"/>
      <c r="B10" s="166" t="s">
        <v>918</v>
      </c>
      <c r="C10" s="167" t="s">
        <v>2158</v>
      </c>
      <c r="D10" s="168">
        <v>100</v>
      </c>
      <c r="E10" s="167" t="s">
        <v>2106</v>
      </c>
      <c r="F10" s="168">
        <f>SUMIF(53:53,E10,54:54)-SUMIF(53:53,C10,54:54)+100</f>
        <v>97</v>
      </c>
      <c r="G10" s="169" t="s">
        <v>2107</v>
      </c>
      <c r="H10" s="168">
        <f>SUMIF(53:53,G10,54:54)-SUMIF(53:53,C10,54:54)+100</f>
        <v>94</v>
      </c>
      <c r="I10" s="167" t="s">
        <v>2108</v>
      </c>
      <c r="J10" s="168">
        <f>SUMIF(53:53,I10,54:54)-SUMIF(53:53,C10,54:54)+100</f>
        <v>91</v>
      </c>
      <c r="K10" s="310">
        <v>3</v>
      </c>
      <c r="L10" s="311"/>
      <c r="M10" s="312"/>
      <c r="N10" s="312"/>
      <c r="O10" s="313"/>
      <c r="P10" s="3218"/>
      <c r="Q10" s="375" t="str">
        <f t="shared" si="6"/>
        <v>土地使用年限（年）</v>
      </c>
      <c r="R10" s="372" t="s">
        <v>910</v>
      </c>
      <c r="S10" s="373">
        <f t="shared" si="0"/>
        <v>97</v>
      </c>
      <c r="T10" s="372" t="s">
        <v>910</v>
      </c>
      <c r="U10" s="373">
        <f t="shared" si="1"/>
        <v>94</v>
      </c>
      <c r="V10" s="372" t="s">
        <v>910</v>
      </c>
      <c r="W10" s="373">
        <f t="shared" si="2"/>
        <v>91</v>
      </c>
      <c r="X10" s="374"/>
      <c r="Y10" s="3201"/>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18"/>
      <c r="Q11" s="375">
        <f t="shared" si="6"/>
        <v>111</v>
      </c>
      <c r="R11" s="372" t="s">
        <v>910</v>
      </c>
      <c r="S11" s="373">
        <f t="shared" si="0"/>
        <v>99</v>
      </c>
      <c r="T11" s="372" t="s">
        <v>910</v>
      </c>
      <c r="U11" s="373">
        <f t="shared" si="1"/>
        <v>98</v>
      </c>
      <c r="V11" s="372" t="s">
        <v>910</v>
      </c>
      <c r="W11" s="373">
        <f t="shared" si="2"/>
        <v>97</v>
      </c>
      <c r="X11" s="374"/>
      <c r="Y11" s="3201"/>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18"/>
      <c r="Q12" s="375">
        <f t="shared" si="6"/>
        <v>111</v>
      </c>
      <c r="R12" s="372" t="s">
        <v>910</v>
      </c>
      <c r="S12" s="373">
        <f t="shared" si="0"/>
        <v>98</v>
      </c>
      <c r="T12" s="372" t="s">
        <v>910</v>
      </c>
      <c r="U12" s="373">
        <f t="shared" si="1"/>
        <v>96</v>
      </c>
      <c r="V12" s="372" t="s">
        <v>910</v>
      </c>
      <c r="W12" s="373">
        <f t="shared" si="2"/>
        <v>94</v>
      </c>
      <c r="X12" s="374"/>
      <c r="Y12" s="3201"/>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18"/>
      <c r="Q13" s="375">
        <f t="shared" si="6"/>
        <v>111</v>
      </c>
      <c r="R13" s="372" t="s">
        <v>910</v>
      </c>
      <c r="S13" s="373">
        <f t="shared" si="0"/>
        <v>97</v>
      </c>
      <c r="T13" s="372" t="s">
        <v>910</v>
      </c>
      <c r="U13" s="373">
        <f t="shared" si="1"/>
        <v>94</v>
      </c>
      <c r="V13" s="372" t="s">
        <v>910</v>
      </c>
      <c r="W13" s="373">
        <f t="shared" si="2"/>
        <v>91</v>
      </c>
      <c r="X13" s="374"/>
      <c r="Y13" s="3201"/>
      <c r="Z13" s="392">
        <f t="shared" si="7"/>
        <v>111</v>
      </c>
      <c r="AA13" s="391">
        <f t="shared" si="3"/>
        <v>1.0309278350515463</v>
      </c>
      <c r="AB13" s="391">
        <f t="shared" si="4"/>
        <v>1.0638297872340425</v>
      </c>
      <c r="AC13" s="391">
        <f t="shared" si="5"/>
        <v>1.098901098901099</v>
      </c>
    </row>
    <row r="14" spans="1:29" ht="199.5">
      <c r="A14" s="178" t="s">
        <v>922</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19" t="s">
        <v>923</v>
      </c>
      <c r="Q14" s="309" t="str">
        <f t="shared" si="6"/>
        <v>交通便捷度</v>
      </c>
      <c r="R14" s="376" t="s">
        <v>910</v>
      </c>
      <c r="S14" s="377">
        <f t="shared" si="0"/>
        <v>102</v>
      </c>
      <c r="T14" s="376" t="s">
        <v>910</v>
      </c>
      <c r="U14" s="377">
        <f t="shared" si="1"/>
        <v>98</v>
      </c>
      <c r="V14" s="376" t="s">
        <v>910</v>
      </c>
      <c r="W14" s="377">
        <f t="shared" si="2"/>
        <v>96</v>
      </c>
      <c r="X14" s="371"/>
      <c r="Y14" s="3219" t="s">
        <v>923</v>
      </c>
      <c r="Z14" s="370" t="str">
        <f t="shared" si="7"/>
        <v>交通便捷度</v>
      </c>
      <c r="AA14" s="382">
        <f t="shared" si="3"/>
        <v>0.98039215686274506</v>
      </c>
      <c r="AB14" s="382">
        <f t="shared" si="4"/>
        <v>1.0204081632653061</v>
      </c>
      <c r="AC14" s="382">
        <f t="shared" si="5"/>
        <v>1.0416666666666667</v>
      </c>
    </row>
    <row r="15" spans="1:29" ht="15">
      <c r="A15" s="170"/>
      <c r="B15" s="185"/>
      <c r="C15" s="186" t="s">
        <v>1011</v>
      </c>
      <c r="D15" s="187"/>
      <c r="E15" s="186" t="s">
        <v>1016</v>
      </c>
      <c r="F15" s="188"/>
      <c r="G15" s="186" t="s">
        <v>1012</v>
      </c>
      <c r="H15" s="189"/>
      <c r="I15" s="186" t="s">
        <v>1013</v>
      </c>
      <c r="J15" s="187"/>
      <c r="K15" s="319"/>
      <c r="L15" s="317"/>
      <c r="M15" s="304"/>
      <c r="N15" s="304"/>
      <c r="O15" s="316"/>
      <c r="P15" s="3220"/>
      <c r="Q15" s="309"/>
      <c r="R15" s="376"/>
      <c r="S15" s="377"/>
      <c r="T15" s="376"/>
      <c r="U15" s="377"/>
      <c r="V15" s="376"/>
      <c r="W15" s="377"/>
      <c r="X15" s="371"/>
      <c r="Y15" s="3220"/>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20"/>
      <c r="Q16" s="309" t="str">
        <f>B16</f>
        <v>公共配套设施</v>
      </c>
      <c r="R16" s="376" t="s">
        <v>910</v>
      </c>
      <c r="S16" s="377">
        <f>F16</f>
        <v>98</v>
      </c>
      <c r="T16" s="376" t="s">
        <v>910</v>
      </c>
      <c r="U16" s="377">
        <f>H16</f>
        <v>96</v>
      </c>
      <c r="V16" s="376" t="s">
        <v>910</v>
      </c>
      <c r="W16" s="377">
        <f>J16</f>
        <v>102</v>
      </c>
      <c r="X16" s="371"/>
      <c r="Y16" s="3220"/>
      <c r="Z16" s="370" t="str">
        <f>Q16</f>
        <v>公共配套设施</v>
      </c>
      <c r="AA16" s="382">
        <f t="shared" si="3"/>
        <v>1.0204081632653061</v>
      </c>
      <c r="AB16" s="382">
        <f t="shared" si="4"/>
        <v>1.0416666666666667</v>
      </c>
      <c r="AC16" s="382">
        <f t="shared" si="5"/>
        <v>0.98039215686274506</v>
      </c>
    </row>
    <row r="17" spans="1:29" ht="15">
      <c r="A17" s="170"/>
      <c r="B17" s="196"/>
      <c r="C17" s="197" t="s">
        <v>1016</v>
      </c>
      <c r="D17" s="187"/>
      <c r="E17" s="186" t="s">
        <v>1011</v>
      </c>
      <c r="F17" s="188"/>
      <c r="G17" s="186" t="s">
        <v>1012</v>
      </c>
      <c r="H17" s="187"/>
      <c r="I17" s="186" t="s">
        <v>1018</v>
      </c>
      <c r="J17" s="187"/>
      <c r="K17" s="319"/>
      <c r="L17" s="317"/>
      <c r="M17" s="304"/>
      <c r="N17" s="304"/>
      <c r="O17" s="316"/>
      <c r="P17" s="3220"/>
      <c r="Q17" s="309"/>
      <c r="R17" s="376"/>
      <c r="S17" s="377"/>
      <c r="T17" s="376"/>
      <c r="U17" s="377"/>
      <c r="V17" s="376"/>
      <c r="W17" s="377"/>
      <c r="X17" s="371"/>
      <c r="Y17" s="3220"/>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20"/>
      <c r="Q18" s="309" t="str">
        <f>B18</f>
        <v>基础设施水平</v>
      </c>
      <c r="R18" s="376" t="s">
        <v>910</v>
      </c>
      <c r="S18" s="377">
        <f>F18</f>
        <v>99</v>
      </c>
      <c r="T18" s="376" t="s">
        <v>910</v>
      </c>
      <c r="U18" s="377">
        <f>H18</f>
        <v>98</v>
      </c>
      <c r="V18" s="376" t="s">
        <v>910</v>
      </c>
      <c r="W18" s="377">
        <f>J18</f>
        <v>97</v>
      </c>
      <c r="X18" s="371"/>
      <c r="Y18" s="3220"/>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20"/>
      <c r="Q19" s="309"/>
      <c r="R19" s="376"/>
      <c r="S19" s="377"/>
      <c r="T19" s="376"/>
      <c r="U19" s="377"/>
      <c r="V19" s="376"/>
      <c r="W19" s="377"/>
      <c r="X19" s="371"/>
      <c r="Y19" s="3220"/>
      <c r="Z19" s="370"/>
      <c r="AA19" s="382">
        <v>1</v>
      </c>
      <c r="AB19" s="382">
        <v>1</v>
      </c>
      <c r="AC19" s="382">
        <v>1</v>
      </c>
    </row>
    <row r="20" spans="1:29" ht="213.75">
      <c r="A20" s="170"/>
      <c r="B20" s="203" t="s">
        <v>2020</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20"/>
      <c r="Q20" s="309" t="str">
        <f>B20</f>
        <v>自然及人文环境</v>
      </c>
      <c r="R20" s="376" t="s">
        <v>910</v>
      </c>
      <c r="S20" s="377">
        <f>F20</f>
        <v>97</v>
      </c>
      <c r="T20" s="376" t="s">
        <v>910</v>
      </c>
      <c r="U20" s="377">
        <f>H20</f>
        <v>103</v>
      </c>
      <c r="V20" s="376" t="s">
        <v>910</v>
      </c>
      <c r="W20" s="377">
        <f>J20</f>
        <v>106</v>
      </c>
      <c r="X20" s="371"/>
      <c r="Y20" s="3220"/>
      <c r="Z20" s="370" t="str">
        <f>Q20</f>
        <v>自然及人文环境</v>
      </c>
      <c r="AA20" s="382">
        <f t="shared" si="3"/>
        <v>1.0309278350515463</v>
      </c>
      <c r="AB20" s="382">
        <f t="shared" si="4"/>
        <v>0.970873786407767</v>
      </c>
      <c r="AC20" s="382">
        <f t="shared" si="5"/>
        <v>0.94339622641509435</v>
      </c>
    </row>
    <row r="21" spans="1:29" ht="15">
      <c r="A21" s="170"/>
      <c r="B21" s="204"/>
      <c r="C21" s="186" t="s">
        <v>1011</v>
      </c>
      <c r="D21" s="187"/>
      <c r="E21" s="186" t="s">
        <v>1012</v>
      </c>
      <c r="F21" s="188"/>
      <c r="G21" s="186" t="s">
        <v>1016</v>
      </c>
      <c r="H21" s="187"/>
      <c r="I21" s="186" t="s">
        <v>1018</v>
      </c>
      <c r="J21" s="187"/>
      <c r="K21" s="319"/>
      <c r="L21" s="317"/>
      <c r="M21" s="304"/>
      <c r="N21" s="304"/>
      <c r="O21" s="316"/>
      <c r="P21" s="3220"/>
      <c r="Q21" s="309"/>
      <c r="R21" s="376"/>
      <c r="S21" s="377"/>
      <c r="T21" s="376"/>
      <c r="U21" s="377"/>
      <c r="V21" s="376"/>
      <c r="W21" s="377"/>
      <c r="X21" s="371"/>
      <c r="Y21" s="3220"/>
      <c r="Z21" s="370"/>
      <c r="AA21" s="382">
        <v>1</v>
      </c>
      <c r="AB21" s="382">
        <v>1</v>
      </c>
      <c r="AC21" s="382">
        <v>1</v>
      </c>
    </row>
    <row r="22" spans="1:29" ht="15">
      <c r="A22" s="170"/>
      <c r="B22" s="203" t="s">
        <v>2115</v>
      </c>
      <c r="C22" s="205" t="s">
        <v>2118</v>
      </c>
      <c r="D22" s="189">
        <v>100</v>
      </c>
      <c r="E22" s="205" t="s">
        <v>2195</v>
      </c>
      <c r="F22" s="206">
        <f>SUMIF(69:69,E22,70:70)-SUMIF(69:69,C22,70:70)+100</f>
        <v>98</v>
      </c>
      <c r="G22" s="205" t="s">
        <v>2195</v>
      </c>
      <c r="H22" s="177">
        <f>SUMIF(69:69,G22,70:70)-SUMIF(69:69,C22,70:70)+100</f>
        <v>98</v>
      </c>
      <c r="I22" s="205" t="s">
        <v>2118</v>
      </c>
      <c r="J22" s="177">
        <f>SUMIF(69:69,I22,70:70)-SUMIF(69:69,C22,70:70)+100</f>
        <v>100</v>
      </c>
      <c r="K22" s="310">
        <v>2</v>
      </c>
      <c r="L22" s="317"/>
      <c r="M22" s="304"/>
      <c r="N22" s="304"/>
      <c r="O22" s="316"/>
      <c r="P22" s="3220"/>
      <c r="Q22" s="309" t="str">
        <f>B22</f>
        <v>楼层</v>
      </c>
      <c r="R22" s="376" t="s">
        <v>910</v>
      </c>
      <c r="S22" s="377">
        <f>F22</f>
        <v>98</v>
      </c>
      <c r="T22" s="376" t="s">
        <v>910</v>
      </c>
      <c r="U22" s="377">
        <f>H22</f>
        <v>98</v>
      </c>
      <c r="V22" s="376" t="s">
        <v>910</v>
      </c>
      <c r="W22" s="377">
        <f>J22</f>
        <v>100</v>
      </c>
      <c r="X22" s="371"/>
      <c r="Y22" s="3220"/>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20"/>
      <c r="Q23" s="309">
        <f>B23</f>
        <v>111</v>
      </c>
      <c r="R23" s="376" t="s">
        <v>910</v>
      </c>
      <c r="S23" s="377">
        <f>F23</f>
        <v>99</v>
      </c>
      <c r="T23" s="376" t="s">
        <v>910</v>
      </c>
      <c r="U23" s="377">
        <f>H23</f>
        <v>98</v>
      </c>
      <c r="V23" s="376" t="s">
        <v>910</v>
      </c>
      <c r="W23" s="377">
        <f>J23</f>
        <v>97</v>
      </c>
      <c r="X23" s="371"/>
      <c r="Y23" s="3220"/>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20"/>
      <c r="Q24" s="309">
        <f t="shared" ref="Q24:Q34" si="8">B24</f>
        <v>111</v>
      </c>
      <c r="R24" s="376" t="s">
        <v>910</v>
      </c>
      <c r="S24" s="377">
        <f>F24</f>
        <v>98</v>
      </c>
      <c r="T24" s="376" t="s">
        <v>910</v>
      </c>
      <c r="U24" s="377">
        <f>H24</f>
        <v>96</v>
      </c>
      <c r="V24" s="376" t="s">
        <v>910</v>
      </c>
      <c r="W24" s="377">
        <f>J24</f>
        <v>94</v>
      </c>
      <c r="X24" s="371"/>
      <c r="Y24" s="3220"/>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20"/>
      <c r="Q25" s="375">
        <f t="shared" si="8"/>
        <v>111</v>
      </c>
      <c r="R25" s="372" t="s">
        <v>910</v>
      </c>
      <c r="S25" s="373">
        <f>F25</f>
        <v>97</v>
      </c>
      <c r="T25" s="372" t="s">
        <v>910</v>
      </c>
      <c r="U25" s="373">
        <f>H25</f>
        <v>94</v>
      </c>
      <c r="V25" s="372" t="s">
        <v>910</v>
      </c>
      <c r="W25" s="373">
        <f>J25</f>
        <v>91</v>
      </c>
      <c r="X25" s="374"/>
      <c r="Y25" s="3220"/>
      <c r="Z25" s="392">
        <f>Q25</f>
        <v>111</v>
      </c>
      <c r="AA25" s="382">
        <f t="shared" si="3"/>
        <v>1.0309278350515463</v>
      </c>
      <c r="AB25" s="382">
        <f t="shared" si="4"/>
        <v>1.0638297872340425</v>
      </c>
      <c r="AC25" s="382">
        <f t="shared" si="5"/>
        <v>1.098901098901099</v>
      </c>
    </row>
    <row r="26" spans="1:29" ht="15">
      <c r="A26" s="210" t="s">
        <v>933</v>
      </c>
      <c r="B26" s="161" t="s">
        <v>2032</v>
      </c>
      <c r="C26" s="211" t="s">
        <v>2125</v>
      </c>
      <c r="D26" s="212">
        <v>100</v>
      </c>
      <c r="E26" s="211" t="s">
        <v>2189</v>
      </c>
      <c r="F26" s="213">
        <f>SUMIF(77:77,E26,78:78)-SUMIF(77:77,C26,78:78)+100</f>
        <v>97</v>
      </c>
      <c r="G26" s="211" t="s">
        <v>2125</v>
      </c>
      <c r="H26" s="212">
        <f>SUMIF(77:77,G26,78:78)-SUMIF(77:77,C26,78:78)+100</f>
        <v>100</v>
      </c>
      <c r="I26" s="211" t="s">
        <v>2189</v>
      </c>
      <c r="J26" s="212">
        <f>SUMIF(77:77,I26,78:78)-SUMIF(77:77,C26,78:78)+100</f>
        <v>97</v>
      </c>
      <c r="K26" s="310">
        <v>3</v>
      </c>
      <c r="L26" s="317"/>
      <c r="M26" s="304"/>
      <c r="N26" s="304"/>
      <c r="O26" s="316"/>
      <c r="P26" s="3221" t="s">
        <v>932</v>
      </c>
      <c r="Q26" s="309" t="str">
        <f t="shared" si="8"/>
        <v>公共部分装修</v>
      </c>
      <c r="R26" s="376" t="s">
        <v>910</v>
      </c>
      <c r="S26" s="377">
        <f t="shared" ref="S26:S34" si="9">F26</f>
        <v>97</v>
      </c>
      <c r="T26" s="376" t="s">
        <v>910</v>
      </c>
      <c r="U26" s="377">
        <f t="shared" ref="U26:U34" si="10">H26</f>
        <v>100</v>
      </c>
      <c r="V26" s="376" t="s">
        <v>910</v>
      </c>
      <c r="W26" s="377">
        <f t="shared" ref="W26:W34" si="11">J26</f>
        <v>97</v>
      </c>
      <c r="X26" s="371"/>
      <c r="Y26" s="3222" t="s">
        <v>932</v>
      </c>
      <c r="Z26" s="370" t="str">
        <f t="shared" ref="Z26:Z34" si="12">Q26</f>
        <v>公共部分装修</v>
      </c>
      <c r="AA26" s="382">
        <f t="shared" si="3"/>
        <v>1.0309278350515463</v>
      </c>
      <c r="AB26" s="382">
        <f t="shared" si="4"/>
        <v>1</v>
      </c>
      <c r="AC26" s="382">
        <f t="shared" si="5"/>
        <v>1.0309278350515463</v>
      </c>
    </row>
    <row r="27" spans="1:29" s="124" customFormat="1" ht="15">
      <c r="A27" s="214"/>
      <c r="B27" s="166" t="s">
        <v>2203</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22"/>
      <c r="Q27" s="378" t="str">
        <f t="shared" si="8"/>
        <v>成新率</v>
      </c>
      <c r="R27" s="379" t="s">
        <v>910</v>
      </c>
      <c r="S27" s="380">
        <f t="shared" si="9"/>
        <v>102</v>
      </c>
      <c r="T27" s="379" t="s">
        <v>910</v>
      </c>
      <c r="U27" s="380">
        <f t="shared" si="10"/>
        <v>102</v>
      </c>
      <c r="V27" s="379" t="s">
        <v>910</v>
      </c>
      <c r="W27" s="380">
        <f t="shared" si="11"/>
        <v>100</v>
      </c>
      <c r="X27" s="381"/>
      <c r="Y27" s="3222"/>
      <c r="Z27" s="393" t="str">
        <f t="shared" si="12"/>
        <v>成新率</v>
      </c>
      <c r="AA27" s="382">
        <f t="shared" si="3"/>
        <v>0.98039215686274506</v>
      </c>
      <c r="AB27" s="382">
        <f t="shared" si="4"/>
        <v>0.98039215686274506</v>
      </c>
      <c r="AC27" s="382">
        <f t="shared" si="5"/>
        <v>1</v>
      </c>
    </row>
    <row r="28" spans="1:29" ht="15">
      <c r="A28" s="218"/>
      <c r="B28" s="166" t="s">
        <v>2204</v>
      </c>
      <c r="C28" s="219" t="s">
        <v>2169</v>
      </c>
      <c r="D28" s="177">
        <v>100</v>
      </c>
      <c r="E28" s="219" t="s">
        <v>2171</v>
      </c>
      <c r="F28" s="206">
        <f>SUMIF(82:82,E28,83:83)-SUMIF(82:82,C28,83:83)+100</f>
        <v>94</v>
      </c>
      <c r="G28" s="219" t="s">
        <v>2170</v>
      </c>
      <c r="H28" s="177">
        <f>SUMIF(82:82,G28,83:83)-SUMIF(82:82,C28,83:83)+100</f>
        <v>97</v>
      </c>
      <c r="I28" s="219" t="s">
        <v>2169</v>
      </c>
      <c r="J28" s="177">
        <f>SUMIF(82:82,I28,83:83)-SUMIF(82:82,C28,83:83)+100</f>
        <v>100</v>
      </c>
      <c r="K28" s="310">
        <v>3</v>
      </c>
      <c r="L28" s="317"/>
      <c r="M28" s="304"/>
      <c r="N28" s="304"/>
      <c r="O28" s="316"/>
      <c r="P28" s="3222"/>
      <c r="Q28" s="309" t="str">
        <f t="shared" si="8"/>
        <v>物业等级</v>
      </c>
      <c r="R28" s="376" t="s">
        <v>910</v>
      </c>
      <c r="S28" s="377">
        <f t="shared" si="9"/>
        <v>94</v>
      </c>
      <c r="T28" s="376" t="s">
        <v>910</v>
      </c>
      <c r="U28" s="377">
        <f t="shared" si="10"/>
        <v>97</v>
      </c>
      <c r="V28" s="376" t="s">
        <v>910</v>
      </c>
      <c r="W28" s="377">
        <f t="shared" si="11"/>
        <v>100</v>
      </c>
      <c r="X28" s="371"/>
      <c r="Y28" s="3222"/>
      <c r="Z28" s="370" t="str">
        <f t="shared" si="12"/>
        <v>物业等级</v>
      </c>
      <c r="AA28" s="382">
        <f t="shared" si="3"/>
        <v>1.0638297872340425</v>
      </c>
      <c r="AB28" s="382">
        <f t="shared" si="4"/>
        <v>1.0309278350515463</v>
      </c>
      <c r="AC28" s="382">
        <f t="shared" si="5"/>
        <v>1</v>
      </c>
    </row>
    <row r="29" spans="1:29" ht="15">
      <c r="A29" s="218"/>
      <c r="B29" s="166" t="s">
        <v>2220</v>
      </c>
      <c r="C29" s="220" t="s">
        <v>2221</v>
      </c>
      <c r="D29" s="177">
        <v>100</v>
      </c>
      <c r="E29" s="220" t="s">
        <v>2222</v>
      </c>
      <c r="F29" s="206">
        <f>SUMIF(84:84,E29,85:85)-SUMIF(84:84,C29,85:85)+100</f>
        <v>98</v>
      </c>
      <c r="G29" s="220" t="s">
        <v>2221</v>
      </c>
      <c r="H29" s="177">
        <f>SUMIF(84:84,G29,85:85)-SUMIF(84:84,C29,85:85)+100</f>
        <v>100</v>
      </c>
      <c r="I29" s="220" t="s">
        <v>2222</v>
      </c>
      <c r="J29" s="177">
        <f>SUMIF(84:84,I29,85:85)-SUMIF(84:84,C29,85:85)+100</f>
        <v>98</v>
      </c>
      <c r="K29" s="310">
        <v>2</v>
      </c>
      <c r="L29" s="317"/>
      <c r="M29" s="304"/>
      <c r="N29" s="304"/>
      <c r="O29" s="316"/>
      <c r="P29" s="3222"/>
      <c r="Q29" s="309" t="str">
        <f t="shared" si="8"/>
        <v>有无电梯</v>
      </c>
      <c r="R29" s="376" t="s">
        <v>910</v>
      </c>
      <c r="S29" s="377">
        <f t="shared" si="9"/>
        <v>98</v>
      </c>
      <c r="T29" s="376" t="s">
        <v>910</v>
      </c>
      <c r="U29" s="377">
        <f t="shared" si="10"/>
        <v>100</v>
      </c>
      <c r="V29" s="376" t="s">
        <v>910</v>
      </c>
      <c r="W29" s="377">
        <f t="shared" si="11"/>
        <v>98</v>
      </c>
      <c r="X29" s="371"/>
      <c r="Y29" s="3222"/>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22"/>
      <c r="Q30" s="309" t="str">
        <f t="shared" si="8"/>
        <v>建筑面积</v>
      </c>
      <c r="R30" s="376" t="s">
        <v>910</v>
      </c>
      <c r="S30" s="377">
        <f t="shared" si="9"/>
        <v>96</v>
      </c>
      <c r="T30" s="376" t="s">
        <v>910</v>
      </c>
      <c r="U30" s="377">
        <f t="shared" si="10"/>
        <v>98</v>
      </c>
      <c r="V30" s="376" t="s">
        <v>910</v>
      </c>
      <c r="W30" s="377">
        <f t="shared" si="11"/>
        <v>102</v>
      </c>
      <c r="X30" s="371"/>
      <c r="Y30" s="3222"/>
      <c r="Z30" s="370" t="str">
        <f t="shared" si="12"/>
        <v>建筑面积</v>
      </c>
      <c r="AA30" s="382">
        <f t="shared" si="3"/>
        <v>1.0416666666666667</v>
      </c>
      <c r="AB30" s="382">
        <f t="shared" si="4"/>
        <v>1.0204081632653061</v>
      </c>
      <c r="AC30" s="382">
        <f t="shared" si="5"/>
        <v>0.98039215686274506</v>
      </c>
    </row>
    <row r="31" spans="1:29" s="122" customFormat="1" ht="15">
      <c r="A31" s="221"/>
      <c r="B31" s="166" t="s">
        <v>2223</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22"/>
      <c r="Q31" s="375" t="str">
        <f t="shared" si="8"/>
        <v>是否封闭</v>
      </c>
      <c r="R31" s="372" t="s">
        <v>910</v>
      </c>
      <c r="S31" s="373">
        <f t="shared" si="9"/>
        <v>102</v>
      </c>
      <c r="T31" s="372" t="s">
        <v>910</v>
      </c>
      <c r="U31" s="373">
        <f t="shared" si="10"/>
        <v>102</v>
      </c>
      <c r="V31" s="372" t="s">
        <v>910</v>
      </c>
      <c r="W31" s="373">
        <f t="shared" si="11"/>
        <v>100</v>
      </c>
      <c r="X31" s="374"/>
      <c r="Y31" s="3222"/>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22" t="s">
        <v>932</v>
      </c>
      <c r="Q32" s="309">
        <f t="shared" si="8"/>
        <v>111</v>
      </c>
      <c r="R32" s="376" t="s">
        <v>910</v>
      </c>
      <c r="S32" s="377">
        <f t="shared" si="9"/>
        <v>99</v>
      </c>
      <c r="T32" s="376" t="s">
        <v>910</v>
      </c>
      <c r="U32" s="377">
        <f t="shared" si="10"/>
        <v>98</v>
      </c>
      <c r="V32" s="376" t="s">
        <v>910</v>
      </c>
      <c r="W32" s="377">
        <f t="shared" si="11"/>
        <v>97</v>
      </c>
      <c r="X32" s="371"/>
      <c r="Y32" s="3222" t="s">
        <v>932</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22"/>
      <c r="Q33" s="309">
        <f t="shared" si="8"/>
        <v>111</v>
      </c>
      <c r="R33" s="376" t="s">
        <v>910</v>
      </c>
      <c r="S33" s="377">
        <f t="shared" si="9"/>
        <v>98</v>
      </c>
      <c r="T33" s="376" t="s">
        <v>910</v>
      </c>
      <c r="U33" s="377">
        <f t="shared" si="10"/>
        <v>96</v>
      </c>
      <c r="V33" s="376" t="s">
        <v>910</v>
      </c>
      <c r="W33" s="377">
        <f t="shared" si="11"/>
        <v>94</v>
      </c>
      <c r="X33" s="371"/>
      <c r="Y33" s="3222"/>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22"/>
      <c r="Q34" s="309">
        <f t="shared" si="8"/>
        <v>111</v>
      </c>
      <c r="R34" s="376" t="s">
        <v>910</v>
      </c>
      <c r="S34" s="377">
        <f t="shared" si="9"/>
        <v>97</v>
      </c>
      <c r="T34" s="376" t="s">
        <v>910</v>
      </c>
      <c r="U34" s="377">
        <f t="shared" si="10"/>
        <v>94</v>
      </c>
      <c r="V34" s="376" t="s">
        <v>910</v>
      </c>
      <c r="W34" s="377">
        <f t="shared" si="11"/>
        <v>91</v>
      </c>
      <c r="X34" s="371"/>
      <c r="Y34" s="3222"/>
      <c r="Z34" s="370">
        <f t="shared" si="12"/>
        <v>111</v>
      </c>
      <c r="AA34" s="382">
        <f t="shared" si="3"/>
        <v>1.0309278350515463</v>
      </c>
      <c r="AB34" s="382">
        <f t="shared" si="4"/>
        <v>1.0638297872340425</v>
      </c>
      <c r="AC34" s="382">
        <f t="shared" si="5"/>
        <v>1.098901098901099</v>
      </c>
    </row>
    <row r="35" spans="1:29" ht="15">
      <c r="A35" s="228" t="s">
        <v>2043</v>
      </c>
      <c r="B35" s="229"/>
      <c r="C35" s="230" t="s">
        <v>67</v>
      </c>
      <c r="D35" s="231"/>
      <c r="E35" s="232">
        <v>30000</v>
      </c>
      <c r="F35" s="233"/>
      <c r="G35" s="234">
        <v>35000</v>
      </c>
      <c r="H35" s="235"/>
      <c r="I35" s="232">
        <v>32000</v>
      </c>
      <c r="J35" s="235"/>
      <c r="K35" s="323"/>
      <c r="L35" s="324"/>
      <c r="M35" s="244"/>
      <c r="N35" s="304"/>
      <c r="O35" s="244"/>
      <c r="P35" s="3218" t="str">
        <f>A35</f>
        <v>成交单价（元/平方米）</v>
      </c>
      <c r="Q35" s="3218"/>
      <c r="R35" s="3287">
        <f>E35</f>
        <v>30000</v>
      </c>
      <c r="S35" s="3287"/>
      <c r="T35" s="3287">
        <f>G35</f>
        <v>35000</v>
      </c>
      <c r="U35" s="3287"/>
      <c r="V35" s="3287">
        <f>I35</f>
        <v>32000</v>
      </c>
      <c r="W35" s="3287"/>
      <c r="X35" s="255"/>
      <c r="Y35" s="394"/>
      <c r="Z35" s="255"/>
      <c r="AA35" s="255"/>
      <c r="AB35" s="255"/>
      <c r="AC35" s="255"/>
    </row>
    <row r="36" spans="1:29" ht="15">
      <c r="A36" s="236" t="s">
        <v>943</v>
      </c>
      <c r="B36" s="237"/>
      <c r="C36" s="238">
        <f>R37</f>
        <v>57884</v>
      </c>
      <c r="D36" s="239"/>
      <c r="E36" s="240">
        <f>R36</f>
        <v>47716</v>
      </c>
      <c r="F36" s="240"/>
      <c r="G36" s="238">
        <f>T36</f>
        <v>60927</v>
      </c>
      <c r="H36" s="239"/>
      <c r="I36" s="240">
        <f>V36</f>
        <v>65008</v>
      </c>
      <c r="J36" s="239"/>
      <c r="K36" s="325"/>
      <c r="L36" s="324"/>
      <c r="M36" s="244"/>
      <c r="N36" s="304"/>
      <c r="O36" s="244"/>
      <c r="P36" s="3218" t="str">
        <f>A36</f>
        <v>比较价值（元/平方米）</v>
      </c>
      <c r="Q36" s="3218"/>
      <c r="R36" s="3287">
        <f>IF(F1="售价",ROUND(PRODUCT(R35,AA7:AA34),0),ROUND(PRODUCT(R35,AA7:AA34),1))</f>
        <v>47716</v>
      </c>
      <c r="S36" s="3287"/>
      <c r="T36" s="3287">
        <f>IF(F1="售价",ROUND(PRODUCT(T35,AB7:AB34),0),ROUND(PRODUCT(T35,AB7:AB34),1))</f>
        <v>60927</v>
      </c>
      <c r="U36" s="3287"/>
      <c r="V36" s="3287">
        <f>IF(F1="售价",ROUND(PRODUCT(V35,AC7:AC34),0),ROUND(PRODUCT(V35,AC7:AC34),1))</f>
        <v>65008</v>
      </c>
      <c r="W36" s="3287"/>
      <c r="X36" s="255"/>
      <c r="Y36" s="255"/>
      <c r="Z36" s="255"/>
      <c r="AA36" s="255"/>
      <c r="AB36" s="255"/>
      <c r="AC36" s="255"/>
    </row>
    <row r="37" spans="1:29" ht="15">
      <c r="A37" s="241" t="s">
        <v>944</v>
      </c>
      <c r="B37" s="242"/>
      <c r="C37" s="243">
        <f>R37</f>
        <v>57884</v>
      </c>
      <c r="D37" s="243"/>
      <c r="E37" s="243"/>
      <c r="F37" s="243"/>
      <c r="G37" s="243"/>
      <c r="H37" s="243"/>
      <c r="I37" s="243"/>
      <c r="J37" s="243"/>
      <c r="K37" s="326"/>
      <c r="L37" s="324"/>
      <c r="M37" s="244"/>
      <c r="N37" s="244"/>
      <c r="O37" s="244"/>
      <c r="P37" s="3224" t="str">
        <f>A37</f>
        <v>估价对象XX用房的比较价值（楼面单价，元/平方米）</v>
      </c>
      <c r="Q37" s="3225"/>
      <c r="R37" s="3289">
        <f>IF(F1="售价",ROUND(AVERAGE(R36:V36),0),ROUND(AVERAGE(R36:V36),1))</f>
        <v>57884</v>
      </c>
      <c r="S37" s="3289"/>
      <c r="T37" s="3289"/>
      <c r="U37" s="3289"/>
      <c r="V37" s="3289"/>
      <c r="W37" s="3289"/>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945</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946</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947</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969</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908</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982</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911</v>
      </c>
      <c r="B49" s="263"/>
      <c r="C49" s="271" t="s">
        <v>912</v>
      </c>
      <c r="D49" s="272" t="s">
        <v>983</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984</v>
      </c>
      <c r="B51" s="275" t="s">
        <v>915</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918</v>
      </c>
      <c r="C53" s="282" t="s">
        <v>2045</v>
      </c>
      <c r="D53" s="282" t="s">
        <v>2046</v>
      </c>
      <c r="E53" s="282" t="s">
        <v>2047</v>
      </c>
      <c r="F53" s="282" t="s">
        <v>2048</v>
      </c>
      <c r="G53" s="282" t="s">
        <v>2049</v>
      </c>
      <c r="H53" s="282" t="s">
        <v>2050</v>
      </c>
      <c r="I53" s="282" t="s">
        <v>2051</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968</v>
      </c>
      <c r="D54" s="284" t="s">
        <v>968</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922</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2020</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2115</v>
      </c>
      <c r="C69" s="289" t="s">
        <v>2151</v>
      </c>
      <c r="D69" s="289" t="s">
        <v>2213</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933</v>
      </c>
      <c r="B77" s="275" t="s">
        <v>2032</v>
      </c>
      <c r="C77" s="289" t="s">
        <v>2078</v>
      </c>
      <c r="D77" s="289" t="s">
        <v>2191</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2203</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2204</v>
      </c>
      <c r="C82" s="289" t="s">
        <v>2183</v>
      </c>
      <c r="D82" s="289" t="s">
        <v>2184</v>
      </c>
      <c r="E82" s="398" t="s">
        <v>2171</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2220</v>
      </c>
      <c r="C84" s="289" t="s">
        <v>2222</v>
      </c>
      <c r="D84" s="289" t="s">
        <v>2221</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2223</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2224</v>
      </c>
      <c r="C1" s="3317" t="s">
        <v>2225</v>
      </c>
      <c r="D1" s="3318"/>
      <c r="E1" s="3318"/>
      <c r="F1" s="3318"/>
      <c r="G1" s="3318"/>
      <c r="H1" s="3318"/>
      <c r="I1" s="3318"/>
      <c r="J1" s="3318"/>
      <c r="K1" s="3318"/>
      <c r="L1" s="3318"/>
      <c r="M1" s="3318"/>
      <c r="N1" s="3318"/>
      <c r="O1" s="3318"/>
      <c r="P1" s="3318"/>
      <c r="Q1" s="3318"/>
      <c r="R1" s="3318"/>
      <c r="S1" s="3319"/>
      <c r="T1" s="11" t="s">
        <v>2226</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2227</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2228</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2229</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2230</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2231</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2232</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2233</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2234</v>
      </c>
      <c r="B17" s="39" t="s">
        <v>1051</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2235</v>
      </c>
      <c r="B20" s="50">
        <f>S22</f>
        <v>100</v>
      </c>
      <c r="C20" s="48"/>
      <c r="D20" s="48"/>
      <c r="E20" s="48"/>
      <c r="F20" s="48"/>
      <c r="G20" s="48"/>
      <c r="H20" s="48"/>
      <c r="I20" s="48"/>
      <c r="J20" s="48"/>
      <c r="K20" s="48"/>
      <c r="L20" s="48"/>
      <c r="M20" s="48"/>
      <c r="N20" s="48"/>
      <c r="O20" s="48"/>
      <c r="P20" s="48"/>
      <c r="Q20" s="48"/>
      <c r="R20" s="111"/>
      <c r="S20" s="112"/>
    </row>
    <row r="21" spans="1:45" ht="15.75">
      <c r="A21" s="49" t="s">
        <v>2236</v>
      </c>
      <c r="B21" s="50">
        <f>R22</f>
        <v>10000</v>
      </c>
      <c r="C21" s="48"/>
      <c r="D21" s="48"/>
      <c r="E21" s="48"/>
      <c r="F21" s="48"/>
      <c r="G21" s="48"/>
      <c r="H21" s="48"/>
      <c r="I21" s="48"/>
      <c r="J21" s="48"/>
      <c r="K21" s="48"/>
      <c r="L21" s="48"/>
      <c r="M21" s="48"/>
      <c r="N21" s="48"/>
      <c r="O21" s="48"/>
      <c r="P21" s="48"/>
      <c r="Q21" s="48"/>
      <c r="R21" s="111"/>
      <c r="S21" s="112"/>
    </row>
    <row r="22" spans="1:45">
      <c r="A22" s="51" t="s">
        <v>2237</v>
      </c>
      <c r="B22" s="52">
        <f>SUM(B24:B524)</f>
        <v>100</v>
      </c>
      <c r="C22" s="3320" t="s">
        <v>67</v>
      </c>
      <c r="D22" s="3321"/>
      <c r="E22" s="3321"/>
      <c r="F22" s="3321"/>
      <c r="G22" s="3321"/>
      <c r="H22" s="3321"/>
      <c r="I22" s="3321"/>
      <c r="J22" s="3321"/>
      <c r="K22" s="3321"/>
      <c r="L22" s="3321"/>
      <c r="M22" s="3321"/>
      <c r="N22" s="3321"/>
      <c r="O22" s="3321"/>
      <c r="P22" s="3321"/>
      <c r="Q22" s="3322"/>
      <c r="R22" s="114">
        <f>ROUND(S22*10000/B22,0)</f>
        <v>10000</v>
      </c>
      <c r="S22" s="52">
        <f>SUM(S24:S524)</f>
        <v>100</v>
      </c>
    </row>
    <row r="23" spans="1:45" s="5" customFormat="1" ht="24">
      <c r="A23" s="55" t="s">
        <v>2238</v>
      </c>
      <c r="B23" s="55" t="s">
        <v>372</v>
      </c>
      <c r="C23" s="55" t="s">
        <v>1094</v>
      </c>
      <c r="D23" s="55" t="str">
        <f>B5</f>
        <v>修正项2</v>
      </c>
      <c r="E23" s="55" t="s">
        <v>1094</v>
      </c>
      <c r="F23" s="55" t="str">
        <f>B7</f>
        <v>修正项3</v>
      </c>
      <c r="G23" s="55" t="s">
        <v>1094</v>
      </c>
      <c r="H23" s="55" t="str">
        <f>B9</f>
        <v>修正项4</v>
      </c>
      <c r="I23" s="55" t="s">
        <v>1094</v>
      </c>
      <c r="J23" s="55" t="str">
        <f>B11</f>
        <v>修正项5</v>
      </c>
      <c r="K23" s="55" t="s">
        <v>1094</v>
      </c>
      <c r="L23" s="55" t="str">
        <f>B13</f>
        <v>修正项6</v>
      </c>
      <c r="M23" s="55" t="s">
        <v>1094</v>
      </c>
      <c r="N23" s="55" t="str">
        <f>B15</f>
        <v>修正项7</v>
      </c>
      <c r="O23" s="55" t="s">
        <v>1094</v>
      </c>
      <c r="P23" s="55" t="str">
        <f>B17</f>
        <v>楼层</v>
      </c>
      <c r="Q23" s="55" t="s">
        <v>1094</v>
      </c>
      <c r="R23" s="115" t="s">
        <v>2239</v>
      </c>
      <c r="S23" s="55" t="s">
        <v>2240</v>
      </c>
      <c r="T23" s="116"/>
      <c r="U23" s="116"/>
      <c r="V23" s="116"/>
      <c r="W23" s="116"/>
      <c r="X23" s="116"/>
      <c r="Y23" s="116"/>
      <c r="Z23" s="116"/>
      <c r="AA23" s="116"/>
      <c r="AB23" s="116"/>
      <c r="AC23" s="116"/>
      <c r="AD23" s="116"/>
      <c r="AE23" s="116"/>
      <c r="AF23" s="116"/>
      <c r="AG23" s="116"/>
      <c r="AH23" s="116"/>
      <c r="AI23" s="116"/>
    </row>
    <row r="24" spans="1:45" s="6" customFormat="1">
      <c r="A24" s="56" t="s">
        <v>2241</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7.xml><?xml version="1.0" encoding="utf-8"?>
<worksheet xmlns="http://schemas.openxmlformats.org/spreadsheetml/2006/main" xmlns:r="http://schemas.openxmlformats.org/officeDocument/2006/relationships">
  <dimension ref="C2:F10"/>
  <sheetViews>
    <sheetView workbookViewId="0">
      <selection activeCell="M33" sqref="M33"/>
    </sheetView>
  </sheetViews>
  <sheetFormatPr defaultRowHeight="13.5"/>
  <sheetData>
    <row r="2" spans="3:6">
      <c r="C2" s="3041" t="s">
        <v>2308</v>
      </c>
    </row>
    <row r="3" spans="3:6" ht="14.25" thickBot="1">
      <c r="C3" s="3042" t="s">
        <v>2309</v>
      </c>
      <c r="D3" s="3043" t="s">
        <v>2310</v>
      </c>
      <c r="E3" s="3043" t="s">
        <v>2311</v>
      </c>
      <c r="F3" s="3043" t="s">
        <v>2312</v>
      </c>
    </row>
    <row r="4" spans="3:6">
      <c r="C4" s="3044">
        <v>2016.1</v>
      </c>
      <c r="D4" s="3046">
        <v>6155</v>
      </c>
      <c r="E4" s="3046">
        <v>0.05</v>
      </c>
      <c r="F4" s="3045"/>
    </row>
    <row r="5" spans="3:6">
      <c r="C5" s="3047">
        <v>2016.2</v>
      </c>
      <c r="D5" s="3049">
        <v>6294</v>
      </c>
      <c r="E5" s="3049">
        <v>2.2599999999999998</v>
      </c>
      <c r="F5" s="3048"/>
    </row>
    <row r="6" spans="3:6">
      <c r="C6" s="3044">
        <v>2016.3</v>
      </c>
      <c r="D6" s="3046">
        <v>6480</v>
      </c>
      <c r="E6" s="3046">
        <v>2.96</v>
      </c>
      <c r="F6" s="3045"/>
    </row>
    <row r="7" spans="3:6">
      <c r="C7" s="3047">
        <v>2016.4</v>
      </c>
      <c r="D7" s="3049">
        <v>6850</v>
      </c>
      <c r="E7" s="3049">
        <v>5.71</v>
      </c>
      <c r="F7" s="3048"/>
    </row>
    <row r="8" spans="3:6" ht="14.25">
      <c r="C8" s="3050">
        <v>2017.1</v>
      </c>
      <c r="D8" s="3051">
        <v>7116</v>
      </c>
      <c r="E8" s="3051">
        <v>3.88</v>
      </c>
    </row>
    <row r="9" spans="3:6">
      <c r="E9">
        <f>SUM(E4:E8)</f>
        <v>14.86</v>
      </c>
    </row>
    <row r="10" spans="3:6">
      <c r="E10">
        <f>E9/4</f>
        <v>3.7149999999999999</v>
      </c>
    </row>
  </sheetData>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1.权利限制：根据估价对象——原件，截至估价期日，估价对象抵押权未见登记。未设定租赁等其他他项权利；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6" t="str">
        <f>"3.估价规划限制条件：详见"&amp;项目基本情况!E19&amp;"；"</f>
        <v>3.估价规划限制条件：详见《建设工程规划许可证》[建字第370200201717150号]；</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c r="A11" s="2768" t="str">
        <f>"（1）"&amp;CONCATENATE(项目基本情况!L22,项目基本情况!L23,项目基本情况!L24)</f>
        <v>（1）根据估价对象——原件，截至估价期日，估价对象抵押权未见登记。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43047</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70" t="s">
        <v>78</v>
      </c>
      <c r="B25" s="3070"/>
      <c r="C25" s="3070"/>
      <c r="D25" s="3070"/>
      <c r="E25" s="3070"/>
      <c r="F25" s="3070"/>
      <c r="G25" s="3070"/>
    </row>
    <row r="26" spans="1:7" ht="20.25" customHeight="1">
      <c r="A26" s="3071" t="s">
        <v>79</v>
      </c>
      <c r="B26" s="3071"/>
      <c r="C26" s="3071"/>
      <c r="D26" s="3071" t="s">
        <v>80</v>
      </c>
      <c r="E26" s="3071"/>
      <c r="F26" s="3071"/>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72" t="s">
        <v>101</v>
      </c>
      <c r="B15" s="3080" t="s">
        <v>102</v>
      </c>
      <c r="C15" s="3081"/>
    </row>
    <row r="16" spans="1:7" ht="14.25">
      <c r="A16" s="3072"/>
      <c r="B16" s="3074" t="s">
        <v>103</v>
      </c>
      <c r="C16" s="2725" t="s">
        <v>101</v>
      </c>
    </row>
    <row r="17" spans="1:3" ht="14.25">
      <c r="A17" s="3072"/>
      <c r="B17" s="3074"/>
      <c r="C17" s="2725" t="s">
        <v>104</v>
      </c>
    </row>
    <row r="18" spans="1:3" ht="14.25">
      <c r="A18" s="3072"/>
      <c r="B18" s="3074"/>
      <c r="C18" s="2725" t="s">
        <v>105</v>
      </c>
    </row>
    <row r="19" spans="1:3" ht="14.25">
      <c r="A19" s="3072"/>
      <c r="B19" s="3082" t="s">
        <v>106</v>
      </c>
      <c r="C19" s="3081"/>
    </row>
    <row r="20" spans="1:3" ht="14.25">
      <c r="A20" s="2726" t="s">
        <v>107</v>
      </c>
      <c r="B20" s="2727"/>
      <c r="C20" s="2728"/>
    </row>
    <row r="21" spans="1:3" ht="14.25">
      <c r="A21" s="3073" t="s">
        <v>108</v>
      </c>
      <c r="B21" s="3082" t="s">
        <v>109</v>
      </c>
      <c r="C21" s="3081"/>
    </row>
    <row r="22" spans="1:3" ht="14.25">
      <c r="A22" s="3073"/>
      <c r="B22" s="3082" t="s">
        <v>110</v>
      </c>
      <c r="C22" s="3081"/>
    </row>
    <row r="23" spans="1:3" ht="14.25">
      <c r="A23" s="3073"/>
      <c r="B23" s="3082" t="s">
        <v>111</v>
      </c>
      <c r="C23" s="3081"/>
    </row>
    <row r="24" spans="1:3" ht="14.25">
      <c r="A24" s="3073"/>
      <c r="B24" s="3075" t="s">
        <v>112</v>
      </c>
      <c r="C24" s="2729" t="s">
        <v>113</v>
      </c>
    </row>
    <row r="25" spans="1:3" ht="14.25">
      <c r="A25" s="3073"/>
      <c r="B25" s="3076"/>
      <c r="C25" s="2729" t="s">
        <v>114</v>
      </c>
    </row>
    <row r="26" spans="1:3" ht="14.25">
      <c r="A26" s="3073"/>
      <c r="B26" s="3076"/>
      <c r="C26" s="2729" t="s">
        <v>115</v>
      </c>
    </row>
    <row r="27" spans="1:3" ht="14.25">
      <c r="A27" s="3073"/>
      <c r="B27" s="3076"/>
      <c r="C27" s="2729" t="s">
        <v>116</v>
      </c>
    </row>
    <row r="28" spans="1:3" ht="14.25">
      <c r="A28" s="3073"/>
      <c r="B28" s="3076"/>
      <c r="C28" s="2729" t="s">
        <v>117</v>
      </c>
    </row>
    <row r="29" spans="1:3" ht="14.25">
      <c r="A29" s="3073"/>
      <c r="B29" s="3076"/>
      <c r="C29" s="2729" t="s">
        <v>118</v>
      </c>
    </row>
    <row r="30" spans="1:3" ht="14.25">
      <c r="A30" s="3073"/>
      <c r="B30" s="3076"/>
      <c r="C30" s="2729" t="s">
        <v>119</v>
      </c>
    </row>
    <row r="31" spans="1:3" ht="14.25">
      <c r="A31" s="3073"/>
      <c r="B31" s="3076"/>
      <c r="C31" s="2729" t="s">
        <v>120</v>
      </c>
    </row>
    <row r="32" spans="1:3" ht="14.25">
      <c r="A32" s="3073"/>
      <c r="B32" s="3076"/>
      <c r="C32" s="2729" t="s">
        <v>121</v>
      </c>
    </row>
    <row r="33" spans="1:3" ht="14.25">
      <c r="A33" s="3073"/>
      <c r="B33" s="3077" t="s">
        <v>122</v>
      </c>
      <c r="C33" s="2729" t="s">
        <v>123</v>
      </c>
    </row>
    <row r="34" spans="1:3" ht="14.25">
      <c r="A34" s="3073"/>
      <c r="B34" s="3078"/>
      <c r="C34" s="2730" t="s">
        <v>124</v>
      </c>
    </row>
    <row r="35" spans="1:3" ht="14.25">
      <c r="A35" s="3073"/>
      <c r="B35" s="3078"/>
      <c r="C35" s="2731" t="s">
        <v>125</v>
      </c>
    </row>
    <row r="36" spans="1:3" ht="14.25">
      <c r="A36" s="3073"/>
      <c r="B36" s="3078"/>
      <c r="C36" s="2731" t="s">
        <v>126</v>
      </c>
    </row>
    <row r="37" spans="1:3" ht="14.25">
      <c r="A37" s="3073"/>
      <c r="B37" s="3079"/>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青岛福瀛房地产开发有限公司拟使用山东省青岛市黄岛区滨海大道以南、石雀滩路北B地块1宗住宅用途出让国有建设用地使用权作为抵押担保物，向宏信证券有限责任公司办理贷款手续。宏信证券有限责任公司特委托北京康正宏基房地产评估有限公司对上述抵押物进行评估。本次评估为确定标的物之抵押贷款额度提供参考依据而评估出让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2"/>
    </row>
    <row r="52" spans="1:5">
      <c r="A52" s="2700" t="s">
        <v>257</v>
      </c>
      <c r="B52" s="2703" t="s">
        <v>258</v>
      </c>
      <c r="C52" s="2701" t="s">
        <v>259</v>
      </c>
      <c r="D52" s="2701" t="s">
        <v>260</v>
      </c>
      <c r="E52" s="2702"/>
    </row>
    <row r="53" spans="1:5">
      <c r="A53" s="3083"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c r="D53" s="2702"/>
      <c r="E53" s="2702"/>
    </row>
    <row r="54" spans="1:5">
      <c r="A54" s="3083"/>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2"/>
      <c r="E54" s="2702"/>
    </row>
    <row r="55" spans="1:5">
      <c r="A55" s="3083"/>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2"/>
      <c r="E55" s="2702"/>
    </row>
    <row r="56" spans="1:5">
      <c r="A56" s="3083"/>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2"/>
      <c r="E56" s="2702"/>
    </row>
    <row r="57" spans="1:5">
      <c r="A57" s="3083"/>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J7" sqref="J7"/>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084" t="str">
        <f>IF(B9="北京市","北京市",C9)&amp;F9&amp;B14&amp;"国有建设用地使用权"&amp;B8&amp;"预评估"</f>
        <v>山东省青岛市黄岛区滨海大道以南、石雀滩路北B地块1宗住宅用途出让国有建设用地使用权抵押价格预评估</v>
      </c>
      <c r="C1" s="3085"/>
      <c r="D1" s="3085"/>
      <c r="E1" s="3085"/>
      <c r="F1" s="3085"/>
      <c r="G1" s="3085"/>
      <c r="H1" s="3085"/>
      <c r="I1" s="3086"/>
      <c r="J1" s="2554"/>
      <c r="K1" s="2670" t="str">
        <f>IF(B9="北京市","北京市",C9)&amp;F9&amp;B14&amp;"国有建设用地使用权"&amp;B8</f>
        <v>山东省青岛市黄岛区滨海大道以南、石雀滩路北B地块1宗住宅用途出让国有建设用地使用权抵押价格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山东省青岛市黄岛区滨海大道以南、石雀滩路北B地块1宗住宅用途出让国有建设用地使用权</v>
      </c>
      <c r="L2" s="2671"/>
      <c r="M2" s="2671"/>
      <c r="N2" s="2554"/>
      <c r="O2" s="2672"/>
      <c r="P2" s="2554"/>
      <c r="Q2" s="2554"/>
      <c r="R2" s="2554"/>
      <c r="S2" s="2554"/>
      <c r="T2" s="2554"/>
      <c r="U2" s="2554"/>
    </row>
    <row r="3" spans="1:21">
      <c r="A3" s="2555" t="s">
        <v>273</v>
      </c>
      <c r="B3" s="2556">
        <v>43041</v>
      </c>
      <c r="C3" s="2557" t="s">
        <v>274</v>
      </c>
      <c r="D3" s="2556">
        <f>B3</f>
        <v>43041</v>
      </c>
      <c r="E3" s="2554"/>
      <c r="F3" s="2554"/>
      <c r="G3" s="2554"/>
      <c r="H3" s="2552"/>
      <c r="I3" s="2672"/>
      <c r="J3" s="2554"/>
      <c r="K3" s="2673"/>
      <c r="L3" s="2671"/>
      <c r="M3" s="2671"/>
      <c r="N3" s="2554"/>
      <c r="O3" s="2672"/>
      <c r="P3" s="2554"/>
      <c r="Q3" s="2554"/>
      <c r="R3" s="2554"/>
      <c r="S3" s="2554"/>
      <c r="T3" s="2554"/>
      <c r="U3" s="2554"/>
    </row>
    <row r="4" spans="1:21">
      <c r="A4" s="2558" t="s">
        <v>275</v>
      </c>
      <c r="B4" s="2559" t="s">
        <v>60</v>
      </c>
      <c r="C4" s="2560">
        <f ca="1">SUMIF(土地估价师,B4,估价师及机构信息!E3:E24)</f>
        <v>2002110030</v>
      </c>
      <c r="D4" s="2559" t="s">
        <v>66</v>
      </c>
      <c r="E4" s="2560">
        <f>SUMIF(土地估价师,D4,估价师及机构信息!E3:E24)</f>
        <v>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王鹏、郑燚</v>
      </c>
      <c r="L4" s="2671"/>
      <c r="M4" s="2671"/>
      <c r="N4" s="2554"/>
      <c r="O4" s="2672"/>
      <c r="P4" s="2554"/>
      <c r="Q4" s="2554"/>
      <c r="R4" s="2554"/>
      <c r="S4" s="2554"/>
      <c r="T4" s="2554"/>
      <c r="U4" s="2554"/>
    </row>
    <row r="5" spans="1:21">
      <c r="A5" s="2561" t="s">
        <v>276</v>
      </c>
      <c r="B5" s="2562" t="s">
        <v>2286</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2334</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258</v>
      </c>
      <c r="C7" s="2570"/>
      <c r="D7" s="3093" t="s">
        <v>278</v>
      </c>
      <c r="E7" s="2571" t="s">
        <v>39</v>
      </c>
      <c r="F7" s="2572"/>
      <c r="G7" s="2552"/>
      <c r="H7" s="2552"/>
      <c r="I7" s="2674"/>
      <c r="J7" s="2554"/>
      <c r="K7" s="2673"/>
      <c r="L7" s="2671"/>
      <c r="M7" s="2671"/>
      <c r="N7" s="2554"/>
      <c r="O7" s="2672"/>
      <c r="P7" s="2554"/>
      <c r="Q7" s="2554"/>
      <c r="R7" s="2554"/>
      <c r="S7" s="2554"/>
      <c r="T7" s="2554"/>
      <c r="U7" s="2554"/>
    </row>
    <row r="8" spans="1:21">
      <c r="A8" s="2573" t="s">
        <v>279</v>
      </c>
      <c r="B8" s="2574" t="s">
        <v>39</v>
      </c>
      <c r="C8" s="2575"/>
      <c r="D8" s="3094"/>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2321</v>
      </c>
      <c r="D9" s="2564"/>
      <c r="E9" s="2581" t="s">
        <v>282</v>
      </c>
      <c r="F9" s="2582" t="s">
        <v>2322</v>
      </c>
      <c r="G9" s="2583"/>
      <c r="H9" s="2584"/>
      <c r="I9" s="2564"/>
      <c r="J9" s="2554"/>
      <c r="K9" s="2673"/>
      <c r="L9" s="2671"/>
      <c r="M9" s="2671"/>
      <c r="N9" s="2554"/>
      <c r="O9" s="2672"/>
      <c r="P9" s="2554"/>
      <c r="Q9" s="2554"/>
      <c r="R9" s="2554"/>
      <c r="S9" s="2554"/>
      <c r="T9" s="2554"/>
      <c r="U9" s="2554"/>
    </row>
    <row r="10" spans="1:21" ht="42.75">
      <c r="A10" s="2585" t="s">
        <v>283</v>
      </c>
      <c r="B10" s="2586" t="s">
        <v>284</v>
      </c>
      <c r="C10" s="2587" t="str">
        <f>B5</f>
        <v>青岛福瀛房地产开发有限公司</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087" t="s">
        <v>2289</v>
      </c>
      <c r="C11" s="3088"/>
      <c r="D11" s="3089"/>
      <c r="E11" s="2590" t="s">
        <v>286</v>
      </c>
      <c r="F11" s="3090" t="s">
        <v>2291</v>
      </c>
      <c r="G11" s="3091"/>
      <c r="H11" s="3091"/>
      <c r="I11" s="3092"/>
      <c r="J11" s="2554"/>
      <c r="K11" s="2673"/>
      <c r="L11" s="2671"/>
      <c r="M11" s="2671"/>
      <c r="N11" s="2554"/>
      <c r="O11" s="2672"/>
      <c r="P11" s="2554"/>
      <c r="Q11" s="2554"/>
      <c r="R11" s="2554"/>
      <c r="S11" s="2554"/>
      <c r="T11" s="2554"/>
      <c r="U11" s="2554"/>
    </row>
    <row r="12" spans="1:21">
      <c r="A12" s="2591" t="s">
        <v>287</v>
      </c>
      <c r="B12" s="3087" t="s">
        <v>2287</v>
      </c>
      <c r="C12" s="3088"/>
      <c r="D12" s="3089"/>
      <c r="E12" s="2590" t="s">
        <v>286</v>
      </c>
      <c r="F12" s="3090" t="s">
        <v>2293</v>
      </c>
      <c r="G12" s="3091"/>
      <c r="H12" s="3091"/>
      <c r="I12" s="3092"/>
      <c r="J12" s="2554"/>
      <c r="K12" s="2673"/>
      <c r="L12" s="2671"/>
      <c r="M12" s="2671"/>
      <c r="N12" s="2554"/>
      <c r="O12" s="2672"/>
      <c r="P12" s="2554"/>
      <c r="Q12" s="2554"/>
      <c r="R12" s="2554"/>
      <c r="S12" s="2554"/>
      <c r="T12" s="2554"/>
      <c r="U12" s="2554"/>
    </row>
    <row r="13" spans="1:21">
      <c r="A13" s="2555" t="s">
        <v>288</v>
      </c>
      <c r="B13" s="2590"/>
      <c r="C13" s="2592" t="s">
        <v>289</v>
      </c>
      <c r="D13" s="2593" t="str">
        <f>IF(C13="不一致","是否符合证载地类范围","")</f>
        <v/>
      </c>
      <c r="E13" s="2590"/>
      <c r="F13" s="2594" t="s">
        <v>290</v>
      </c>
      <c r="G13" s="2595"/>
      <c r="H13" s="2595"/>
      <c r="I13" s="2676"/>
      <c r="J13" s="2554"/>
      <c r="K13" s="2673"/>
      <c r="L13" s="2671"/>
      <c r="M13" s="2671"/>
      <c r="N13" s="2554"/>
      <c r="O13" s="2672"/>
      <c r="P13" s="2554"/>
      <c r="Q13" s="2554"/>
      <c r="R13" s="2554"/>
      <c r="S13" s="2554"/>
      <c r="T13" s="2554"/>
      <c r="U13" s="2554"/>
    </row>
    <row r="14" spans="1:21" ht="28.5">
      <c r="A14" s="2596" t="s">
        <v>291</v>
      </c>
      <c r="B14" s="2597" t="s">
        <v>2294</v>
      </c>
      <c r="C14" s="2590" t="s">
        <v>267</v>
      </c>
      <c r="D14" s="2598" t="s">
        <v>292</v>
      </c>
      <c r="E14" s="2598" t="s">
        <v>293</v>
      </c>
      <c r="F14" s="2598" t="s">
        <v>294</v>
      </c>
      <c r="G14" s="2599" t="s">
        <v>295</v>
      </c>
      <c r="H14" s="2599" t="s">
        <v>296</v>
      </c>
      <c r="I14" s="2599" t="s">
        <v>114</v>
      </c>
      <c r="J14" s="2554"/>
      <c r="K14" s="2677" t="str">
        <f>IF(D15="","",D14&amp;TEXT(D15,"yyyy年m月d日;;"))</f>
        <v>住宅2051年6月17日</v>
      </c>
      <c r="L14" s="2590" t="str">
        <f>IF(OR(K14="",M14=""),"","、")</f>
        <v/>
      </c>
      <c r="M14" s="2677" t="str">
        <f>IF(E15="","",E14&amp;TEXT(E15,"yyyy年m月d日;;"))</f>
        <v/>
      </c>
      <c r="N14" s="2590" t="str">
        <f>IF(OR(M14="",O14=""),"","、")</f>
        <v/>
      </c>
      <c r="O14" s="2677" t="str">
        <f>IF(F15="","",F14&amp;TEXT(F15,"yyyy年m月d日;;"))</f>
        <v/>
      </c>
      <c r="P14" s="2590" t="str">
        <f>IF(OR(O14="",Q14=""),"","、")</f>
        <v/>
      </c>
      <c r="Q14" s="2677" t="str">
        <f>IF(G15="","",G14&amp;TEXT(G15,"yyyy年m月d日;;"))</f>
        <v/>
      </c>
      <c r="R14" s="2590" t="str">
        <f>IF(OR(Q14="",S14=""),"","、")</f>
        <v/>
      </c>
      <c r="S14" s="2677" t="str">
        <f>IF(H15="","",H14&amp;TEXT(H15,"yyyy年m月d日;;"))</f>
        <v/>
      </c>
      <c r="T14" s="2590" t="str">
        <f>IF(OR(S14="",U14=""),"","、")</f>
        <v/>
      </c>
      <c r="U14" s="2677" t="str">
        <f>IF(I15="","",I14&amp;TEXT(I15,"yyyy年m月d日;;"))</f>
        <v/>
      </c>
    </row>
    <row r="15" spans="1:21">
      <c r="A15" s="2600"/>
      <c r="B15" s="2601"/>
      <c r="C15" s="2602" t="s">
        <v>297</v>
      </c>
      <c r="D15" s="2603">
        <v>55321</v>
      </c>
      <c r="E15" s="2603"/>
      <c r="F15" s="2603"/>
      <c r="G15" s="2603"/>
      <c r="H15" s="2603"/>
      <c r="I15" s="2603"/>
      <c r="J15" s="2554"/>
      <c r="K15" s="2670" t="str">
        <f>CONCATENATE(K14,L14,M14,N14,O14,P14,Q14,R14,S14,T14,,U14)</f>
        <v>住宅2051年6月17日</v>
      </c>
      <c r="L15" s="2671"/>
      <c r="M15" s="2671"/>
      <c r="N15" s="2554"/>
      <c r="O15" s="2672"/>
      <c r="P15" s="2554"/>
      <c r="Q15" s="2554"/>
      <c r="R15" s="2554"/>
      <c r="S15" s="2554"/>
      <c r="T15" s="2554"/>
      <c r="U15" s="2554"/>
    </row>
    <row r="16" spans="1:21">
      <c r="A16" s="2600"/>
      <c r="B16" s="2601"/>
      <c r="C16" s="2602" t="s">
        <v>298</v>
      </c>
      <c r="D16" s="2604">
        <v>50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299</v>
      </c>
      <c r="D17" s="2605">
        <f>IF(B14="出让",IF(D15="","",ROUNDDOWN(MIN((D15-$D$3)/365,D16),2)),D16)</f>
        <v>33.64</v>
      </c>
      <c r="E17" s="2606" t="str">
        <f>IF(B14="出让",IF(E15="","",ROUNDDOWN(MIN((E15-$D$3)/365,E16),2)),E16)</f>
        <v/>
      </c>
      <c r="F17" s="2606" t="str">
        <f>IF(B14="出让",IF(F15="","",ROUNDDOWN(MIN((F15-$D$3)/365,F16),2)),F16)</f>
        <v/>
      </c>
      <c r="G17" s="2606" t="str">
        <f>IF(B14="出让",IF(G15="","",ROUNDDOWN(MIN((G15-$D$3)/365,G16),2)),G16)</f>
        <v/>
      </c>
      <c r="H17" s="2606" t="str">
        <f>IF(B14="出让",IF(H15="","",ROUNDDOWN(MIN((H15-$D$3)/365,H16),2)),H16)</f>
        <v/>
      </c>
      <c r="I17" s="2606" t="str">
        <f>IF(B14="出让",IF(I15="","",ROUNDDOWN(MIN((I15-$D$3)/365,I16),2)),I16)</f>
        <v/>
      </c>
      <c r="J17" s="2554"/>
      <c r="K17" s="2673"/>
      <c r="L17" s="2671"/>
      <c r="M17" s="2671"/>
      <c r="N17" s="2554"/>
      <c r="O17" s="2672"/>
      <c r="P17" s="2554"/>
      <c r="Q17" s="2554"/>
      <c r="R17" s="2554"/>
      <c r="S17" s="2554"/>
      <c r="T17" s="2554"/>
      <c r="U17" s="2554"/>
    </row>
    <row r="18" spans="1:21">
      <c r="A18" s="2607"/>
      <c r="B18" s="2608"/>
      <c r="C18" s="2609" t="s">
        <v>300</v>
      </c>
      <c r="D18" s="3095" t="s">
        <v>2295</v>
      </c>
      <c r="E18" s="3096"/>
      <c r="F18" s="3096"/>
      <c r="G18" s="3096"/>
      <c r="H18" s="3096"/>
      <c r="I18" s="3097"/>
      <c r="J18" s="2554"/>
      <c r="K18" s="2673"/>
      <c r="L18" s="2671"/>
      <c r="M18" s="2671"/>
      <c r="N18" s="2554"/>
      <c r="O18" s="2672"/>
      <c r="P18" s="2554"/>
      <c r="Q18" s="2554"/>
      <c r="R18" s="2554"/>
      <c r="S18" s="2554"/>
      <c r="T18" s="2554"/>
      <c r="U18" s="2554"/>
    </row>
    <row r="19" spans="1:21">
      <c r="A19" s="2600" t="s">
        <v>301</v>
      </c>
      <c r="B19" s="2610" t="s">
        <v>302</v>
      </c>
      <c r="C19" s="2611">
        <f>'数据-汇总表'!E3</f>
        <v>36595.409999999996</v>
      </c>
      <c r="D19" s="2612" t="s">
        <v>303</v>
      </c>
      <c r="E19" s="3098" t="s">
        <v>2292</v>
      </c>
      <c r="F19" s="3099"/>
      <c r="G19" s="3099"/>
      <c r="H19" s="3099"/>
      <c r="I19" s="3100"/>
      <c r="J19" s="2554"/>
      <c r="K19" s="2673"/>
      <c r="L19" s="2671"/>
      <c r="M19" s="2671"/>
      <c r="N19" s="2554"/>
      <c r="O19" s="2672"/>
      <c r="P19" s="2554"/>
      <c r="Q19" s="2554"/>
      <c r="R19" s="2554"/>
      <c r="S19" s="2554"/>
      <c r="T19" s="2554"/>
      <c r="U19" s="2554"/>
    </row>
    <row r="20" spans="1:21">
      <c r="A20" s="2613" t="s">
        <v>304</v>
      </c>
      <c r="B20" s="2555" t="s">
        <v>305</v>
      </c>
      <c r="C20" s="2599">
        <f>'数据-汇总表'!D3</f>
        <v>17111</v>
      </c>
      <c r="D20" s="2591" t="s">
        <v>303</v>
      </c>
      <c r="E20" s="3098" t="s">
        <v>2290</v>
      </c>
      <c r="F20" s="3099"/>
      <c r="G20" s="3099"/>
      <c r="H20" s="3099"/>
      <c r="I20" s="3100"/>
      <c r="J20" s="2554"/>
      <c r="K20" s="2673"/>
      <c r="L20" s="2671"/>
      <c r="M20" s="2671"/>
      <c r="N20" s="2554"/>
      <c r="O20" s="2672"/>
      <c r="P20" s="2554"/>
      <c r="Q20" s="2554"/>
      <c r="R20" s="2554"/>
      <c r="S20" s="2554"/>
      <c r="T20" s="2554"/>
      <c r="U20" s="2554"/>
    </row>
    <row r="21" spans="1:21" ht="42.75">
      <c r="A21" s="2614" t="s">
        <v>306</v>
      </c>
      <c r="B21" s="2615" t="s">
        <v>307</v>
      </c>
      <c r="C21" s="2616" t="s">
        <v>308</v>
      </c>
      <c r="D21" s="2617" t="s">
        <v>309</v>
      </c>
      <c r="E21" s="2618" t="s">
        <v>308</v>
      </c>
      <c r="F21" s="2619" t="str">
        <f>IF(AND(C21="是",E21="否"),"是否提供他项权证或相关说明","")</f>
        <v/>
      </c>
      <c r="G21" s="2620" t="s">
        <v>308</v>
      </c>
      <c r="H21" s="2554"/>
      <c r="I21" s="2674"/>
      <c r="J21" s="2554"/>
      <c r="K21" s="2673"/>
      <c r="L21" s="2671"/>
      <c r="M21" s="2671"/>
      <c r="N21" s="2554"/>
      <c r="O21" s="2672"/>
      <c r="P21" s="2554"/>
      <c r="Q21" s="2554"/>
      <c r="R21" s="2554"/>
      <c r="S21" s="2554"/>
      <c r="T21" s="2554"/>
      <c r="U21" s="2554"/>
    </row>
    <row r="22" spans="1:21">
      <c r="A22" s="2621" t="s">
        <v>286</v>
      </c>
      <c r="B22" s="3101" t="s">
        <v>310</v>
      </c>
      <c r="C22" s="3102"/>
      <c r="D22" s="3103" t="s">
        <v>311</v>
      </c>
      <c r="E22" s="3104"/>
      <c r="F22" s="2622" t="s">
        <v>312</v>
      </c>
      <c r="G22" s="2554"/>
      <c r="H22" s="2554"/>
      <c r="I22" s="2674"/>
      <c r="J22" s="2554"/>
      <c r="K22" s="3105" t="s">
        <v>313</v>
      </c>
      <c r="L22" s="2678" t="str">
        <f>"根据估价对象"&amp;IF(B24="——",B23&amp;C23,B23&amp;C23&amp;"、"&amp;B24&amp;C24)&amp;"，"&amp;IF(C21="是","截至估价期日，估价对象已设定抵押。","截至估价期日，估价对象抵押权未见登记。")</f>
        <v>根据估价对象——原件，截至估价期日，估价对象抵押权未见登记。</v>
      </c>
      <c r="M22" s="2671"/>
      <c r="N22" s="2554"/>
      <c r="O22" s="2672"/>
      <c r="P22" s="2554"/>
      <c r="Q22" s="2554"/>
      <c r="R22" s="2554"/>
      <c r="S22" s="2554"/>
      <c r="T22" s="2554"/>
      <c r="U22" s="2554"/>
    </row>
    <row r="23" spans="1:21">
      <c r="A23" s="2623"/>
      <c r="B23" s="2624" t="s">
        <v>67</v>
      </c>
      <c r="C23" s="2625" t="s">
        <v>2296</v>
      </c>
      <c r="D23" s="2626"/>
      <c r="E23" s="2627" t="s">
        <v>67</v>
      </c>
      <c r="F23" s="2628"/>
      <c r="G23" s="2554"/>
      <c r="H23" s="2554"/>
      <c r="I23" s="2674"/>
      <c r="J23" s="2554"/>
      <c r="K23" s="3105"/>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c r="A24" s="2629"/>
      <c r="B24" s="2630" t="s">
        <v>67</v>
      </c>
      <c r="C24" s="2625" t="s">
        <v>2296</v>
      </c>
      <c r="D24" s="2552"/>
      <c r="E24" s="2552"/>
      <c r="F24" s="2631"/>
      <c r="G24" s="2554"/>
      <c r="H24" s="2554"/>
      <c r="I24" s="2674"/>
      <c r="J24" s="2554"/>
      <c r="K24" s="3105"/>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314</v>
      </c>
      <c r="B25" s="2633" t="s">
        <v>315</v>
      </c>
      <c r="C25" s="2634"/>
      <c r="D25" s="2635" t="s">
        <v>315</v>
      </c>
      <c r="E25" s="2636"/>
      <c r="F25" s="2631"/>
      <c r="G25" s="2554"/>
      <c r="H25" s="2554"/>
      <c r="I25" s="2674"/>
      <c r="J25" s="2554"/>
      <c r="K25" s="2673"/>
      <c r="L25" s="2671"/>
      <c r="M25" s="2671"/>
      <c r="N25" s="2554"/>
      <c r="O25" s="2672"/>
      <c r="P25" s="2554"/>
      <c r="Q25" s="2554"/>
      <c r="R25" s="2554"/>
      <c r="S25" s="2554"/>
      <c r="T25" s="2554"/>
      <c r="U25" s="2554"/>
    </row>
    <row r="26" spans="1:21">
      <c r="A26" s="2637"/>
      <c r="B26" s="2633" t="s">
        <v>316</v>
      </c>
      <c r="C26" s="2638"/>
      <c r="D26" s="2639" t="s">
        <v>316</v>
      </c>
      <c r="E26" s="2640"/>
      <c r="F26" s="2631"/>
      <c r="G26" s="2554"/>
      <c r="H26" s="2554"/>
      <c r="I26" s="2674"/>
      <c r="J26" s="2554"/>
      <c r="K26" s="2673"/>
      <c r="L26" s="2671"/>
      <c r="M26" s="2671"/>
      <c r="N26" s="2554"/>
      <c r="O26" s="2672"/>
      <c r="P26" s="2554"/>
      <c r="Q26" s="2554"/>
      <c r="R26" s="2554"/>
      <c r="S26" s="2554"/>
      <c r="T26" s="2554"/>
      <c r="U26" s="2554"/>
    </row>
    <row r="27" spans="1:21">
      <c r="A27" s="2637"/>
      <c r="B27" s="2633" t="s">
        <v>317</v>
      </c>
      <c r="C27" s="2638"/>
      <c r="D27" s="2639" t="s">
        <v>317</v>
      </c>
      <c r="E27" s="2640"/>
      <c r="F27" s="2631"/>
      <c r="G27" s="2554"/>
      <c r="H27" s="2554"/>
      <c r="I27" s="2674"/>
      <c r="J27" s="2554"/>
      <c r="K27" s="2673"/>
      <c r="L27" s="2671"/>
      <c r="M27" s="2671"/>
      <c r="N27" s="2554"/>
      <c r="O27" s="2672"/>
      <c r="P27" s="2554"/>
      <c r="Q27" s="2554"/>
      <c r="R27" s="2554"/>
      <c r="S27" s="2554"/>
      <c r="T27" s="2554"/>
      <c r="U27" s="2554"/>
    </row>
    <row r="28" spans="1:21">
      <c r="A28" s="2641"/>
      <c r="B28" s="2642" t="s">
        <v>318</v>
      </c>
      <c r="C28" s="2643"/>
      <c r="D28" s="2644" t="s">
        <v>318</v>
      </c>
      <c r="E28" s="2645"/>
      <c r="F28" s="2646"/>
      <c r="G28" s="2577"/>
      <c r="H28" s="2577"/>
      <c r="I28" s="2675"/>
      <c r="J28" s="2554"/>
      <c r="K28" s="2673"/>
      <c r="L28" s="2671"/>
      <c r="M28" s="2671"/>
      <c r="N28" s="2554"/>
      <c r="O28" s="2672"/>
      <c r="P28" s="2554"/>
      <c r="Q28" s="2554"/>
      <c r="R28" s="2554"/>
      <c r="S28" s="2554"/>
      <c r="T28" s="2554"/>
      <c r="U28" s="2554"/>
    </row>
    <row r="29" spans="1:21">
      <c r="A29" s="3108" t="s">
        <v>319</v>
      </c>
      <c r="B29" s="2610" t="s">
        <v>320</v>
      </c>
      <c r="C29" s="3114" t="s">
        <v>321</v>
      </c>
      <c r="D29" s="3115"/>
      <c r="E29" s="2554"/>
      <c r="F29" s="2554"/>
      <c r="G29" s="2554"/>
      <c r="H29" s="2554"/>
      <c r="I29" s="2674"/>
      <c r="J29" s="2554"/>
      <c r="K29" s="2679"/>
      <c r="L29" s="2554"/>
      <c r="M29" s="2554"/>
      <c r="N29" s="2554"/>
      <c r="O29" s="2554"/>
      <c r="P29" s="2554"/>
      <c r="Q29" s="2554"/>
      <c r="R29" s="2554"/>
      <c r="S29" s="2554"/>
      <c r="T29" s="2554"/>
      <c r="U29" s="2554"/>
    </row>
    <row r="30" spans="1:21">
      <c r="A30" s="3108"/>
      <c r="B30" s="2555" t="s">
        <v>322</v>
      </c>
      <c r="C30" s="2579" t="s">
        <v>323</v>
      </c>
      <c r="D30" s="2647"/>
      <c r="E30" s="2554"/>
      <c r="F30" s="2554"/>
      <c r="G30" s="2554"/>
      <c r="H30" s="2554"/>
      <c r="I30" s="2674"/>
      <c r="J30" s="2554"/>
      <c r="K30" s="2679"/>
      <c r="L30" s="2554"/>
      <c r="M30" s="2554"/>
      <c r="N30" s="2554"/>
      <c r="O30" s="2554"/>
      <c r="P30" s="2554"/>
      <c r="Q30" s="2554"/>
      <c r="R30" s="2554"/>
      <c r="S30" s="2554"/>
      <c r="T30" s="2554"/>
      <c r="U30" s="2554"/>
    </row>
    <row r="31" spans="1:21">
      <c r="A31" s="3108"/>
      <c r="B31" s="2555" t="s">
        <v>324</v>
      </c>
      <c r="C31" s="2648" t="s">
        <v>308</v>
      </c>
      <c r="D31" s="2649"/>
      <c r="E31" s="2554"/>
      <c r="F31" s="2554"/>
      <c r="G31" s="2554"/>
      <c r="H31" s="2554"/>
      <c r="I31" s="2674"/>
      <c r="J31" s="2554"/>
      <c r="K31" s="2679"/>
      <c r="L31" s="2554"/>
      <c r="M31" s="2554"/>
      <c r="N31" s="2554"/>
      <c r="O31" s="2554"/>
      <c r="P31" s="2554"/>
      <c r="Q31" s="2554"/>
      <c r="R31" s="2554"/>
      <c r="S31" s="2554"/>
      <c r="T31" s="2554"/>
      <c r="U31" s="2554"/>
    </row>
    <row r="32" spans="1:21">
      <c r="A32" s="3109"/>
      <c r="B32" s="2555" t="s">
        <v>325</v>
      </c>
      <c r="C32" s="3116"/>
      <c r="D32" s="3117"/>
      <c r="E32" s="2554"/>
      <c r="F32" s="2554"/>
      <c r="G32" s="2554"/>
      <c r="H32" s="2554"/>
      <c r="I32" s="2674"/>
      <c r="J32" s="2554"/>
      <c r="K32" s="2679"/>
      <c r="L32" s="2554"/>
      <c r="M32" s="2554"/>
      <c r="N32" s="2554"/>
      <c r="O32" s="2554"/>
      <c r="P32" s="2554"/>
      <c r="Q32" s="2554"/>
      <c r="R32" s="2554"/>
      <c r="S32" s="2554"/>
      <c r="T32" s="2554"/>
      <c r="U32" s="2554"/>
    </row>
    <row r="33" spans="1:21">
      <c r="A33" s="3110" t="s">
        <v>326</v>
      </c>
      <c r="B33" s="2650" t="s">
        <v>327</v>
      </c>
      <c r="C33" s="2651" t="str">
        <f>IF(B33="场地平整","——","具体情况：")</f>
        <v>——</v>
      </c>
      <c r="D33" s="3118"/>
      <c r="E33" s="3119"/>
      <c r="F33" s="3119"/>
      <c r="G33" s="3119"/>
      <c r="H33" s="3119"/>
      <c r="I33" s="3120"/>
      <c r="J33" s="2554"/>
      <c r="K33" s="2680"/>
      <c r="L33" s="2671"/>
      <c r="M33" s="2671"/>
      <c r="N33" s="2554"/>
      <c r="O33" s="2672"/>
      <c r="P33" s="2554"/>
      <c r="Q33" s="2554"/>
      <c r="R33" s="2554"/>
      <c r="S33" s="2554"/>
      <c r="T33" s="2554"/>
      <c r="U33" s="2554"/>
    </row>
    <row r="34" spans="1:21">
      <c r="A34" s="3108"/>
      <c r="B34" s="3121" t="s">
        <v>328</v>
      </c>
      <c r="C34" s="3122"/>
      <c r="D34" s="2652" t="s">
        <v>329</v>
      </c>
      <c r="E34" s="3123"/>
      <c r="F34" s="3123"/>
      <c r="G34" s="2591" t="str">
        <f>IF(B33="场地未平整","估价结果处理","")</f>
        <v/>
      </c>
      <c r="H34" s="3124"/>
      <c r="I34" s="3124"/>
      <c r="J34" s="2554"/>
      <c r="K34" s="2680"/>
      <c r="L34" s="2671"/>
      <c r="M34" s="2671"/>
      <c r="N34" s="2554"/>
      <c r="O34" s="2672"/>
      <c r="P34" s="2554"/>
      <c r="Q34" s="2554"/>
      <c r="R34" s="2554"/>
      <c r="S34" s="2554"/>
      <c r="T34" s="2554"/>
      <c r="U34" s="2554"/>
    </row>
    <row r="35" spans="1:21" ht="28.5">
      <c r="A35" s="3108"/>
      <c r="B35" s="3111" t="s">
        <v>330</v>
      </c>
      <c r="C35" s="2653" t="s">
        <v>331</v>
      </c>
      <c r="D35" s="2654"/>
      <c r="E35" s="2655"/>
      <c r="F35" s="2554"/>
      <c r="G35" s="2554"/>
      <c r="H35" s="2554"/>
      <c r="I35" s="2674"/>
      <c r="J35" s="2554"/>
      <c r="K35" s="2680"/>
      <c r="L35" s="2554"/>
      <c r="M35" s="2554"/>
      <c r="N35" s="2554"/>
      <c r="O35" s="2554"/>
      <c r="P35" s="2554"/>
      <c r="Q35" s="2554"/>
      <c r="R35" s="2554"/>
      <c r="S35" s="2554"/>
      <c r="T35" s="2554"/>
      <c r="U35" s="2554"/>
    </row>
    <row r="36" spans="1:21">
      <c r="A36" s="3108"/>
      <c r="B36" s="3112"/>
      <c r="C36" s="2568" t="s">
        <v>332</v>
      </c>
      <c r="D36" s="2656">
        <f>ROUNDDOWN(MIN(('数据-取费表'!$B$2-D35)/365,D32),1)</f>
        <v>117.9</v>
      </c>
      <c r="E36" s="2657" t="s">
        <v>333</v>
      </c>
      <c r="F36" s="2554"/>
      <c r="G36" s="2554"/>
      <c r="H36" s="2554"/>
      <c r="I36" s="2674"/>
      <c r="J36" s="2554"/>
      <c r="K36" s="2680"/>
      <c r="L36" s="2554"/>
      <c r="M36" s="2554"/>
      <c r="N36" s="2554"/>
      <c r="O36" s="2554"/>
      <c r="P36" s="2554"/>
      <c r="Q36" s="2554"/>
      <c r="R36" s="2554"/>
      <c r="S36" s="2554"/>
      <c r="T36" s="2554"/>
      <c r="U36" s="2554"/>
    </row>
    <row r="37" spans="1:21">
      <c r="A37" s="3109"/>
      <c r="B37" s="3113"/>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334</v>
      </c>
      <c r="B38" s="2659" t="s">
        <v>335</v>
      </c>
      <c r="C38" s="2659" t="s">
        <v>336</v>
      </c>
      <c r="D38" s="2659" t="s">
        <v>337</v>
      </c>
      <c r="E38" s="2659" t="s">
        <v>338</v>
      </c>
      <c r="F38" s="2659" t="s">
        <v>339</v>
      </c>
      <c r="G38" s="2659" t="s">
        <v>340</v>
      </c>
      <c r="H38" s="2659" t="s">
        <v>1181</v>
      </c>
      <c r="I38" s="2674"/>
      <c r="J38" s="2554"/>
      <c r="K38" s="2669">
        <f>COUNTIF(B38:H38,"——")</f>
        <v>0</v>
      </c>
      <c r="L38" s="2590" t="s">
        <v>341</v>
      </c>
      <c r="M38" s="2668" t="s">
        <v>342</v>
      </c>
      <c r="N38" s="2668" t="s">
        <v>213</v>
      </c>
      <c r="O38" s="2668" t="s">
        <v>204</v>
      </c>
      <c r="P38" s="2668" t="s">
        <v>193</v>
      </c>
      <c r="Q38" s="2668" t="s">
        <v>181</v>
      </c>
      <c r="R38" s="2668" t="s">
        <v>168</v>
      </c>
      <c r="S38" s="3106" t="s">
        <v>343</v>
      </c>
      <c r="T38" s="2686" t="str">
        <f>NUMBERSTRING(7-K38,1)&amp;"通"</f>
        <v>七通</v>
      </c>
      <c r="U38" s="2554"/>
    </row>
    <row r="39" spans="1:21" ht="28.5">
      <c r="A39" s="2557"/>
      <c r="B39" s="3107" t="s">
        <v>344</v>
      </c>
      <c r="C39" s="3107"/>
      <c r="D39" s="3107"/>
      <c r="E39" s="3107"/>
      <c r="F39" s="2660" t="str">
        <f>C9</f>
        <v>山东省青岛市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通路、通电、通上水、通下水、通讯、燃气、通热</v>
      </c>
      <c r="S39" s="3106"/>
      <c r="T39" s="2593" t="str">
        <f>IF(T38="一通",L39,IF(T38="二通",M39,IF(T38="三通",N39,IF(T38="四通",O39,IF(T38="五通",P39,IF(T38="六通",Q39,R39))))))</f>
        <v>通路、通电、通上水、通下水、通讯、燃气、通热</v>
      </c>
      <c r="U39" s="2554"/>
    </row>
    <row r="40" spans="1:21">
      <c r="A40" s="2661"/>
      <c r="B40" s="2598" t="s">
        <v>293</v>
      </c>
      <c r="C40" s="2598" t="s">
        <v>294</v>
      </c>
      <c r="D40" s="2598" t="s">
        <v>292</v>
      </c>
      <c r="E40" s="2590" t="s">
        <v>114</v>
      </c>
      <c r="F40" s="2662"/>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345</v>
      </c>
      <c r="B42" s="2664" t="s">
        <v>346</v>
      </c>
      <c r="C42" s="2664" t="s">
        <v>347</v>
      </c>
      <c r="D42" s="2664" t="s">
        <v>348</v>
      </c>
      <c r="E42" s="2652" t="s">
        <v>349</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350</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351</v>
      </c>
      <c r="B46" s="2599" t="s">
        <v>352</v>
      </c>
      <c r="C46" s="2599" t="s">
        <v>353</v>
      </c>
      <c r="D46" s="2599" t="s">
        <v>354</v>
      </c>
      <c r="E46" s="2599" t="s">
        <v>355</v>
      </c>
      <c r="F46" s="2599" t="s">
        <v>356</v>
      </c>
      <c r="G46" s="2599" t="s">
        <v>357</v>
      </c>
      <c r="H46" s="2599" t="s">
        <v>358</v>
      </c>
      <c r="I46" s="2599" t="s">
        <v>359</v>
      </c>
      <c r="J46" s="2682" t="s">
        <v>360</v>
      </c>
      <c r="K46" s="2598" t="s">
        <v>361</v>
      </c>
      <c r="L46" s="2598" t="s">
        <v>362</v>
      </c>
      <c r="M46" s="2598" t="s">
        <v>363</v>
      </c>
      <c r="N46" s="2599" t="s">
        <v>364</v>
      </c>
      <c r="O46" s="2599" t="s">
        <v>365</v>
      </c>
      <c r="P46" s="2599" t="s">
        <v>366</v>
      </c>
      <c r="Q46" s="2590" t="s">
        <v>367</v>
      </c>
      <c r="R46" s="2590" t="s">
        <v>368</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hidden="1" customWidth="1"/>
    <col min="12" max="14" width="9.5" style="2440" hidden="1"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hidden="1" customWidth="1"/>
    <col min="31" max="31" width="9.75" style="2440" hidden="1" customWidth="1"/>
    <col min="32" max="33" width="9.5" style="2440" hidden="1" customWidth="1"/>
    <col min="34" max="35" width="9.5" style="2440" customWidth="1"/>
    <col min="36" max="39" width="9.5" style="2440" hidden="1" customWidth="1"/>
    <col min="40"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369</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370</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371</v>
      </c>
      <c r="B2" s="55" t="s">
        <v>372</v>
      </c>
      <c r="C2" s="55" t="s">
        <v>373</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374</v>
      </c>
      <c r="AZ2" s="2522" t="s">
        <v>375</v>
      </c>
      <c r="BA2" s="2523" t="s">
        <v>376</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17111</v>
      </c>
      <c r="B3" s="2445">
        <f>IF(C3="否",G5-AT5,G5)</f>
        <v>36595.409999999996</v>
      </c>
      <c r="C3" s="2446" t="s">
        <v>308</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378</v>
      </c>
      <c r="B5" s="976"/>
      <c r="C5" s="976"/>
      <c r="D5" s="1887"/>
      <c r="E5" s="2450" t="s">
        <v>67</v>
      </c>
      <c r="F5" s="2450">
        <f>SUM(F13:F572)</f>
        <v>0</v>
      </c>
      <c r="G5" s="2450">
        <f>SUM(G13:G572)</f>
        <v>36595.409999999996</v>
      </c>
      <c r="H5" s="2450">
        <f t="shared" ref="H5:AT5" si="0">SUM(H13:H641)</f>
        <v>21576.35</v>
      </c>
      <c r="I5" s="2450">
        <f t="shared" si="0"/>
        <v>21576.35</v>
      </c>
      <c r="J5" s="2450">
        <f t="shared" si="0"/>
        <v>0</v>
      </c>
      <c r="K5" s="2450">
        <f t="shared" si="0"/>
        <v>0</v>
      </c>
      <c r="L5" s="2450">
        <f t="shared" si="0"/>
        <v>0</v>
      </c>
      <c r="M5" s="2450">
        <f t="shared" si="0"/>
        <v>0</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15019.06</v>
      </c>
      <c r="AD5" s="2450">
        <f t="shared" si="0"/>
        <v>0</v>
      </c>
      <c r="AE5" s="2450">
        <f t="shared" si="0"/>
        <v>0</v>
      </c>
      <c r="AF5" s="2450">
        <f t="shared" si="0"/>
        <v>0</v>
      </c>
      <c r="AG5" s="2450">
        <f t="shared" si="0"/>
        <v>0</v>
      </c>
      <c r="AH5" s="2450">
        <f t="shared" si="0"/>
        <v>219.66</v>
      </c>
      <c r="AI5" s="2450">
        <f t="shared" si="0"/>
        <v>0</v>
      </c>
      <c r="AJ5" s="2450">
        <f t="shared" si="0"/>
        <v>0</v>
      </c>
      <c r="AK5" s="2450">
        <f t="shared" si="0"/>
        <v>0</v>
      </c>
      <c r="AL5" s="2450">
        <f t="shared" si="0"/>
        <v>0</v>
      </c>
      <c r="AM5" s="2450">
        <f t="shared" si="0"/>
        <v>0</v>
      </c>
      <c r="AN5" s="2450">
        <f t="shared" si="0"/>
        <v>14799.4</v>
      </c>
      <c r="AO5" s="2450">
        <f t="shared" si="0"/>
        <v>0</v>
      </c>
      <c r="AP5" s="2450">
        <f t="shared" si="0"/>
        <v>0</v>
      </c>
      <c r="AQ5" s="2450">
        <f t="shared" si="0"/>
        <v>0</v>
      </c>
      <c r="AR5" s="2450">
        <f t="shared" si="0"/>
        <v>0</v>
      </c>
      <c r="AS5" s="2450">
        <f t="shared" si="0"/>
        <v>0</v>
      </c>
      <c r="AT5" s="2450">
        <f t="shared" si="0"/>
        <v>0</v>
      </c>
      <c r="AU5" s="1772"/>
      <c r="AV5" s="875" t="s">
        <v>378</v>
      </c>
      <c r="AW5" s="976"/>
      <c r="AX5" s="976"/>
      <c r="AY5" s="2527" t="s">
        <v>67</v>
      </c>
      <c r="AZ5" s="2528">
        <f t="shared" ref="AZ5:BT5" si="1">SUM(AZ13:AZ641)</f>
        <v>36595.409999999996</v>
      </c>
      <c r="BA5" s="2528">
        <f t="shared" si="1"/>
        <v>21576.35</v>
      </c>
      <c r="BB5" s="2528">
        <f t="shared" si="1"/>
        <v>21576.35</v>
      </c>
      <c r="BC5" s="2528">
        <f t="shared" si="1"/>
        <v>0</v>
      </c>
      <c r="BD5" s="2528">
        <f t="shared" si="1"/>
        <v>0</v>
      </c>
      <c r="BE5" s="2528">
        <f t="shared" si="1"/>
        <v>0</v>
      </c>
      <c r="BF5" s="2528">
        <f t="shared" si="1"/>
        <v>0</v>
      </c>
      <c r="BG5" s="2528">
        <f t="shared" si="1"/>
        <v>0</v>
      </c>
      <c r="BH5" s="2528">
        <f t="shared" si="1"/>
        <v>0</v>
      </c>
      <c r="BI5" s="2528">
        <f t="shared" si="1"/>
        <v>0</v>
      </c>
      <c r="BJ5" s="2528">
        <f t="shared" si="1"/>
        <v>0</v>
      </c>
      <c r="BK5" s="2528">
        <f t="shared" si="1"/>
        <v>0</v>
      </c>
      <c r="BL5" s="2528">
        <f t="shared" si="1"/>
        <v>15019.06</v>
      </c>
      <c r="BM5" s="2528">
        <f t="shared" si="1"/>
        <v>0</v>
      </c>
      <c r="BN5" s="2528">
        <f t="shared" si="1"/>
        <v>0</v>
      </c>
      <c r="BO5" s="2528">
        <f t="shared" si="1"/>
        <v>219.66</v>
      </c>
      <c r="BP5" s="2528">
        <f t="shared" si="1"/>
        <v>0</v>
      </c>
      <c r="BQ5" s="2528">
        <f t="shared" si="1"/>
        <v>0</v>
      </c>
      <c r="BR5" s="2528">
        <f t="shared" si="1"/>
        <v>14799.4</v>
      </c>
      <c r="BS5" s="2528">
        <f t="shared" si="1"/>
        <v>0</v>
      </c>
      <c r="BT5" s="2537">
        <f t="shared" si="1"/>
        <v>0</v>
      </c>
    </row>
    <row r="6" spans="1:72" s="2437" customFormat="1" ht="12.75">
      <c r="A6" s="875" t="s">
        <v>379</v>
      </c>
      <c r="B6" s="2451"/>
      <c r="C6" s="2451"/>
      <c r="D6" s="2452"/>
      <c r="E6" s="2450">
        <f>H6+AC6+AT6</f>
        <v>17111</v>
      </c>
      <c r="F6" s="2450" t="s">
        <v>67</v>
      </c>
      <c r="G6" s="2450" t="s">
        <v>67</v>
      </c>
      <c r="H6" s="2453">
        <f>SUMIF(I$12:AB$12,"总值",I6:AB6)</f>
        <v>10088.5</v>
      </c>
      <c r="I6" s="2450">
        <f t="shared" ref="I6:AB6" si="2">ROUND($A$3*I5/$B$3,2)</f>
        <v>10088.5</v>
      </c>
      <c r="J6" s="2450">
        <f t="shared" si="2"/>
        <v>0</v>
      </c>
      <c r="K6" s="2450">
        <f t="shared" si="2"/>
        <v>0</v>
      </c>
      <c r="L6" s="2450">
        <f t="shared" si="2"/>
        <v>0</v>
      </c>
      <c r="M6" s="2450">
        <f t="shared" si="2"/>
        <v>0</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7022.5</v>
      </c>
      <c r="AD6" s="2450">
        <f t="shared" ref="AD6:AS6" si="3">ROUND($A$3*AD5/$B$3,2)</f>
        <v>0</v>
      </c>
      <c r="AE6" s="2450">
        <f t="shared" si="3"/>
        <v>0</v>
      </c>
      <c r="AF6" s="2450">
        <f t="shared" si="3"/>
        <v>0</v>
      </c>
      <c r="AG6" s="2450">
        <f t="shared" si="3"/>
        <v>0</v>
      </c>
      <c r="AH6" s="2450">
        <f t="shared" si="3"/>
        <v>102.71</v>
      </c>
      <c r="AI6" s="2450">
        <f t="shared" si="3"/>
        <v>0</v>
      </c>
      <c r="AJ6" s="2450">
        <f t="shared" si="3"/>
        <v>0</v>
      </c>
      <c r="AK6" s="2450">
        <f t="shared" si="3"/>
        <v>0</v>
      </c>
      <c r="AL6" s="2450">
        <f t="shared" si="3"/>
        <v>0</v>
      </c>
      <c r="AM6" s="2450">
        <f t="shared" si="3"/>
        <v>0</v>
      </c>
      <c r="AN6" s="2450">
        <f t="shared" si="3"/>
        <v>6919.79</v>
      </c>
      <c r="AO6" s="2450">
        <f t="shared" si="3"/>
        <v>0</v>
      </c>
      <c r="AP6" s="2450">
        <f t="shared" si="3"/>
        <v>0</v>
      </c>
      <c r="AQ6" s="2450">
        <f t="shared" si="3"/>
        <v>0</v>
      </c>
      <c r="AR6" s="2450">
        <f t="shared" si="3"/>
        <v>0</v>
      </c>
      <c r="AS6" s="2450">
        <f t="shared" si="3"/>
        <v>0</v>
      </c>
      <c r="AT6" s="2453">
        <f>IF(C3="是",ROUND($A$3*AT5/$B$3,2),0)</f>
        <v>0</v>
      </c>
      <c r="AU6" s="2505"/>
      <c r="AV6" s="875" t="s">
        <v>379</v>
      </c>
      <c r="AW6" s="2451"/>
      <c r="AX6" s="2451"/>
      <c r="AY6" s="2529">
        <f>IF(AY3&gt;0,AY3,ROUND($A$3*AZ5/$B$3,2))</f>
        <v>17111</v>
      </c>
      <c r="AZ6" s="2450" t="s">
        <v>67</v>
      </c>
      <c r="BA6" s="2450">
        <f>ROUND($AY$6*BA5/$AZ$5,2)</f>
        <v>10088.5</v>
      </c>
      <c r="BB6" s="2450">
        <f>ROUND($AY$6*BB5/$AZ$5,2)</f>
        <v>10088.5</v>
      </c>
      <c r="BC6" s="2450">
        <f t="shared" ref="BC6:BH6" si="4">ROUND($AY$6*BC5/$AZ$5,2)</f>
        <v>0</v>
      </c>
      <c r="BD6" s="2450">
        <f t="shared" si="4"/>
        <v>0</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7022.5</v>
      </c>
      <c r="BM6" s="2450">
        <f t="shared" si="5"/>
        <v>0</v>
      </c>
      <c r="BN6" s="2450">
        <f t="shared" si="5"/>
        <v>0</v>
      </c>
      <c r="BO6" s="2450">
        <f t="shared" si="5"/>
        <v>102.71</v>
      </c>
      <c r="BP6" s="2450">
        <f t="shared" si="5"/>
        <v>0</v>
      </c>
      <c r="BQ6" s="2450">
        <f t="shared" si="5"/>
        <v>0</v>
      </c>
      <c r="BR6" s="2450">
        <f t="shared" si="5"/>
        <v>6919.79</v>
      </c>
      <c r="BS6" s="2450">
        <f t="shared" si="5"/>
        <v>0</v>
      </c>
      <c r="BT6" s="2538">
        <f t="shared" si="5"/>
        <v>0</v>
      </c>
    </row>
    <row r="7" spans="1:72" s="116" customFormat="1" ht="24.75">
      <c r="A7" s="2454" t="s">
        <v>380</v>
      </c>
      <c r="B7" s="2454" t="s">
        <v>381</v>
      </c>
      <c r="C7" s="2454" t="s">
        <v>382</v>
      </c>
      <c r="D7" s="2454" t="s">
        <v>383</v>
      </c>
      <c r="E7" s="2454" t="s">
        <v>379</v>
      </c>
      <c r="F7" s="2454" t="s">
        <v>384</v>
      </c>
      <c r="G7" s="2455" t="s">
        <v>385</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386</v>
      </c>
      <c r="AV7" s="1951" t="s">
        <v>380</v>
      </c>
      <c r="AW7" s="1970" t="s">
        <v>381</v>
      </c>
      <c r="AX7" s="1951" t="s">
        <v>382</v>
      </c>
      <c r="AY7" s="976" t="s">
        <v>387</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388</v>
      </c>
      <c r="H8" s="2459" t="s">
        <v>389</v>
      </c>
      <c r="I8" s="2480"/>
      <c r="J8" s="54"/>
      <c r="K8" s="54"/>
      <c r="L8" s="54"/>
      <c r="M8" s="54"/>
      <c r="N8" s="54"/>
      <c r="O8" s="54"/>
      <c r="P8" s="54"/>
      <c r="Q8" s="54"/>
      <c r="R8" s="54"/>
      <c r="S8" s="54"/>
      <c r="T8" s="54"/>
      <c r="U8" s="54"/>
      <c r="V8" s="2489"/>
      <c r="W8" s="54"/>
      <c r="X8" s="54"/>
      <c r="Y8" s="54"/>
      <c r="Z8" s="54"/>
      <c r="AA8" s="2489"/>
      <c r="AB8" s="2491"/>
      <c r="AC8" s="2482" t="s">
        <v>390</v>
      </c>
      <c r="AD8" s="2492"/>
      <c r="AE8" s="2493"/>
      <c r="AF8" s="54"/>
      <c r="AG8" s="54"/>
      <c r="AH8" s="54"/>
      <c r="AI8" s="54"/>
      <c r="AJ8" s="54"/>
      <c r="AK8" s="54"/>
      <c r="AL8" s="54"/>
      <c r="AM8" s="54"/>
      <c r="AN8" s="54"/>
      <c r="AO8" s="54"/>
      <c r="AP8" s="54"/>
      <c r="AQ8" s="54"/>
      <c r="AR8" s="54"/>
      <c r="AS8" s="113"/>
      <c r="AT8" s="2507" t="s">
        <v>391</v>
      </c>
      <c r="AU8" s="2457"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393</v>
      </c>
      <c r="I9" s="2481" t="s">
        <v>394</v>
      </c>
      <c r="J9" s="2482"/>
      <c r="K9" s="2481" t="s">
        <v>394</v>
      </c>
      <c r="L9" s="2482"/>
      <c r="M9" s="2481" t="s">
        <v>1229</v>
      </c>
      <c r="N9" s="2482"/>
      <c r="O9" s="2481" t="s">
        <v>394</v>
      </c>
      <c r="P9" s="2482"/>
      <c r="Q9" s="2481"/>
      <c r="R9" s="2482"/>
      <c r="S9" s="2481"/>
      <c r="T9" s="2482"/>
      <c r="U9" s="2481"/>
      <c r="V9" s="2482"/>
      <c r="W9" s="2481" t="s">
        <v>67</v>
      </c>
      <c r="X9" s="2490"/>
      <c r="Y9" s="2481"/>
      <c r="Z9" s="2482"/>
      <c r="AA9" s="2481"/>
      <c r="AB9" s="2482"/>
      <c r="AC9" s="2458" t="s">
        <v>393</v>
      </c>
      <c r="AD9" s="875" t="s">
        <v>395</v>
      </c>
      <c r="AE9" s="996"/>
      <c r="AF9" s="875" t="s">
        <v>396</v>
      </c>
      <c r="AG9" s="996"/>
      <c r="AH9" s="875" t="s">
        <v>395</v>
      </c>
      <c r="AI9" s="996"/>
      <c r="AJ9" s="875" t="s">
        <v>396</v>
      </c>
      <c r="AK9" s="996"/>
      <c r="AL9" s="875" t="s">
        <v>395</v>
      </c>
      <c r="AM9" s="996"/>
      <c r="AN9" s="875" t="s">
        <v>396</v>
      </c>
      <c r="AO9" s="996"/>
      <c r="AP9" s="2508" t="s">
        <v>395</v>
      </c>
      <c r="AQ9" s="2509"/>
      <c r="AR9" s="2508" t="s">
        <v>396</v>
      </c>
      <c r="AS9" s="2510"/>
      <c r="AT9" s="2457"/>
      <c r="AU9" s="2457" t="s">
        <v>397</v>
      </c>
      <c r="AV9" s="756"/>
      <c r="AW9" s="1976"/>
      <c r="AX9" s="756"/>
      <c r="AY9" s="1952"/>
      <c r="AZ9" s="1952" t="s">
        <v>388</v>
      </c>
      <c r="BA9" s="2530" t="s">
        <v>398</v>
      </c>
      <c r="BB9" s="2531"/>
      <c r="BC9" s="823"/>
      <c r="BD9" s="823"/>
      <c r="BE9" s="823"/>
      <c r="BF9" s="823"/>
      <c r="BG9" s="823"/>
      <c r="BH9" s="823"/>
      <c r="BI9" s="823"/>
      <c r="BJ9" s="823"/>
      <c r="BK9" s="2536"/>
      <c r="BL9" s="875" t="s">
        <v>399</v>
      </c>
      <c r="BM9" s="54"/>
      <c r="BN9" s="2480"/>
      <c r="BO9" s="54"/>
      <c r="BP9" s="54"/>
      <c r="BQ9" s="54"/>
      <c r="BR9" s="54"/>
      <c r="BS9" s="54"/>
      <c r="BT9" s="804"/>
    </row>
    <row r="10" spans="1:72" s="119" customFormat="1" ht="12.75">
      <c r="A10" s="2457"/>
      <c r="B10" s="2457"/>
      <c r="C10" s="2457"/>
      <c r="D10" s="2457"/>
      <c r="E10" s="2457"/>
      <c r="F10" s="2457"/>
      <c r="G10" s="756"/>
      <c r="H10" s="1952"/>
      <c r="I10" s="2483" t="s">
        <v>292</v>
      </c>
      <c r="J10" s="2482"/>
      <c r="K10" s="2483" t="s">
        <v>293</v>
      </c>
      <c r="L10" s="2482"/>
      <c r="M10" s="2483" t="s">
        <v>295</v>
      </c>
      <c r="N10" s="2482"/>
      <c r="O10" s="2483" t="s">
        <v>292</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400</v>
      </c>
      <c r="AI10" s="2495"/>
      <c r="AJ10" s="875" t="s">
        <v>401</v>
      </c>
      <c r="AK10" s="2501"/>
      <c r="AL10" s="2494" t="s">
        <v>402</v>
      </c>
      <c r="AM10" s="2502"/>
      <c r="AN10" s="875" t="s">
        <v>403</v>
      </c>
      <c r="AO10" s="996"/>
      <c r="AP10" s="2508" t="s">
        <v>404</v>
      </c>
      <c r="AQ10" s="2509"/>
      <c r="AR10" s="2508" t="s">
        <v>404</v>
      </c>
      <c r="AS10" s="2509"/>
      <c r="AT10" s="2457"/>
      <c r="AU10" s="2457"/>
      <c r="AV10" s="756"/>
      <c r="AW10" s="1976"/>
      <c r="AX10" s="756"/>
      <c r="AY10" s="1952"/>
      <c r="AZ10" s="1952"/>
      <c r="BA10" s="2461" t="s">
        <v>393</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405</v>
      </c>
      <c r="J11" s="2485"/>
      <c r="K11" s="2484" t="s">
        <v>406</v>
      </c>
      <c r="L11" s="2485"/>
      <c r="M11" s="2484" t="s">
        <v>295</v>
      </c>
      <c r="N11" s="2485"/>
      <c r="O11" s="2484" t="s">
        <v>67</v>
      </c>
      <c r="P11" s="2485"/>
      <c r="Q11" s="2484"/>
      <c r="R11" s="2485"/>
      <c r="S11" s="2484"/>
      <c r="T11" s="2485"/>
      <c r="U11" s="2484"/>
      <c r="V11" s="2485"/>
      <c r="W11" s="2484" t="s">
        <v>67</v>
      </c>
      <c r="X11" s="2485"/>
      <c r="Y11" s="2484"/>
      <c r="Z11" s="2485"/>
      <c r="AA11" s="2484"/>
      <c r="AB11" s="2485"/>
      <c r="AC11" s="756"/>
      <c r="AD11" s="2496" t="s">
        <v>407</v>
      </c>
      <c r="AE11" s="113"/>
      <c r="AF11" s="2496" t="s">
        <v>407</v>
      </c>
      <c r="AG11" s="113"/>
      <c r="AH11" s="2496" t="s">
        <v>408</v>
      </c>
      <c r="AI11" s="2503"/>
      <c r="AJ11" s="2496" t="s">
        <v>408</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7"/>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3" t="s">
        <v>409</v>
      </c>
      <c r="AQ12" s="2513" t="s">
        <v>410</v>
      </c>
      <c r="AR12" s="2514" t="s">
        <v>409</v>
      </c>
      <c r="AS12" s="2515" t="s">
        <v>410</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c r="C13" s="2466"/>
      <c r="D13" s="2467" t="s">
        <v>377</v>
      </c>
      <c r="E13" s="2450">
        <f t="shared" ref="E13:E20" si="6">IF($C$3="是",ROUND($A$3*G13/$B$3,2),ROUND($A$3*(G13-AT13)/$B$3,2))</f>
        <v>17111</v>
      </c>
      <c r="F13" s="2468"/>
      <c r="G13" s="2469">
        <f t="shared" ref="G13:G20" si="7">H13+AC13+AT13</f>
        <v>36595.409999999996</v>
      </c>
      <c r="H13" s="2453">
        <f t="shared" ref="H13:H20" si="8">SUMIF(I$12:AB$12,"总值",I13:AB13)</f>
        <v>21576.35</v>
      </c>
      <c r="I13" s="2466">
        <f>4726.88+4909.83+2513.72+4840.24+4805.34-219.66</f>
        <v>21576.35</v>
      </c>
      <c r="J13" s="2486"/>
      <c r="K13" s="3038"/>
      <c r="L13" s="2486"/>
      <c r="M13" s="2486"/>
      <c r="N13" s="2486"/>
      <c r="O13" s="2486"/>
      <c r="P13" s="2486"/>
      <c r="Q13" s="2486"/>
      <c r="R13" s="2486"/>
      <c r="S13" s="2486"/>
      <c r="T13" s="2486"/>
      <c r="U13" s="2486"/>
      <c r="V13" s="2486"/>
      <c r="W13" s="2486"/>
      <c r="X13" s="2486"/>
      <c r="Y13" s="2486"/>
      <c r="Z13" s="2486"/>
      <c r="AA13" s="2486"/>
      <c r="AB13" s="2486"/>
      <c r="AC13" s="2450">
        <f t="shared" ref="AC13:AC20" si="9">SUMIF(AD$12:AS$12,"总值",AD13:AS13)</f>
        <v>15019.06</v>
      </c>
      <c r="AD13" s="2498"/>
      <c r="AE13" s="2498"/>
      <c r="AF13" s="2466"/>
      <c r="AG13" s="2498"/>
      <c r="AH13" s="2498">
        <v>219.66</v>
      </c>
      <c r="AI13" s="2498"/>
      <c r="AJ13" s="2498"/>
      <c r="AK13" s="2498"/>
      <c r="AL13" s="2498"/>
      <c r="AM13" s="2498"/>
      <c r="AN13" s="2466">
        <v>14799.4</v>
      </c>
      <c r="AO13" s="2498"/>
      <c r="AP13" s="2498"/>
      <c r="AQ13" s="2498"/>
      <c r="AR13" s="2498"/>
      <c r="AS13" s="2498"/>
      <c r="AT13" s="3029"/>
      <c r="AU13" s="2518"/>
      <c r="AV13" s="55">
        <f t="shared" ref="AV13:AX20" si="10">A13</f>
        <v>0</v>
      </c>
      <c r="AW13" s="55">
        <f t="shared" si="10"/>
        <v>0</v>
      </c>
      <c r="AX13" s="55">
        <f t="shared" si="10"/>
        <v>0</v>
      </c>
      <c r="AY13" s="1887">
        <f t="shared" ref="AY13:AY20" si="11">ROUND($AY$6*AZ13/$AZ$5,2)</f>
        <v>17111</v>
      </c>
      <c r="AZ13" s="2450">
        <f t="shared" ref="AZ13:AZ20" si="12">BA13+BL13</f>
        <v>36595.409999999996</v>
      </c>
      <c r="BA13" s="2450">
        <f t="shared" ref="BA13:BA20" si="13">SUM(BB13:BK13)</f>
        <v>21576.35</v>
      </c>
      <c r="BB13" s="2450">
        <f t="shared" ref="BB13:BB20" si="14">IF($D13="是",I13-J13,0)</f>
        <v>21576.35</v>
      </c>
      <c r="BC13" s="2450">
        <f t="shared" ref="BC13:BC20" si="15">IF($D13="是",K13-L13,0)</f>
        <v>0</v>
      </c>
      <c r="BD13" s="2450">
        <f t="shared" ref="BD13:BD20" si="16">IF($D13="是",M13-N13,0)</f>
        <v>0</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15019.06</v>
      </c>
      <c r="BM13" s="2450">
        <f t="shared" ref="BM13:BM20" si="25">IF($D13="是",AD13-AE13,0)</f>
        <v>0</v>
      </c>
      <c r="BN13" s="2450">
        <f t="shared" ref="BN13:BN20" si="26">IF($D13="是",AF13-AG13,0)</f>
        <v>0</v>
      </c>
      <c r="BO13" s="2450">
        <f t="shared" ref="BO13:BO20" si="27">IF($D13="是",AH13-AI13,0)</f>
        <v>219.66</v>
      </c>
      <c r="BP13" s="2450">
        <f t="shared" ref="BP13:BP20" si="28">IF($D13="是",AJ13-AK13,0)</f>
        <v>0</v>
      </c>
      <c r="BQ13" s="2450">
        <f t="shared" ref="BQ13:BQ20" si="29">IF($D13="是",AL13-AM13,0)</f>
        <v>0</v>
      </c>
      <c r="BR13" s="2450">
        <f t="shared" ref="BR13:BR20" si="30">IF($D13="是",AN13-AO13,0)</f>
        <v>14799.4</v>
      </c>
      <c r="BS13" s="2450">
        <f t="shared" ref="BS13:BS20" si="31">IF($D13="是",AP13-AQ13,0)</f>
        <v>0</v>
      </c>
      <c r="BT13" s="2538">
        <f t="shared" ref="BT13:BT20" si="32">IF($D13="是",AR13-AS13,0)</f>
        <v>0</v>
      </c>
    </row>
    <row r="14" spans="1:72" s="116" customFormat="1">
      <c r="A14" s="2464"/>
      <c r="B14" s="302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136</vt:i4>
      </vt:variant>
    </vt:vector>
  </HeadingPairs>
  <TitlesOfParts>
    <vt:vector size="173"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2017-11-08T08:34:16Z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